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engineer11\Desktop\"/>
    </mc:Choice>
  </mc:AlternateContent>
  <xr:revisionPtr revIDLastSave="0" documentId="13_ncr:1_{21A93BD6-8767-4999-82B6-4D9641A52414}" xr6:coauthVersionLast="47" xr6:coauthVersionMax="47" xr10:uidLastSave="{00000000-0000-0000-0000-000000000000}"/>
  <bookViews>
    <workbookView xWindow="-120" yWindow="-120" windowWidth="24240" windowHeight="13140" tabRatio="973" firstSheet="5" activeTab="9" xr2:uid="{00000000-000D-0000-FFFF-FFFF00000000}"/>
  </bookViews>
  <sheets>
    <sheet name="Sheet1" sheetId="1" r:id="rId1"/>
    <sheet name="Data Provided(Inventory list-I)" sheetId="2" r:id="rId2"/>
    <sheet name="Inventory list-Phase 2" sheetId="12" r:id="rId3"/>
    <sheet name="Inventory list-Phase 3" sheetId="11" r:id="rId4"/>
    <sheet name=" G+1 floor shop" sheetId="19" r:id="rId5"/>
    <sheet name="Recievables" sheetId="5" r:id="rId6"/>
    <sheet name="Tower Details" sheetId="6" r:id="rId7"/>
    <sheet name="Absorption Rate" sheetId="7" r:id="rId8"/>
    <sheet name="Residential &amp; Commercial Inflow" sheetId="13" r:id="rId9"/>
    <sheet name="Inflow" sheetId="14" r:id="rId10"/>
    <sheet name="Inventory Details" sheetId="4" r:id="rId11"/>
    <sheet name="Total Outflow" sheetId="20" r:id="rId12"/>
    <sheet name="DCF" sheetId="21" r:id="rId13"/>
    <sheet name="Consolidated Summary" sheetId="22" r:id="rId14"/>
    <sheet name="Ph-I Valuation" sheetId="24" r:id="rId15"/>
    <sheet name="Grand Summary" sheetId="23" r:id="rId16"/>
    <sheet name="Sheet2" sheetId="25" r:id="rId17"/>
  </sheets>
  <externalReferences>
    <externalReference r:id="rId18"/>
  </externalReferences>
  <definedNames>
    <definedName name="_xlnm._FilterDatabase" localSheetId="1" hidden="1">'Data Provided(Inventory list-I)'!$Q$2:$Q$442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9" i="14" l="1"/>
  <c r="C4" i="24"/>
  <c r="C6" i="24" s="1"/>
  <c r="E5" i="23" s="1"/>
  <c r="C5" i="24"/>
  <c r="E15" i="22"/>
  <c r="E14" i="22"/>
  <c r="D42" i="21"/>
  <c r="G25" i="5"/>
  <c r="F25" i="5"/>
  <c r="E25" i="5"/>
  <c r="D44" i="21"/>
  <c r="E5" i="22"/>
  <c r="F5" i="22"/>
  <c r="G5" i="22"/>
  <c r="H5" i="22"/>
  <c r="I5" i="22"/>
  <c r="J5" i="22"/>
  <c r="K5" i="22"/>
  <c r="J35" i="21"/>
  <c r="J38" i="21" s="1"/>
  <c r="K7" i="22" s="1"/>
  <c r="I35" i="21"/>
  <c r="I38" i="21" s="1"/>
  <c r="J7" i="22" s="1"/>
  <c r="H35" i="21"/>
  <c r="G35" i="21"/>
  <c r="F35" i="21"/>
  <c r="E35" i="21"/>
  <c r="D35" i="21"/>
  <c r="H31" i="21"/>
  <c r="G31" i="21"/>
  <c r="F31" i="21"/>
  <c r="E31" i="21"/>
  <c r="E26" i="21"/>
  <c r="F26" i="21"/>
  <c r="G26" i="21"/>
  <c r="H26" i="21"/>
  <c r="D26" i="21"/>
  <c r="H22" i="21"/>
  <c r="G22" i="21"/>
  <c r="F22" i="21"/>
  <c r="E22" i="21"/>
  <c r="K14" i="21"/>
  <c r="E12" i="21"/>
  <c r="F12" i="21"/>
  <c r="G12" i="21"/>
  <c r="D12" i="21"/>
  <c r="K9" i="21"/>
  <c r="D10" i="21"/>
  <c r="K10" i="21" s="1"/>
  <c r="E10" i="21"/>
  <c r="F10" i="21"/>
  <c r="G10" i="21"/>
  <c r="D9" i="21"/>
  <c r="E9" i="21"/>
  <c r="F9" i="21"/>
  <c r="G9" i="21"/>
  <c r="H9" i="21"/>
  <c r="H16" i="21" s="1"/>
  <c r="I9" i="21"/>
  <c r="I16" i="21" s="1"/>
  <c r="J9" i="21"/>
  <c r="J16" i="21" s="1"/>
  <c r="D8" i="21"/>
  <c r="K8" i="21" s="1"/>
  <c r="E8" i="21"/>
  <c r="F8" i="21"/>
  <c r="G8" i="21"/>
  <c r="J9" i="7"/>
  <c r="W10" i="14" s="1"/>
  <c r="W11" i="14" s="1"/>
  <c r="W13" i="14" s="1"/>
  <c r="I9" i="7"/>
  <c r="V10" i="14" s="1"/>
  <c r="V11" i="14" s="1"/>
  <c r="V13" i="14" s="1"/>
  <c r="G9" i="7"/>
  <c r="F9" i="7"/>
  <c r="E9" i="7"/>
  <c r="H9" i="7"/>
  <c r="U10" i="14" s="1"/>
  <c r="U11" i="14" s="1"/>
  <c r="U13" i="14" s="1"/>
  <c r="G10" i="7"/>
  <c r="F10" i="7"/>
  <c r="E10" i="7"/>
  <c r="G8" i="7"/>
  <c r="F8" i="7"/>
  <c r="E8" i="7"/>
  <c r="D10" i="7"/>
  <c r="D8" i="7"/>
  <c r="U9" i="14"/>
  <c r="V9" i="14"/>
  <c r="W9" i="14"/>
  <c r="U8" i="14"/>
  <c r="V8" i="14"/>
  <c r="W8" i="14" s="1"/>
  <c r="H6" i="7"/>
  <c r="I6" i="7"/>
  <c r="J6" i="7"/>
  <c r="H5" i="7"/>
  <c r="I5" i="7" s="1"/>
  <c r="J5" i="7" s="1"/>
  <c r="G5" i="23" l="1"/>
  <c r="K22" i="21"/>
  <c r="K31" i="21"/>
  <c r="H38" i="21"/>
  <c r="I7" i="22" s="1"/>
  <c r="K35" i="21"/>
  <c r="K26" i="21"/>
  <c r="J6" i="22"/>
  <c r="I40" i="21"/>
  <c r="J9" i="22" s="1"/>
  <c r="I6" i="22"/>
  <c r="K6" i="22"/>
  <c r="J40" i="21"/>
  <c r="K9" i="22" s="1"/>
  <c r="M10" i="14"/>
  <c r="N10" i="14"/>
  <c r="F10" i="14"/>
  <c r="G10" i="14"/>
  <c r="H10" i="14"/>
  <c r="F5" i="23" l="1"/>
  <c r="H40" i="21"/>
  <c r="I9" i="22" s="1"/>
  <c r="H20" i="5"/>
  <c r="I20" i="5"/>
  <c r="G20" i="5"/>
  <c r="H12" i="5"/>
  <c r="G14" i="5"/>
  <c r="G16" i="5" s="1"/>
  <c r="M434" i="11"/>
  <c r="L434" i="11"/>
  <c r="I14" i="5" s="1"/>
  <c r="L814" i="12"/>
  <c r="I10" i="5" s="1"/>
  <c r="I12" i="5" s="1"/>
  <c r="L443" i="2"/>
  <c r="I6" i="5" s="1"/>
  <c r="I8" i="5" s="1"/>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3" i="2"/>
  <c r="G15" i="4"/>
  <c r="G10" i="4"/>
  <c r="G9" i="4"/>
  <c r="G6" i="4"/>
  <c r="I16" i="5" l="1"/>
  <c r="I22" i="5" s="1"/>
  <c r="H14" i="5"/>
  <c r="G5" i="4"/>
  <c r="F815" i="12"/>
  <c r="F435" i="11"/>
  <c r="D13" i="21" l="1"/>
  <c r="E13" i="21"/>
  <c r="F13" i="21"/>
  <c r="G13" i="21"/>
  <c r="H16" i="5"/>
  <c r="E20" i="4"/>
  <c r="F20" i="4"/>
  <c r="E20" i="5" s="1"/>
  <c r="G20" i="4"/>
  <c r="F18" i="5" s="1"/>
  <c r="H20" i="4"/>
  <c r="I20" i="4"/>
  <c r="D20" i="4"/>
  <c r="E18" i="5" s="1"/>
  <c r="T24" i="20" l="1"/>
  <c r="F20" i="5"/>
  <c r="E19" i="5"/>
  <c r="K10" i="7"/>
  <c r="G7" i="13"/>
  <c r="H7" i="13"/>
  <c r="F19" i="5"/>
  <c r="D14" i="21"/>
  <c r="E14" i="21"/>
  <c r="F14" i="21"/>
  <c r="G14" i="21"/>
  <c r="S44" i="21"/>
  <c r="G49" i="20"/>
  <c r="E48" i="20"/>
  <c r="F48" i="20" s="1"/>
  <c r="H48" i="20" s="1"/>
  <c r="E47" i="20"/>
  <c r="E46" i="20"/>
  <c r="F46" i="20" s="1"/>
  <c r="H46" i="20" s="1"/>
  <c r="E45" i="20"/>
  <c r="F45" i="20" s="1"/>
  <c r="H45" i="20" s="1"/>
  <c r="E44" i="20"/>
  <c r="F44" i="20" s="1"/>
  <c r="H44" i="20" s="1"/>
  <c r="E37" i="20"/>
  <c r="F37" i="20" s="1"/>
  <c r="G37" i="20" s="1"/>
  <c r="E36" i="20"/>
  <c r="E35" i="20"/>
  <c r="F35" i="20" s="1"/>
  <c r="G35" i="20" s="1"/>
  <c r="E34" i="20"/>
  <c r="F34" i="20" s="1"/>
  <c r="G34" i="20" s="1"/>
  <c r="E33" i="20"/>
  <c r="F33" i="20" s="1"/>
  <c r="G33" i="20" s="1"/>
  <c r="E26" i="20"/>
  <c r="F26" i="20" s="1"/>
  <c r="G26" i="20" s="1"/>
  <c r="E25" i="20"/>
  <c r="F25" i="20" s="1"/>
  <c r="E24" i="20"/>
  <c r="F24" i="20" s="1"/>
  <c r="G24" i="20" s="1"/>
  <c r="H24" i="20" s="1"/>
  <c r="E23" i="20"/>
  <c r="F23" i="20" s="1"/>
  <c r="E22" i="20"/>
  <c r="E13" i="20"/>
  <c r="F13" i="20"/>
  <c r="H13" i="20" s="1"/>
  <c r="E12" i="20"/>
  <c r="F12" i="20" s="1"/>
  <c r="H12" i="20" s="1"/>
  <c r="E11" i="20"/>
  <c r="F11" i="20" s="1"/>
  <c r="H11" i="20" s="1"/>
  <c r="E10" i="20"/>
  <c r="F10" i="20" s="1"/>
  <c r="H10" i="20" s="1"/>
  <c r="E9" i="20"/>
  <c r="F9" i="20" s="1"/>
  <c r="H9" i="20" s="1"/>
  <c r="O16" i="19"/>
  <c r="O15" i="19"/>
  <c r="O14" i="19"/>
  <c r="O21" i="20"/>
  <c r="AA8" i="14"/>
  <c r="AB8" i="14" s="1"/>
  <c r="Q9" i="14"/>
  <c r="R8" i="14"/>
  <c r="R9" i="14" s="1"/>
  <c r="K9" i="14"/>
  <c r="L8" i="14"/>
  <c r="L9" i="14" s="1"/>
  <c r="J7" i="13"/>
  <c r="D5" i="19"/>
  <c r="C5" i="19"/>
  <c r="D4" i="19"/>
  <c r="C4" i="19"/>
  <c r="D3" i="19"/>
  <c r="C3" i="19"/>
  <c r="D2" i="19"/>
  <c r="C2" i="19"/>
  <c r="AA10" i="14" l="1"/>
  <c r="AA11" i="14" s="1"/>
  <c r="AA13" i="14" s="1"/>
  <c r="Z10" i="14"/>
  <c r="Z11" i="14" s="1"/>
  <c r="Z13" i="14" s="1"/>
  <c r="AC10" i="14"/>
  <c r="AC11" i="14" s="1"/>
  <c r="AB10" i="14"/>
  <c r="AB11" i="14" s="1"/>
  <c r="D25" i="21"/>
  <c r="E25" i="21"/>
  <c r="AC13" i="14"/>
  <c r="AB13" i="14"/>
  <c r="E32" i="21"/>
  <c r="F32" i="21"/>
  <c r="G32" i="21"/>
  <c r="M8" i="14"/>
  <c r="N8" i="14" s="1"/>
  <c r="N9" i="14" s="1"/>
  <c r="K12" i="21"/>
  <c r="K13" i="21"/>
  <c r="E23" i="21"/>
  <c r="F23" i="21"/>
  <c r="G23" i="21"/>
  <c r="D23" i="21"/>
  <c r="G25" i="20"/>
  <c r="H25" i="20" s="1"/>
  <c r="D32" i="21"/>
  <c r="E27" i="21"/>
  <c r="F27" i="21"/>
  <c r="G27" i="21"/>
  <c r="D27" i="21"/>
  <c r="H26" i="20"/>
  <c r="G23" i="20"/>
  <c r="H23" i="20" s="1"/>
  <c r="F36" i="20"/>
  <c r="G36" i="20" s="1"/>
  <c r="F47" i="20"/>
  <c r="H47" i="20" s="1"/>
  <c r="F22" i="20"/>
  <c r="G22" i="20" s="1"/>
  <c r="E49" i="20"/>
  <c r="E38" i="20"/>
  <c r="E27" i="20"/>
  <c r="E14" i="20"/>
  <c r="F14" i="20" s="1"/>
  <c r="H14" i="20" s="1"/>
  <c r="AC8" i="14"/>
  <c r="AC9" i="14" s="1"/>
  <c r="AB9" i="14"/>
  <c r="AA9" i="14"/>
  <c r="S8" i="14"/>
  <c r="M9" i="14"/>
  <c r="C6" i="19"/>
  <c r="D6" i="19"/>
  <c r="K23" i="21" l="1"/>
  <c r="K27" i="21"/>
  <c r="K32" i="21"/>
  <c r="F36" i="21"/>
  <c r="D36" i="21"/>
  <c r="E36" i="21"/>
  <c r="G36" i="21"/>
  <c r="G34" i="21"/>
  <c r="F34" i="21"/>
  <c r="D34" i="21"/>
  <c r="K25" i="21"/>
  <c r="E34" i="21"/>
  <c r="E30" i="21"/>
  <c r="D30" i="21"/>
  <c r="F38" i="20"/>
  <c r="G38" i="20" s="1"/>
  <c r="F27" i="20"/>
  <c r="G27" i="20"/>
  <c r="F49" i="20"/>
  <c r="H49" i="20" s="1"/>
  <c r="T8" i="14"/>
  <c r="T9" i="14" s="1"/>
  <c r="S9" i="14"/>
  <c r="F38" i="21" l="1"/>
  <c r="G7" i="22" s="1"/>
  <c r="K36" i="21"/>
  <c r="G38" i="21"/>
  <c r="H7" i="22" s="1"/>
  <c r="K34" i="21"/>
  <c r="K30" i="21"/>
  <c r="H22" i="20"/>
  <c r="D21" i="21" l="1"/>
  <c r="E21" i="21"/>
  <c r="E38" i="21" s="1"/>
  <c r="F7" i="22" s="1"/>
  <c r="H27" i="20"/>
  <c r="E9" i="14"/>
  <c r="F8" i="14"/>
  <c r="F9" i="14" s="1"/>
  <c r="S7" i="11"/>
  <c r="S6" i="11"/>
  <c r="E16" i="4"/>
  <c r="F16" i="4"/>
  <c r="E16" i="5" s="1"/>
  <c r="H16" i="4"/>
  <c r="I16" i="4"/>
  <c r="E11" i="4"/>
  <c r="F11" i="4"/>
  <c r="E12" i="5" s="1"/>
  <c r="H11" i="4"/>
  <c r="I11" i="4"/>
  <c r="E7" i="4"/>
  <c r="F7" i="4"/>
  <c r="G7" i="4"/>
  <c r="F6" i="5" s="1"/>
  <c r="H7" i="4"/>
  <c r="I7" i="4"/>
  <c r="G14" i="4"/>
  <c r="G13" i="4"/>
  <c r="D15" i="4"/>
  <c r="D14" i="4"/>
  <c r="D13" i="4"/>
  <c r="P433" i="11"/>
  <c r="P432" i="11"/>
  <c r="P431" i="11"/>
  <c r="P430" i="11"/>
  <c r="P429" i="11"/>
  <c r="P428" i="11"/>
  <c r="P427" i="11"/>
  <c r="P426" i="11"/>
  <c r="P425" i="11"/>
  <c r="P424" i="11"/>
  <c r="P423" i="11"/>
  <c r="P422" i="11"/>
  <c r="P421" i="11"/>
  <c r="P420" i="11"/>
  <c r="P419" i="11"/>
  <c r="P418" i="11"/>
  <c r="P417" i="11"/>
  <c r="P416" i="11"/>
  <c r="P415" i="11"/>
  <c r="P414" i="11"/>
  <c r="P413" i="11"/>
  <c r="P412" i="11"/>
  <c r="P411" i="11"/>
  <c r="P410" i="11"/>
  <c r="P409" i="11"/>
  <c r="P408" i="11"/>
  <c r="P407" i="11"/>
  <c r="P406" i="11"/>
  <c r="P405" i="11"/>
  <c r="P404" i="11"/>
  <c r="P403" i="11"/>
  <c r="P402" i="11"/>
  <c r="P401" i="11"/>
  <c r="P400" i="11"/>
  <c r="P399" i="11"/>
  <c r="P398" i="11"/>
  <c r="P397" i="11"/>
  <c r="P396" i="11"/>
  <c r="P395" i="11"/>
  <c r="P394" i="11"/>
  <c r="P393" i="11"/>
  <c r="P392" i="11"/>
  <c r="P391" i="11"/>
  <c r="P390" i="11"/>
  <c r="P389" i="11"/>
  <c r="P388" i="11"/>
  <c r="P387" i="11"/>
  <c r="P386" i="11"/>
  <c r="P385" i="11"/>
  <c r="P384" i="11"/>
  <c r="P383" i="11"/>
  <c r="P382" i="11"/>
  <c r="P381" i="11"/>
  <c r="P380" i="11"/>
  <c r="P379" i="11"/>
  <c r="P378" i="11"/>
  <c r="P377" i="11"/>
  <c r="P376" i="11"/>
  <c r="P375" i="11"/>
  <c r="P374" i="11"/>
  <c r="P373" i="11"/>
  <c r="P372" i="11"/>
  <c r="P371" i="11"/>
  <c r="P370" i="11"/>
  <c r="P369" i="11"/>
  <c r="P368" i="11"/>
  <c r="P367" i="11"/>
  <c r="P366" i="11"/>
  <c r="P365" i="11"/>
  <c r="P364" i="11"/>
  <c r="P363" i="11"/>
  <c r="P362" i="11"/>
  <c r="P361" i="11"/>
  <c r="P360" i="11"/>
  <c r="P359" i="11"/>
  <c r="P358" i="11"/>
  <c r="P357" i="11"/>
  <c r="P356" i="11"/>
  <c r="P355" i="11"/>
  <c r="P354" i="11"/>
  <c r="P353" i="11"/>
  <c r="P352" i="11"/>
  <c r="P351" i="11"/>
  <c r="P350" i="11"/>
  <c r="P349" i="11"/>
  <c r="P348" i="11"/>
  <c r="P347" i="11"/>
  <c r="P346" i="11"/>
  <c r="P345" i="11"/>
  <c r="P344" i="11"/>
  <c r="P343" i="11"/>
  <c r="P342" i="11"/>
  <c r="P341" i="11"/>
  <c r="P340" i="11"/>
  <c r="P339" i="11"/>
  <c r="P338" i="11"/>
  <c r="P337" i="11"/>
  <c r="P336" i="11"/>
  <c r="P335" i="11"/>
  <c r="P334" i="11"/>
  <c r="P333" i="11"/>
  <c r="P332" i="11"/>
  <c r="P331" i="11"/>
  <c r="P330" i="11"/>
  <c r="P329" i="11"/>
  <c r="P328" i="11"/>
  <c r="P327" i="11"/>
  <c r="P326" i="11"/>
  <c r="P325" i="11"/>
  <c r="P324" i="11"/>
  <c r="P323" i="11"/>
  <c r="P322" i="11"/>
  <c r="P321" i="11"/>
  <c r="P320" i="11"/>
  <c r="P319" i="11"/>
  <c r="P318" i="11"/>
  <c r="P317" i="11"/>
  <c r="P316" i="11"/>
  <c r="P315" i="11"/>
  <c r="P314" i="11"/>
  <c r="P313" i="11"/>
  <c r="P312" i="11"/>
  <c r="P311" i="11"/>
  <c r="P310" i="11"/>
  <c r="P309" i="11"/>
  <c r="P308" i="11"/>
  <c r="P307" i="11"/>
  <c r="P306" i="11"/>
  <c r="P305" i="11"/>
  <c r="P304" i="11"/>
  <c r="P303" i="11"/>
  <c r="P302" i="11"/>
  <c r="P301" i="11"/>
  <c r="P300" i="11"/>
  <c r="P299" i="11"/>
  <c r="P298" i="11"/>
  <c r="P297" i="11"/>
  <c r="P296" i="11"/>
  <c r="P295" i="11"/>
  <c r="P294" i="11"/>
  <c r="P293" i="11"/>
  <c r="P292" i="11"/>
  <c r="P291" i="11"/>
  <c r="P290" i="11"/>
  <c r="P289" i="11"/>
  <c r="P288" i="11"/>
  <c r="P287" i="11"/>
  <c r="P286" i="11"/>
  <c r="P285" i="11"/>
  <c r="P284" i="11"/>
  <c r="P283" i="11"/>
  <c r="P282" i="11"/>
  <c r="P281" i="11"/>
  <c r="P280" i="11"/>
  <c r="P279" i="11"/>
  <c r="P278" i="11"/>
  <c r="P277" i="11"/>
  <c r="P276" i="11"/>
  <c r="P275" i="11"/>
  <c r="P274" i="11"/>
  <c r="P273" i="11"/>
  <c r="P272" i="11"/>
  <c r="P271" i="11"/>
  <c r="P270" i="11"/>
  <c r="P269" i="11"/>
  <c r="P268" i="11"/>
  <c r="P267" i="11"/>
  <c r="P266" i="11"/>
  <c r="P265" i="11"/>
  <c r="P264" i="11"/>
  <c r="P263" i="11"/>
  <c r="P262" i="11"/>
  <c r="P261" i="11"/>
  <c r="P260" i="11"/>
  <c r="P259" i="11"/>
  <c r="P258" i="11"/>
  <c r="P257" i="11"/>
  <c r="P256" i="11"/>
  <c r="P255" i="11"/>
  <c r="P254" i="11"/>
  <c r="P253" i="11"/>
  <c r="P252" i="11"/>
  <c r="P251" i="11"/>
  <c r="P250" i="11"/>
  <c r="P249" i="11"/>
  <c r="P248" i="11"/>
  <c r="P247" i="11"/>
  <c r="P246" i="11"/>
  <c r="P245" i="11"/>
  <c r="P244" i="11"/>
  <c r="P243" i="11"/>
  <c r="P242" i="11"/>
  <c r="P241" i="11"/>
  <c r="P240" i="11"/>
  <c r="P239" i="11"/>
  <c r="P238" i="11"/>
  <c r="P237" i="11"/>
  <c r="P236" i="11"/>
  <c r="P235" i="11"/>
  <c r="P234" i="11"/>
  <c r="P233" i="11"/>
  <c r="P232" i="11"/>
  <c r="P231" i="11"/>
  <c r="P230" i="11"/>
  <c r="P229" i="11"/>
  <c r="P228" i="11"/>
  <c r="P227" i="11"/>
  <c r="P226" i="11"/>
  <c r="P225" i="11"/>
  <c r="P224" i="11"/>
  <c r="P223" i="11"/>
  <c r="P222" i="11"/>
  <c r="P221" i="11"/>
  <c r="P220" i="11"/>
  <c r="P219" i="11"/>
  <c r="P218" i="11"/>
  <c r="P217" i="11"/>
  <c r="P216" i="11"/>
  <c r="P215" i="11"/>
  <c r="P214" i="11"/>
  <c r="P213" i="11"/>
  <c r="P212" i="11"/>
  <c r="P211" i="11"/>
  <c r="P210" i="11"/>
  <c r="P209" i="11"/>
  <c r="P208" i="11"/>
  <c r="P207" i="11"/>
  <c r="P206" i="11"/>
  <c r="P205" i="11"/>
  <c r="P204" i="11"/>
  <c r="P203" i="11"/>
  <c r="P202" i="11"/>
  <c r="P201" i="11"/>
  <c r="P200" i="11"/>
  <c r="P199" i="11"/>
  <c r="P198" i="11"/>
  <c r="P197" i="11"/>
  <c r="P196" i="11"/>
  <c r="P195" i="11"/>
  <c r="P194" i="11"/>
  <c r="P193" i="11"/>
  <c r="P192" i="11"/>
  <c r="P191" i="11"/>
  <c r="P190" i="11"/>
  <c r="P189" i="11"/>
  <c r="P188" i="11"/>
  <c r="P187" i="11"/>
  <c r="P186" i="11"/>
  <c r="P185" i="11"/>
  <c r="P184" i="11"/>
  <c r="P183" i="11"/>
  <c r="P182" i="11"/>
  <c r="P181" i="11"/>
  <c r="P180" i="11"/>
  <c r="P179" i="11"/>
  <c r="P178" i="11"/>
  <c r="P177" i="11"/>
  <c r="P176" i="11"/>
  <c r="P175" i="11"/>
  <c r="P174" i="11"/>
  <c r="P173" i="11"/>
  <c r="P172" i="11"/>
  <c r="P171" i="11"/>
  <c r="P170" i="11"/>
  <c r="P169" i="11"/>
  <c r="P168" i="11"/>
  <c r="P167" i="11"/>
  <c r="P166" i="11"/>
  <c r="P165" i="11"/>
  <c r="P164" i="11"/>
  <c r="P163" i="11"/>
  <c r="P162" i="11"/>
  <c r="P161" i="11"/>
  <c r="P160" i="11"/>
  <c r="P159" i="11"/>
  <c r="P158" i="11"/>
  <c r="P157" i="11"/>
  <c r="P156" i="11"/>
  <c r="P155" i="11"/>
  <c r="P154" i="11"/>
  <c r="P153" i="11"/>
  <c r="P152" i="11"/>
  <c r="P151" i="11"/>
  <c r="P150" i="11"/>
  <c r="P149" i="11"/>
  <c r="P148" i="11"/>
  <c r="P147" i="11"/>
  <c r="P146" i="11"/>
  <c r="P145" i="11"/>
  <c r="P144" i="11"/>
  <c r="P143" i="11"/>
  <c r="P142" i="11"/>
  <c r="P141" i="11"/>
  <c r="P140" i="11"/>
  <c r="P139" i="11"/>
  <c r="P138" i="11"/>
  <c r="P137" i="11"/>
  <c r="P136" i="11"/>
  <c r="P135" i="11"/>
  <c r="P134" i="11"/>
  <c r="P133" i="11"/>
  <c r="P132" i="11"/>
  <c r="P131" i="11"/>
  <c r="P130" i="11"/>
  <c r="P129" i="11"/>
  <c r="P128" i="11"/>
  <c r="P127" i="11"/>
  <c r="P126" i="11"/>
  <c r="P125" i="11"/>
  <c r="P124" i="11"/>
  <c r="P123" i="11"/>
  <c r="P122" i="11"/>
  <c r="P121" i="11"/>
  <c r="P120" i="11"/>
  <c r="P119" i="11"/>
  <c r="P118" i="11"/>
  <c r="P117" i="11"/>
  <c r="P116" i="11"/>
  <c r="P115" i="11"/>
  <c r="P114" i="11"/>
  <c r="P113" i="11"/>
  <c r="P112" i="11"/>
  <c r="P111" i="11"/>
  <c r="P110" i="11"/>
  <c r="P109" i="11"/>
  <c r="P108" i="11"/>
  <c r="P107" i="11"/>
  <c r="P106" i="11"/>
  <c r="P105" i="11"/>
  <c r="P104" i="11"/>
  <c r="P103" i="11"/>
  <c r="P102" i="11"/>
  <c r="P101" i="11"/>
  <c r="P100" i="11"/>
  <c r="P99" i="11"/>
  <c r="P98" i="11"/>
  <c r="P97" i="11"/>
  <c r="P96" i="11"/>
  <c r="P95" i="11"/>
  <c r="P94" i="11"/>
  <c r="P93" i="11"/>
  <c r="P92" i="11"/>
  <c r="P91" i="11"/>
  <c r="P90" i="11"/>
  <c r="P89" i="11"/>
  <c r="P88" i="11"/>
  <c r="P87" i="11"/>
  <c r="P86" i="11"/>
  <c r="P85" i="11"/>
  <c r="P84" i="11"/>
  <c r="P83" i="11"/>
  <c r="P82" i="11"/>
  <c r="P81" i="11"/>
  <c r="P80" i="11"/>
  <c r="P79" i="11"/>
  <c r="P78" i="11"/>
  <c r="P77" i="11"/>
  <c r="P76" i="11"/>
  <c r="P75" i="11"/>
  <c r="P74" i="11"/>
  <c r="P73" i="11"/>
  <c r="P72" i="11"/>
  <c r="P71" i="11"/>
  <c r="P70" i="11"/>
  <c r="P69" i="11"/>
  <c r="P68" i="11"/>
  <c r="P67" i="11"/>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B5" i="1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B103" i="11" s="1"/>
  <c r="B104" i="11" s="1"/>
  <c r="B105" i="11" s="1"/>
  <c r="B106" i="11" s="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B305" i="11" s="1"/>
  <c r="B306" i="11" s="1"/>
  <c r="B307" i="11" s="1"/>
  <c r="B308" i="11" s="1"/>
  <c r="B309" i="11" s="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341" i="11" s="1"/>
  <c r="B342" i="11" s="1"/>
  <c r="B343" i="11" s="1"/>
  <c r="B344" i="11" s="1"/>
  <c r="B345" i="11" s="1"/>
  <c r="B346" i="11" s="1"/>
  <c r="B347" i="11" s="1"/>
  <c r="B348" i="11" s="1"/>
  <c r="B349" i="11" s="1"/>
  <c r="B350" i="11" s="1"/>
  <c r="B351" i="11" s="1"/>
  <c r="B352" i="11" s="1"/>
  <c r="B353" i="11" s="1"/>
  <c r="B354" i="11" s="1"/>
  <c r="B355" i="11" s="1"/>
  <c r="B356" i="11" s="1"/>
  <c r="B357" i="11" s="1"/>
  <c r="B358" i="11" s="1"/>
  <c r="B359" i="11" s="1"/>
  <c r="B360" i="11" s="1"/>
  <c r="B361" i="11" s="1"/>
  <c r="B362" i="11" s="1"/>
  <c r="B363" i="11" s="1"/>
  <c r="B364" i="11" s="1"/>
  <c r="B365" i="11" s="1"/>
  <c r="B366" i="11" s="1"/>
  <c r="B367" i="11" s="1"/>
  <c r="B368" i="11" s="1"/>
  <c r="B369" i="11" s="1"/>
  <c r="B370" i="11" s="1"/>
  <c r="B371" i="11" s="1"/>
  <c r="B372" i="11" s="1"/>
  <c r="B373" i="11" s="1"/>
  <c r="B374" i="11" s="1"/>
  <c r="B375" i="11" s="1"/>
  <c r="B376" i="11" s="1"/>
  <c r="B377" i="11" s="1"/>
  <c r="B378" i="11" s="1"/>
  <c r="B379" i="11" s="1"/>
  <c r="B380" i="11" s="1"/>
  <c r="B381" i="11" s="1"/>
  <c r="B382" i="11" s="1"/>
  <c r="B383" i="11" s="1"/>
  <c r="B384" i="11" s="1"/>
  <c r="B385" i="11" s="1"/>
  <c r="B386" i="11" s="1"/>
  <c r="B387" i="11" s="1"/>
  <c r="B388" i="11" s="1"/>
  <c r="B389" i="11" s="1"/>
  <c r="B390" i="11" s="1"/>
  <c r="B391" i="11" s="1"/>
  <c r="B392" i="11" s="1"/>
  <c r="B393" i="11" s="1"/>
  <c r="B394" i="11" s="1"/>
  <c r="B395" i="11" s="1"/>
  <c r="B396" i="11" s="1"/>
  <c r="B397" i="11" s="1"/>
  <c r="B398" i="11" s="1"/>
  <c r="B399" i="11" s="1"/>
  <c r="B400" i="11" s="1"/>
  <c r="B401" i="11" s="1"/>
  <c r="B402" i="11" s="1"/>
  <c r="B403" i="11" s="1"/>
  <c r="B404" i="11" s="1"/>
  <c r="B405" i="11" s="1"/>
  <c r="B406" i="11" s="1"/>
  <c r="B407" i="11" s="1"/>
  <c r="B408" i="11" s="1"/>
  <c r="B409" i="11" s="1"/>
  <c r="B410" i="11" s="1"/>
  <c r="B411" i="11" s="1"/>
  <c r="B412" i="11" s="1"/>
  <c r="B413" i="11" s="1"/>
  <c r="B414" i="11" s="1"/>
  <c r="B415" i="11" s="1"/>
  <c r="B416" i="11" s="1"/>
  <c r="B417" i="11" s="1"/>
  <c r="B418" i="11" s="1"/>
  <c r="B419" i="11" s="1"/>
  <c r="B420" i="11" s="1"/>
  <c r="B421" i="11" s="1"/>
  <c r="B422" i="11" s="1"/>
  <c r="B423" i="11" s="1"/>
  <c r="B424" i="11" s="1"/>
  <c r="B425" i="11" s="1"/>
  <c r="B426" i="11" s="1"/>
  <c r="B427" i="11" s="1"/>
  <c r="B428" i="11" s="1"/>
  <c r="B429" i="11" s="1"/>
  <c r="B430" i="11" s="1"/>
  <c r="B431" i="11" s="1"/>
  <c r="B432" i="11" s="1"/>
  <c r="B433" i="11" s="1"/>
  <c r="P4" i="11"/>
  <c r="D10" i="4"/>
  <c r="G11" i="4"/>
  <c r="F10" i="5" s="1"/>
  <c r="D9" i="4"/>
  <c r="D6" i="4"/>
  <c r="P813" i="12"/>
  <c r="P812" i="12"/>
  <c r="P811" i="12"/>
  <c r="P810" i="12"/>
  <c r="P809" i="12"/>
  <c r="P808" i="12"/>
  <c r="P807" i="12"/>
  <c r="P806" i="12"/>
  <c r="P805" i="12"/>
  <c r="P804" i="12"/>
  <c r="P803" i="12"/>
  <c r="P802" i="12"/>
  <c r="P801" i="12"/>
  <c r="P800" i="12"/>
  <c r="P799" i="12"/>
  <c r="P798" i="12"/>
  <c r="P797" i="12"/>
  <c r="P796" i="12"/>
  <c r="P795" i="12"/>
  <c r="P794" i="12"/>
  <c r="P793" i="12"/>
  <c r="P792" i="12"/>
  <c r="P791" i="12"/>
  <c r="P790" i="12"/>
  <c r="P789" i="12"/>
  <c r="P788" i="12"/>
  <c r="P787" i="12"/>
  <c r="P786" i="12"/>
  <c r="P785" i="12"/>
  <c r="P784" i="12"/>
  <c r="P783" i="12"/>
  <c r="P782" i="12"/>
  <c r="P781" i="12"/>
  <c r="P780" i="12"/>
  <c r="P779" i="12"/>
  <c r="P778" i="12"/>
  <c r="P777" i="12"/>
  <c r="P776" i="12"/>
  <c r="P775" i="12"/>
  <c r="P774" i="12"/>
  <c r="P773" i="12"/>
  <c r="P772" i="12"/>
  <c r="P771" i="12"/>
  <c r="P770" i="12"/>
  <c r="P769" i="12"/>
  <c r="P768" i="12"/>
  <c r="P767" i="12"/>
  <c r="P766" i="12"/>
  <c r="P765" i="12"/>
  <c r="P764" i="12"/>
  <c r="P763" i="12"/>
  <c r="P762" i="12"/>
  <c r="P761" i="12"/>
  <c r="P760" i="12"/>
  <c r="P759" i="12"/>
  <c r="P758" i="12"/>
  <c r="P757" i="12"/>
  <c r="P756" i="12"/>
  <c r="P755" i="12"/>
  <c r="P754" i="12"/>
  <c r="P753" i="12"/>
  <c r="P752" i="12"/>
  <c r="P751" i="12"/>
  <c r="P750" i="12"/>
  <c r="P749" i="12"/>
  <c r="P748" i="12"/>
  <c r="P747" i="12"/>
  <c r="P746" i="12"/>
  <c r="P745" i="12"/>
  <c r="P744" i="12"/>
  <c r="P743" i="12"/>
  <c r="P742" i="12"/>
  <c r="P741" i="12"/>
  <c r="P740" i="12"/>
  <c r="P739" i="12"/>
  <c r="P738" i="12"/>
  <c r="P737" i="12"/>
  <c r="P736" i="12"/>
  <c r="P735" i="12"/>
  <c r="P734" i="12"/>
  <c r="P733" i="12"/>
  <c r="P732" i="12"/>
  <c r="P731" i="12"/>
  <c r="P730" i="12"/>
  <c r="P729" i="12"/>
  <c r="P728" i="12"/>
  <c r="P727" i="12"/>
  <c r="P726" i="12"/>
  <c r="P725" i="12"/>
  <c r="P724" i="12"/>
  <c r="P723" i="12"/>
  <c r="P722" i="12"/>
  <c r="P721" i="12"/>
  <c r="P720" i="12"/>
  <c r="P719" i="12"/>
  <c r="P718" i="12"/>
  <c r="P717" i="12"/>
  <c r="P716" i="12"/>
  <c r="P715" i="12"/>
  <c r="P714" i="12"/>
  <c r="P713" i="12"/>
  <c r="P712" i="12"/>
  <c r="P711" i="12"/>
  <c r="P710" i="12"/>
  <c r="P709" i="12"/>
  <c r="P708" i="12"/>
  <c r="P707" i="12"/>
  <c r="P706" i="12"/>
  <c r="P705" i="12"/>
  <c r="P704" i="12"/>
  <c r="P703" i="12"/>
  <c r="P702" i="12"/>
  <c r="P701" i="12"/>
  <c r="P700" i="12"/>
  <c r="P699" i="12"/>
  <c r="P698" i="12"/>
  <c r="P697" i="12"/>
  <c r="P696" i="12"/>
  <c r="P695" i="12"/>
  <c r="P694" i="12"/>
  <c r="P693" i="12"/>
  <c r="P692" i="12"/>
  <c r="P691" i="12"/>
  <c r="P690" i="12"/>
  <c r="P689" i="12"/>
  <c r="P688" i="12"/>
  <c r="P687" i="12"/>
  <c r="P686" i="12"/>
  <c r="P685" i="12"/>
  <c r="P684" i="12"/>
  <c r="P683" i="12"/>
  <c r="P682" i="12"/>
  <c r="P681" i="12"/>
  <c r="P680" i="12"/>
  <c r="P679" i="12"/>
  <c r="P678" i="12"/>
  <c r="P677" i="12"/>
  <c r="P676" i="12"/>
  <c r="P675" i="12"/>
  <c r="P674" i="12"/>
  <c r="P673" i="12"/>
  <c r="P672" i="12"/>
  <c r="P671" i="12"/>
  <c r="P670" i="12"/>
  <c r="P669" i="12"/>
  <c r="P668" i="12"/>
  <c r="P667" i="12"/>
  <c r="P666" i="12"/>
  <c r="P665" i="12"/>
  <c r="P664" i="12"/>
  <c r="P663" i="12"/>
  <c r="P662" i="12"/>
  <c r="P661" i="12"/>
  <c r="P660" i="12"/>
  <c r="P659" i="12"/>
  <c r="P658" i="12"/>
  <c r="P657" i="12"/>
  <c r="P656" i="12"/>
  <c r="P655" i="12"/>
  <c r="P654" i="12"/>
  <c r="P653" i="12"/>
  <c r="P652" i="12"/>
  <c r="P651" i="12"/>
  <c r="P650" i="12"/>
  <c r="P649" i="12"/>
  <c r="P648" i="12"/>
  <c r="P647" i="12"/>
  <c r="P646" i="12"/>
  <c r="P645" i="12"/>
  <c r="P644" i="12"/>
  <c r="P643" i="12"/>
  <c r="P642" i="12"/>
  <c r="P641" i="12"/>
  <c r="P640" i="12"/>
  <c r="P639" i="12"/>
  <c r="P638" i="12"/>
  <c r="P637" i="12"/>
  <c r="P636" i="12"/>
  <c r="P635" i="12"/>
  <c r="P634" i="12"/>
  <c r="P633" i="12"/>
  <c r="P632" i="12"/>
  <c r="P631" i="12"/>
  <c r="P630" i="12"/>
  <c r="P629" i="12"/>
  <c r="M629" i="12"/>
  <c r="P628" i="12"/>
  <c r="P627" i="12"/>
  <c r="P626" i="12"/>
  <c r="P625" i="12"/>
  <c r="P624" i="12"/>
  <c r="P623" i="12"/>
  <c r="P622" i="12"/>
  <c r="P621" i="12"/>
  <c r="P620" i="12"/>
  <c r="P619" i="12"/>
  <c r="P618" i="12"/>
  <c r="P617" i="12"/>
  <c r="P616" i="12"/>
  <c r="P615" i="12"/>
  <c r="P614" i="12"/>
  <c r="P613" i="12"/>
  <c r="P612" i="12"/>
  <c r="P611" i="12"/>
  <c r="P610" i="12"/>
  <c r="P609" i="12"/>
  <c r="P608" i="12"/>
  <c r="P607" i="12"/>
  <c r="P606" i="12"/>
  <c r="P605" i="12"/>
  <c r="P604" i="12"/>
  <c r="P603" i="12"/>
  <c r="P602" i="12"/>
  <c r="P601" i="12"/>
  <c r="P600" i="12"/>
  <c r="P599" i="12"/>
  <c r="P598" i="12"/>
  <c r="P597" i="12"/>
  <c r="P596" i="12"/>
  <c r="P595" i="12"/>
  <c r="M595" i="12"/>
  <c r="P594" i="12"/>
  <c r="P593" i="12"/>
  <c r="P592" i="12"/>
  <c r="P591" i="12"/>
  <c r="P590" i="12"/>
  <c r="P589" i="12"/>
  <c r="P588" i="12"/>
  <c r="P587" i="12"/>
  <c r="P586" i="12"/>
  <c r="P585" i="12"/>
  <c r="P584" i="12"/>
  <c r="P583" i="12"/>
  <c r="P582" i="12"/>
  <c r="P581" i="12"/>
  <c r="P580" i="12"/>
  <c r="P579" i="12"/>
  <c r="P578" i="12"/>
  <c r="P577" i="12"/>
  <c r="P576" i="12"/>
  <c r="P575" i="12"/>
  <c r="P574" i="12"/>
  <c r="P573" i="12"/>
  <c r="P572" i="12"/>
  <c r="P571" i="12"/>
  <c r="P570" i="12"/>
  <c r="P569" i="12"/>
  <c r="P568" i="12"/>
  <c r="M568" i="12"/>
  <c r="P567" i="12"/>
  <c r="P566" i="12"/>
  <c r="P565" i="12"/>
  <c r="P564" i="12"/>
  <c r="P563" i="12"/>
  <c r="P562" i="12"/>
  <c r="P561" i="12"/>
  <c r="P560" i="12"/>
  <c r="P559" i="12"/>
  <c r="P558" i="12"/>
  <c r="P557" i="12"/>
  <c r="P556" i="12"/>
  <c r="P555" i="12"/>
  <c r="P554" i="12"/>
  <c r="P553" i="12"/>
  <c r="P552" i="12"/>
  <c r="P551" i="12"/>
  <c r="P550" i="12"/>
  <c r="P549" i="12"/>
  <c r="P548" i="12"/>
  <c r="P547" i="12"/>
  <c r="P546" i="12"/>
  <c r="P545" i="12"/>
  <c r="P544" i="12"/>
  <c r="P543" i="12"/>
  <c r="P542" i="12"/>
  <c r="P541" i="12"/>
  <c r="P540" i="12"/>
  <c r="P539" i="12"/>
  <c r="P538" i="12"/>
  <c r="P537" i="12"/>
  <c r="P536" i="12"/>
  <c r="P535" i="12"/>
  <c r="P534" i="12"/>
  <c r="P533" i="12"/>
  <c r="P532" i="12"/>
  <c r="P531" i="12"/>
  <c r="P530" i="12"/>
  <c r="P529" i="12"/>
  <c r="P528" i="12"/>
  <c r="P527" i="12"/>
  <c r="P526" i="12"/>
  <c r="P525" i="12"/>
  <c r="P524" i="12"/>
  <c r="P523" i="12"/>
  <c r="P522" i="12"/>
  <c r="P521" i="12"/>
  <c r="P520" i="12"/>
  <c r="P519" i="12"/>
  <c r="P518" i="12"/>
  <c r="P517" i="12"/>
  <c r="P516" i="12"/>
  <c r="P515" i="12"/>
  <c r="P514" i="12"/>
  <c r="P513" i="12"/>
  <c r="P512" i="12"/>
  <c r="P511" i="12"/>
  <c r="P510" i="12"/>
  <c r="P509" i="12"/>
  <c r="P508" i="12"/>
  <c r="P507" i="12"/>
  <c r="P506" i="12"/>
  <c r="P505" i="12"/>
  <c r="P504" i="12"/>
  <c r="P503" i="12"/>
  <c r="P502" i="12"/>
  <c r="P501" i="12"/>
  <c r="P500" i="12"/>
  <c r="P499" i="12"/>
  <c r="P498" i="12"/>
  <c r="P497" i="12"/>
  <c r="P496" i="12"/>
  <c r="P495" i="12"/>
  <c r="P494" i="12"/>
  <c r="P493" i="12"/>
  <c r="P492" i="12"/>
  <c r="P491" i="12"/>
  <c r="P490" i="12"/>
  <c r="P489" i="12"/>
  <c r="P488" i="12"/>
  <c r="P487" i="12"/>
  <c r="P486" i="12"/>
  <c r="P485" i="12"/>
  <c r="P484" i="12"/>
  <c r="P483" i="12"/>
  <c r="P482" i="12"/>
  <c r="P481" i="12"/>
  <c r="P480" i="12"/>
  <c r="P479" i="12"/>
  <c r="P478" i="12"/>
  <c r="P477" i="12"/>
  <c r="P476" i="12"/>
  <c r="P475" i="12"/>
  <c r="P474" i="12"/>
  <c r="P473" i="12"/>
  <c r="P472" i="12"/>
  <c r="P471" i="12"/>
  <c r="P470" i="12"/>
  <c r="P469" i="12"/>
  <c r="P468" i="12"/>
  <c r="M468" i="12"/>
  <c r="P467" i="12"/>
  <c r="P466" i="12"/>
  <c r="P465" i="12"/>
  <c r="P464" i="12"/>
  <c r="P463" i="12"/>
  <c r="P462" i="12"/>
  <c r="P461" i="12"/>
  <c r="P460" i="12"/>
  <c r="P459" i="12"/>
  <c r="P458" i="12"/>
  <c r="P457" i="12"/>
  <c r="P456" i="12"/>
  <c r="P455" i="12"/>
  <c r="P454" i="12"/>
  <c r="P453" i="12"/>
  <c r="P452" i="12"/>
  <c r="P451" i="12"/>
  <c r="P450" i="12"/>
  <c r="P449" i="12"/>
  <c r="P448" i="12"/>
  <c r="P447" i="12"/>
  <c r="P446" i="12"/>
  <c r="P445" i="12"/>
  <c r="P444" i="12"/>
  <c r="P443" i="12"/>
  <c r="P442" i="12"/>
  <c r="P441" i="12"/>
  <c r="M441" i="12"/>
  <c r="P440" i="12"/>
  <c r="P439" i="12"/>
  <c r="P438" i="12"/>
  <c r="M438" i="12"/>
  <c r="P437" i="12"/>
  <c r="P436" i="12"/>
  <c r="P435" i="12"/>
  <c r="P434" i="12"/>
  <c r="P433" i="12"/>
  <c r="P432" i="12"/>
  <c r="P431" i="12"/>
  <c r="P430" i="12"/>
  <c r="P429" i="12"/>
  <c r="P428" i="12"/>
  <c r="P427" i="12"/>
  <c r="P426" i="12"/>
  <c r="P425" i="12"/>
  <c r="P424" i="12"/>
  <c r="P423" i="12"/>
  <c r="P422" i="12"/>
  <c r="P421" i="12"/>
  <c r="P420" i="12"/>
  <c r="P419" i="12"/>
  <c r="P418" i="12"/>
  <c r="P417" i="12"/>
  <c r="P416" i="12"/>
  <c r="P415" i="12"/>
  <c r="P414" i="12"/>
  <c r="P413" i="12"/>
  <c r="P412" i="12"/>
  <c r="P411" i="12"/>
  <c r="P410" i="12"/>
  <c r="P409" i="12"/>
  <c r="P408" i="12"/>
  <c r="P407" i="12"/>
  <c r="P406" i="12"/>
  <c r="P405" i="12"/>
  <c r="P404" i="12"/>
  <c r="P403" i="12"/>
  <c r="P402" i="12"/>
  <c r="P401" i="12"/>
  <c r="P400" i="12"/>
  <c r="P399" i="12"/>
  <c r="P398" i="12"/>
  <c r="P397" i="12"/>
  <c r="P396" i="12"/>
  <c r="P395" i="12"/>
  <c r="P394" i="12"/>
  <c r="P393" i="12"/>
  <c r="P392" i="12"/>
  <c r="P391" i="12"/>
  <c r="P390" i="12"/>
  <c r="P389" i="12"/>
  <c r="P388" i="12"/>
  <c r="P387" i="12"/>
  <c r="P386" i="12"/>
  <c r="P385" i="12"/>
  <c r="P384" i="12"/>
  <c r="P383" i="12"/>
  <c r="P382" i="12"/>
  <c r="P381" i="12"/>
  <c r="P380" i="12"/>
  <c r="P379" i="12"/>
  <c r="P378" i="12"/>
  <c r="P377" i="12"/>
  <c r="P376" i="12"/>
  <c r="P375" i="12"/>
  <c r="P374" i="12"/>
  <c r="P373" i="12"/>
  <c r="P372" i="12"/>
  <c r="P371" i="12"/>
  <c r="P370" i="12"/>
  <c r="P369" i="12"/>
  <c r="P368" i="12"/>
  <c r="P367" i="12"/>
  <c r="P366" i="12"/>
  <c r="P365" i="12"/>
  <c r="P364" i="12"/>
  <c r="P363" i="12"/>
  <c r="P362" i="12"/>
  <c r="P361" i="12"/>
  <c r="P360" i="12"/>
  <c r="P359" i="12"/>
  <c r="P358" i="12"/>
  <c r="P357" i="12"/>
  <c r="P356" i="12"/>
  <c r="P355" i="12"/>
  <c r="P354" i="12"/>
  <c r="P353" i="12"/>
  <c r="P352" i="12"/>
  <c r="P351" i="12"/>
  <c r="P350" i="12"/>
  <c r="M350" i="12"/>
  <c r="P349" i="12"/>
  <c r="P348" i="12"/>
  <c r="P347" i="12"/>
  <c r="P346" i="12"/>
  <c r="P345" i="12"/>
  <c r="P344" i="12"/>
  <c r="P343" i="12"/>
  <c r="P342" i="12"/>
  <c r="P341" i="12"/>
  <c r="P340" i="12"/>
  <c r="P339" i="12"/>
  <c r="P338" i="12"/>
  <c r="P337" i="12"/>
  <c r="P336" i="12"/>
  <c r="P335" i="12"/>
  <c r="P334" i="12"/>
  <c r="P333" i="12"/>
  <c r="P332" i="12"/>
  <c r="P331" i="12"/>
  <c r="P330" i="12"/>
  <c r="P329" i="12"/>
  <c r="P328" i="12"/>
  <c r="P327" i="12"/>
  <c r="P326" i="12"/>
  <c r="P325" i="12"/>
  <c r="P324" i="12"/>
  <c r="P323" i="12"/>
  <c r="P322" i="12"/>
  <c r="P321" i="12"/>
  <c r="P320" i="12"/>
  <c r="P319" i="12"/>
  <c r="P318" i="12"/>
  <c r="P317" i="12"/>
  <c r="P316" i="12"/>
  <c r="P315" i="12"/>
  <c r="P314" i="12"/>
  <c r="P313" i="12"/>
  <c r="P312" i="12"/>
  <c r="P311" i="12"/>
  <c r="P310" i="12"/>
  <c r="P309" i="12"/>
  <c r="P308" i="12"/>
  <c r="P307" i="12"/>
  <c r="P306" i="12"/>
  <c r="P305" i="12"/>
  <c r="P304" i="12"/>
  <c r="P303" i="12"/>
  <c r="P302" i="12"/>
  <c r="P301" i="12"/>
  <c r="P300" i="12"/>
  <c r="P299" i="12"/>
  <c r="P298" i="12"/>
  <c r="P297" i="12"/>
  <c r="P296" i="12"/>
  <c r="P295" i="12"/>
  <c r="P294" i="12"/>
  <c r="P293" i="12"/>
  <c r="P292" i="12"/>
  <c r="P291" i="12"/>
  <c r="P290" i="12"/>
  <c r="P289" i="12"/>
  <c r="P288" i="12"/>
  <c r="P287" i="12"/>
  <c r="P286" i="12"/>
  <c r="P285" i="12"/>
  <c r="P284" i="12"/>
  <c r="P283" i="12"/>
  <c r="P282" i="12"/>
  <c r="P281" i="12"/>
  <c r="P280" i="12"/>
  <c r="P279" i="12"/>
  <c r="P278" i="12"/>
  <c r="P277" i="12"/>
  <c r="P276" i="12"/>
  <c r="P275" i="12"/>
  <c r="P274" i="12"/>
  <c r="P273" i="12"/>
  <c r="P272" i="12"/>
  <c r="P271" i="12"/>
  <c r="P270" i="12"/>
  <c r="P269" i="12"/>
  <c r="P268" i="12"/>
  <c r="P267" i="12"/>
  <c r="P266" i="12"/>
  <c r="P265" i="12"/>
  <c r="P264" i="12"/>
  <c r="P263" i="12"/>
  <c r="P262" i="12"/>
  <c r="P261" i="12"/>
  <c r="P260" i="12"/>
  <c r="P259" i="12"/>
  <c r="P258" i="12"/>
  <c r="P257" i="12"/>
  <c r="P256" i="12"/>
  <c r="P255" i="12"/>
  <c r="P254" i="12"/>
  <c r="P253" i="12"/>
  <c r="P252" i="12"/>
  <c r="P251" i="12"/>
  <c r="P250" i="12"/>
  <c r="P249" i="12"/>
  <c r="P248" i="12"/>
  <c r="P247" i="12"/>
  <c r="P246" i="12"/>
  <c r="P245" i="12"/>
  <c r="P244" i="12"/>
  <c r="P243" i="12"/>
  <c r="P242" i="12"/>
  <c r="P241" i="12"/>
  <c r="P240" i="12"/>
  <c r="P239" i="12"/>
  <c r="P238" i="12"/>
  <c r="P237" i="12"/>
  <c r="P236" i="12"/>
  <c r="P235" i="12"/>
  <c r="P234" i="12"/>
  <c r="P233" i="12"/>
  <c r="P232" i="12"/>
  <c r="P231" i="12"/>
  <c r="P230" i="12"/>
  <c r="P229" i="12"/>
  <c r="P228" i="12"/>
  <c r="P227" i="12"/>
  <c r="P226" i="12"/>
  <c r="P225" i="12"/>
  <c r="P224" i="12"/>
  <c r="P223" i="12"/>
  <c r="P222" i="12"/>
  <c r="P221" i="12"/>
  <c r="P220" i="12"/>
  <c r="P219" i="12"/>
  <c r="P218" i="12"/>
  <c r="P217" i="12"/>
  <c r="P216" i="12"/>
  <c r="P215" i="12"/>
  <c r="P214" i="12"/>
  <c r="P213" i="12"/>
  <c r="P212" i="12"/>
  <c r="P211" i="12"/>
  <c r="P210" i="12"/>
  <c r="P209" i="12"/>
  <c r="P208" i="12"/>
  <c r="P207" i="12"/>
  <c r="P206" i="12"/>
  <c r="P205" i="12"/>
  <c r="P204" i="12"/>
  <c r="P203" i="12"/>
  <c r="P202" i="12"/>
  <c r="M202" i="12"/>
  <c r="P201" i="12"/>
  <c r="P200" i="12"/>
  <c r="P199" i="12"/>
  <c r="P198" i="12"/>
  <c r="P197" i="12"/>
  <c r="P196" i="12"/>
  <c r="P195" i="12"/>
  <c r="P194" i="12"/>
  <c r="P193" i="12"/>
  <c r="P192" i="12"/>
  <c r="P191" i="12"/>
  <c r="P190" i="12"/>
  <c r="P189" i="12"/>
  <c r="P188" i="12"/>
  <c r="P187" i="12"/>
  <c r="P186" i="12"/>
  <c r="P185" i="12"/>
  <c r="P184" i="12"/>
  <c r="P183" i="12"/>
  <c r="P182" i="12"/>
  <c r="P181" i="12"/>
  <c r="P180" i="12"/>
  <c r="P179" i="12"/>
  <c r="P178" i="12"/>
  <c r="P177" i="12"/>
  <c r="P176" i="12"/>
  <c r="P175" i="12"/>
  <c r="P174" i="12"/>
  <c r="P173" i="12"/>
  <c r="P172" i="12"/>
  <c r="P171" i="12"/>
  <c r="M171" i="12"/>
  <c r="P170" i="12"/>
  <c r="P169" i="12"/>
  <c r="P168" i="12"/>
  <c r="P167" i="12"/>
  <c r="P166" i="12"/>
  <c r="P165" i="12"/>
  <c r="P164" i="12"/>
  <c r="P163" i="12"/>
  <c r="P162" i="12"/>
  <c r="P161" i="12"/>
  <c r="P160" i="12"/>
  <c r="P159" i="12"/>
  <c r="P158" i="12"/>
  <c r="P157" i="12"/>
  <c r="P156" i="12"/>
  <c r="P155" i="12"/>
  <c r="P154" i="12"/>
  <c r="P153" i="12"/>
  <c r="P152" i="12"/>
  <c r="P151" i="12"/>
  <c r="P150" i="12"/>
  <c r="P149" i="12"/>
  <c r="P148" i="12"/>
  <c r="P147" i="12"/>
  <c r="P146" i="12"/>
  <c r="P145" i="12"/>
  <c r="P144" i="12"/>
  <c r="P143" i="12"/>
  <c r="P142" i="12"/>
  <c r="P141" i="12"/>
  <c r="P140" i="12"/>
  <c r="P139" i="12"/>
  <c r="P138" i="12"/>
  <c r="P137" i="12"/>
  <c r="P136" i="12"/>
  <c r="P135" i="12"/>
  <c r="P134" i="12"/>
  <c r="P133" i="12"/>
  <c r="P132" i="12"/>
  <c r="P131" i="12"/>
  <c r="P130" i="12"/>
  <c r="P129" i="12"/>
  <c r="P128" i="12"/>
  <c r="P127" i="12"/>
  <c r="P126" i="12"/>
  <c r="P125" i="12"/>
  <c r="P124" i="12"/>
  <c r="P123" i="12"/>
  <c r="P122" i="12"/>
  <c r="P121" i="12"/>
  <c r="P120" i="12"/>
  <c r="P119" i="12"/>
  <c r="P118" i="12"/>
  <c r="P117" i="12"/>
  <c r="P116" i="12"/>
  <c r="P115" i="12"/>
  <c r="P114" i="12"/>
  <c r="P113" i="12"/>
  <c r="P112" i="12"/>
  <c r="P111" i="12"/>
  <c r="P110" i="12"/>
  <c r="P109" i="12"/>
  <c r="P108" i="12"/>
  <c r="P107" i="12"/>
  <c r="P106" i="12"/>
  <c r="P105" i="12"/>
  <c r="P104" i="12"/>
  <c r="P103" i="12"/>
  <c r="P102" i="12"/>
  <c r="P101" i="12"/>
  <c r="P100" i="12"/>
  <c r="P99" i="12"/>
  <c r="P98" i="12"/>
  <c r="P97" i="12"/>
  <c r="P96" i="12"/>
  <c r="P95" i="12"/>
  <c r="P94" i="12"/>
  <c r="P93" i="12"/>
  <c r="P92" i="12"/>
  <c r="P91" i="12"/>
  <c r="P90" i="12"/>
  <c r="P89" i="12"/>
  <c r="P88" i="12"/>
  <c r="P87" i="12"/>
  <c r="P86" i="12"/>
  <c r="P85" i="12"/>
  <c r="P84" i="12"/>
  <c r="P83" i="12"/>
  <c r="P82" i="12"/>
  <c r="P81" i="12"/>
  <c r="P80" i="12"/>
  <c r="P79" i="12"/>
  <c r="P78" i="12"/>
  <c r="P77" i="12"/>
  <c r="P76" i="12"/>
  <c r="P75" i="12"/>
  <c r="P74" i="12"/>
  <c r="P73" i="12"/>
  <c r="P72" i="12"/>
  <c r="P71" i="12"/>
  <c r="P70" i="12"/>
  <c r="P69" i="12"/>
  <c r="P68" i="12"/>
  <c r="P67" i="12"/>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B5" i="12"/>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B225" i="12" s="1"/>
  <c r="B226" i="12" s="1"/>
  <c r="B227" i="12" s="1"/>
  <c r="B228" i="12" s="1"/>
  <c r="B229" i="12" s="1"/>
  <c r="B230" i="12" s="1"/>
  <c r="B231" i="12" s="1"/>
  <c r="B232" i="12" s="1"/>
  <c r="B233" i="12" s="1"/>
  <c r="B234" i="12" s="1"/>
  <c r="B235" i="12" s="1"/>
  <c r="B236" i="12" s="1"/>
  <c r="B237" i="12" s="1"/>
  <c r="B238" i="12" s="1"/>
  <c r="B239" i="12" s="1"/>
  <c r="B240" i="12" s="1"/>
  <c r="B241" i="12" s="1"/>
  <c r="B242" i="12" s="1"/>
  <c r="B243" i="12" s="1"/>
  <c r="B244" i="12" s="1"/>
  <c r="B245" i="12" s="1"/>
  <c r="B246" i="12" s="1"/>
  <c r="B247" i="12" s="1"/>
  <c r="B248" i="12" s="1"/>
  <c r="B249" i="12" s="1"/>
  <c r="B250" i="12" s="1"/>
  <c r="B251" i="12" s="1"/>
  <c r="B252" i="12" s="1"/>
  <c r="B253" i="12" s="1"/>
  <c r="B254" i="12" s="1"/>
  <c r="B255" i="12" s="1"/>
  <c r="B256" i="12" s="1"/>
  <c r="B257" i="12" s="1"/>
  <c r="B258" i="12" s="1"/>
  <c r="B259" i="12" s="1"/>
  <c r="B260" i="12" s="1"/>
  <c r="B261" i="12" s="1"/>
  <c r="B262" i="12" s="1"/>
  <c r="B263" i="12" s="1"/>
  <c r="B264" i="12" s="1"/>
  <c r="B265" i="12" s="1"/>
  <c r="B266" i="12" s="1"/>
  <c r="B267" i="12" s="1"/>
  <c r="B268" i="12" s="1"/>
  <c r="B269" i="12" s="1"/>
  <c r="B270" i="12" s="1"/>
  <c r="B271" i="12" s="1"/>
  <c r="B272" i="12" s="1"/>
  <c r="B273" i="12" s="1"/>
  <c r="B274" i="12" s="1"/>
  <c r="B275" i="12" s="1"/>
  <c r="B276" i="12" s="1"/>
  <c r="B277" i="12" s="1"/>
  <c r="B278" i="12" s="1"/>
  <c r="B279" i="12" s="1"/>
  <c r="B280" i="12" s="1"/>
  <c r="B281" i="12" s="1"/>
  <c r="B282" i="12" s="1"/>
  <c r="B283" i="12" s="1"/>
  <c r="B284" i="12" s="1"/>
  <c r="B285" i="12" s="1"/>
  <c r="B286" i="12" s="1"/>
  <c r="B287" i="12" s="1"/>
  <c r="B288" i="12" s="1"/>
  <c r="B289" i="12" s="1"/>
  <c r="B290" i="12" s="1"/>
  <c r="B291" i="12" s="1"/>
  <c r="B292" i="12" s="1"/>
  <c r="B293" i="12" s="1"/>
  <c r="B294" i="12" s="1"/>
  <c r="B295" i="12" s="1"/>
  <c r="B296" i="12" s="1"/>
  <c r="B297" i="12" s="1"/>
  <c r="B298" i="12" s="1"/>
  <c r="B299" i="12" s="1"/>
  <c r="B300" i="12" s="1"/>
  <c r="B301" i="12" s="1"/>
  <c r="B302" i="12" s="1"/>
  <c r="B303" i="12" s="1"/>
  <c r="B304" i="12" s="1"/>
  <c r="B305" i="12" s="1"/>
  <c r="B306" i="12" s="1"/>
  <c r="B307" i="12" s="1"/>
  <c r="B308" i="12" s="1"/>
  <c r="B309" i="12" s="1"/>
  <c r="B310" i="12" s="1"/>
  <c r="B311" i="12" s="1"/>
  <c r="B312" i="12" s="1"/>
  <c r="B313" i="12" s="1"/>
  <c r="B314" i="12" s="1"/>
  <c r="B315" i="12" s="1"/>
  <c r="B316" i="12" s="1"/>
  <c r="B317" i="12" s="1"/>
  <c r="B318" i="12" s="1"/>
  <c r="B319" i="12" s="1"/>
  <c r="B320" i="12" s="1"/>
  <c r="B321" i="12" s="1"/>
  <c r="B322" i="12" s="1"/>
  <c r="B323" i="12" s="1"/>
  <c r="B324" i="12" s="1"/>
  <c r="B325" i="12" s="1"/>
  <c r="B326" i="12" s="1"/>
  <c r="B327" i="12" s="1"/>
  <c r="B328" i="12" s="1"/>
  <c r="B329" i="12" s="1"/>
  <c r="B330" i="12" s="1"/>
  <c r="B331" i="12" s="1"/>
  <c r="B332" i="12" s="1"/>
  <c r="B333" i="12" s="1"/>
  <c r="B334" i="12" s="1"/>
  <c r="B335" i="12" s="1"/>
  <c r="B336" i="12" s="1"/>
  <c r="B337" i="12" s="1"/>
  <c r="B338" i="12" s="1"/>
  <c r="B339" i="12" s="1"/>
  <c r="B340" i="12" s="1"/>
  <c r="B341" i="12" s="1"/>
  <c r="B342" i="12" s="1"/>
  <c r="B343" i="12" s="1"/>
  <c r="B344" i="12" s="1"/>
  <c r="B345" i="12" s="1"/>
  <c r="B346" i="12" s="1"/>
  <c r="B347" i="12" s="1"/>
  <c r="B348" i="12" s="1"/>
  <c r="B349" i="12" s="1"/>
  <c r="B350" i="12" s="1"/>
  <c r="B351" i="12" s="1"/>
  <c r="B352" i="12" s="1"/>
  <c r="B353" i="12" s="1"/>
  <c r="B354" i="12" s="1"/>
  <c r="B355" i="12" s="1"/>
  <c r="B356" i="12" s="1"/>
  <c r="B357" i="12" s="1"/>
  <c r="B358" i="12" s="1"/>
  <c r="B359" i="12" s="1"/>
  <c r="B360" i="12" s="1"/>
  <c r="B361" i="12" s="1"/>
  <c r="B362" i="12" s="1"/>
  <c r="B363" i="12" s="1"/>
  <c r="B364" i="12" s="1"/>
  <c r="B365" i="12" s="1"/>
  <c r="B366" i="12" s="1"/>
  <c r="B367" i="12" s="1"/>
  <c r="B368" i="12" s="1"/>
  <c r="B369" i="12" s="1"/>
  <c r="B370" i="12" s="1"/>
  <c r="B371" i="12" s="1"/>
  <c r="B372" i="12" s="1"/>
  <c r="B373" i="12" s="1"/>
  <c r="B374" i="12" s="1"/>
  <c r="B375" i="12" s="1"/>
  <c r="B376" i="12" s="1"/>
  <c r="B377" i="12" s="1"/>
  <c r="B378" i="12" s="1"/>
  <c r="B379" i="12" s="1"/>
  <c r="B380" i="12" s="1"/>
  <c r="B381" i="12" s="1"/>
  <c r="B382" i="12" s="1"/>
  <c r="B383" i="12" s="1"/>
  <c r="B384" i="12" s="1"/>
  <c r="B385" i="12" s="1"/>
  <c r="B386" i="12" s="1"/>
  <c r="B387" i="12" s="1"/>
  <c r="B388" i="12" s="1"/>
  <c r="B389" i="12" s="1"/>
  <c r="B390" i="12" s="1"/>
  <c r="B391" i="12" s="1"/>
  <c r="B392" i="12" s="1"/>
  <c r="B393" i="12" s="1"/>
  <c r="B394" i="12" s="1"/>
  <c r="B395" i="12" s="1"/>
  <c r="B396" i="12" s="1"/>
  <c r="B397" i="12" s="1"/>
  <c r="B398" i="12" s="1"/>
  <c r="B399" i="12" s="1"/>
  <c r="B400" i="12" s="1"/>
  <c r="B401" i="12" s="1"/>
  <c r="B402" i="12" s="1"/>
  <c r="B403" i="12" s="1"/>
  <c r="B404" i="12" s="1"/>
  <c r="B405" i="12" s="1"/>
  <c r="B406" i="12" s="1"/>
  <c r="B407" i="12" s="1"/>
  <c r="B408" i="12" s="1"/>
  <c r="B409" i="12" s="1"/>
  <c r="B410" i="12" s="1"/>
  <c r="B411" i="12" s="1"/>
  <c r="B412" i="12" s="1"/>
  <c r="B413" i="12" s="1"/>
  <c r="B414" i="12" s="1"/>
  <c r="B415" i="12" s="1"/>
  <c r="B416" i="12" s="1"/>
  <c r="B417" i="12" s="1"/>
  <c r="B418" i="12" s="1"/>
  <c r="B419" i="12" s="1"/>
  <c r="B420" i="12" s="1"/>
  <c r="B421" i="12" s="1"/>
  <c r="B422" i="12" s="1"/>
  <c r="B423" i="12" s="1"/>
  <c r="B424" i="12" s="1"/>
  <c r="B425" i="12" s="1"/>
  <c r="B426" i="12" s="1"/>
  <c r="B427" i="12" s="1"/>
  <c r="B428" i="12" s="1"/>
  <c r="B429" i="12" s="1"/>
  <c r="B430" i="12" s="1"/>
  <c r="B431" i="12" s="1"/>
  <c r="B432" i="12" s="1"/>
  <c r="B433" i="12" s="1"/>
  <c r="B434" i="12" s="1"/>
  <c r="B435" i="12" s="1"/>
  <c r="B436" i="12" s="1"/>
  <c r="B437" i="12" s="1"/>
  <c r="B438" i="12" s="1"/>
  <c r="B439" i="12" s="1"/>
  <c r="B440" i="12" s="1"/>
  <c r="B441" i="12" s="1"/>
  <c r="B442" i="12" s="1"/>
  <c r="B443" i="12" s="1"/>
  <c r="B444" i="12" s="1"/>
  <c r="B445" i="12" s="1"/>
  <c r="B446" i="12" s="1"/>
  <c r="B447" i="12" s="1"/>
  <c r="B448" i="12" s="1"/>
  <c r="B449" i="12" s="1"/>
  <c r="B450" i="12" s="1"/>
  <c r="B451" i="12" s="1"/>
  <c r="B452" i="12" s="1"/>
  <c r="B453" i="12" s="1"/>
  <c r="B454" i="12" s="1"/>
  <c r="B455" i="12" s="1"/>
  <c r="B456" i="12" s="1"/>
  <c r="B457" i="12" s="1"/>
  <c r="B458" i="12" s="1"/>
  <c r="B459" i="12" s="1"/>
  <c r="B460" i="12" s="1"/>
  <c r="B461" i="12" s="1"/>
  <c r="B462" i="12" s="1"/>
  <c r="B463" i="12" s="1"/>
  <c r="B464" i="12" s="1"/>
  <c r="B465" i="12" s="1"/>
  <c r="B466" i="12" s="1"/>
  <c r="B467" i="12" s="1"/>
  <c r="B468" i="12" s="1"/>
  <c r="B469" i="12" s="1"/>
  <c r="B470" i="12" s="1"/>
  <c r="B471" i="12" s="1"/>
  <c r="B472" i="12" s="1"/>
  <c r="B473" i="12" s="1"/>
  <c r="B474" i="12" s="1"/>
  <c r="B475" i="12" s="1"/>
  <c r="B476" i="12" s="1"/>
  <c r="B477" i="12" s="1"/>
  <c r="B478" i="12" s="1"/>
  <c r="B479" i="12" s="1"/>
  <c r="B480" i="12" s="1"/>
  <c r="B481" i="12" s="1"/>
  <c r="B482" i="12" s="1"/>
  <c r="B483" i="12" s="1"/>
  <c r="B484" i="12" s="1"/>
  <c r="B485" i="12" s="1"/>
  <c r="B486" i="12" s="1"/>
  <c r="B487" i="12" s="1"/>
  <c r="B488" i="12" s="1"/>
  <c r="B489" i="12" s="1"/>
  <c r="B490" i="12" s="1"/>
  <c r="B491" i="12" s="1"/>
  <c r="B492" i="12" s="1"/>
  <c r="B493" i="12" s="1"/>
  <c r="B494" i="12" s="1"/>
  <c r="B495" i="12" s="1"/>
  <c r="B496" i="12" s="1"/>
  <c r="B497" i="12" s="1"/>
  <c r="B498" i="12" s="1"/>
  <c r="B499" i="12" s="1"/>
  <c r="B500" i="12" s="1"/>
  <c r="B501" i="12" s="1"/>
  <c r="B502" i="12" s="1"/>
  <c r="B503" i="12" s="1"/>
  <c r="B504" i="12" s="1"/>
  <c r="B505" i="12" s="1"/>
  <c r="B506" i="12" s="1"/>
  <c r="B507" i="12" s="1"/>
  <c r="B508" i="12" s="1"/>
  <c r="B509" i="12" s="1"/>
  <c r="B510" i="12" s="1"/>
  <c r="B511" i="12" s="1"/>
  <c r="B512" i="12" s="1"/>
  <c r="B513" i="12" s="1"/>
  <c r="B514" i="12" s="1"/>
  <c r="B515" i="12" s="1"/>
  <c r="B516" i="12" s="1"/>
  <c r="B517" i="12" s="1"/>
  <c r="B518" i="12" s="1"/>
  <c r="B519" i="12" s="1"/>
  <c r="B520" i="12" s="1"/>
  <c r="B521" i="12" s="1"/>
  <c r="B522" i="12" s="1"/>
  <c r="B523" i="12" s="1"/>
  <c r="B524" i="12" s="1"/>
  <c r="B525" i="12" s="1"/>
  <c r="B526" i="12" s="1"/>
  <c r="B527" i="12" s="1"/>
  <c r="B528" i="12" s="1"/>
  <c r="B529" i="12" s="1"/>
  <c r="B530" i="12" s="1"/>
  <c r="B531" i="12" s="1"/>
  <c r="B532" i="12" s="1"/>
  <c r="B533" i="12" s="1"/>
  <c r="B534" i="12" s="1"/>
  <c r="B535" i="12" s="1"/>
  <c r="B536" i="12" s="1"/>
  <c r="B537" i="12" s="1"/>
  <c r="B538" i="12" s="1"/>
  <c r="B539" i="12" s="1"/>
  <c r="B540" i="12" s="1"/>
  <c r="B541" i="12" s="1"/>
  <c r="B542" i="12" s="1"/>
  <c r="B543" i="12" s="1"/>
  <c r="B544" i="12" s="1"/>
  <c r="B545" i="12" s="1"/>
  <c r="B546" i="12" s="1"/>
  <c r="B547" i="12" s="1"/>
  <c r="B548" i="12" s="1"/>
  <c r="B549" i="12" s="1"/>
  <c r="B550" i="12" s="1"/>
  <c r="B551" i="12" s="1"/>
  <c r="B552" i="12" s="1"/>
  <c r="B553" i="12" s="1"/>
  <c r="B554" i="12" s="1"/>
  <c r="B555" i="12" s="1"/>
  <c r="B556" i="12" s="1"/>
  <c r="B557" i="12" s="1"/>
  <c r="B558" i="12" s="1"/>
  <c r="B559" i="12" s="1"/>
  <c r="B560" i="12" s="1"/>
  <c r="B561" i="12" s="1"/>
  <c r="B562" i="12" s="1"/>
  <c r="B563" i="12" s="1"/>
  <c r="B564" i="12" s="1"/>
  <c r="B565" i="12" s="1"/>
  <c r="B566" i="12" s="1"/>
  <c r="B567" i="12" s="1"/>
  <c r="B568" i="12" s="1"/>
  <c r="B569" i="12" s="1"/>
  <c r="B570" i="12" s="1"/>
  <c r="B571" i="12" s="1"/>
  <c r="B572" i="12" s="1"/>
  <c r="B573" i="12" s="1"/>
  <c r="B574" i="12" s="1"/>
  <c r="B575" i="12" s="1"/>
  <c r="B576" i="12" s="1"/>
  <c r="B577" i="12" s="1"/>
  <c r="B578" i="12" s="1"/>
  <c r="B579" i="12" s="1"/>
  <c r="B580" i="12" s="1"/>
  <c r="B581" i="12" s="1"/>
  <c r="B582" i="12" s="1"/>
  <c r="B583" i="12" s="1"/>
  <c r="B584" i="12" s="1"/>
  <c r="B585" i="12" s="1"/>
  <c r="B586" i="12" s="1"/>
  <c r="B587" i="12" s="1"/>
  <c r="B588" i="12" s="1"/>
  <c r="B589" i="12" s="1"/>
  <c r="B590" i="12" s="1"/>
  <c r="B591" i="12" s="1"/>
  <c r="B592" i="12" s="1"/>
  <c r="B593" i="12" s="1"/>
  <c r="B594" i="12" s="1"/>
  <c r="B595" i="12" s="1"/>
  <c r="B596" i="12" s="1"/>
  <c r="B597" i="12" s="1"/>
  <c r="B598" i="12" s="1"/>
  <c r="B599" i="12" s="1"/>
  <c r="B600" i="12" s="1"/>
  <c r="B601" i="12" s="1"/>
  <c r="B602" i="12" s="1"/>
  <c r="B603" i="12" s="1"/>
  <c r="B604" i="12" s="1"/>
  <c r="B605" i="12" s="1"/>
  <c r="B606" i="12" s="1"/>
  <c r="B607" i="12" s="1"/>
  <c r="B608" i="12" s="1"/>
  <c r="B609" i="12" s="1"/>
  <c r="B610" i="12" s="1"/>
  <c r="B611" i="12" s="1"/>
  <c r="B612" i="12" s="1"/>
  <c r="B613" i="12" s="1"/>
  <c r="B614" i="12" s="1"/>
  <c r="B615" i="12" s="1"/>
  <c r="B616" i="12" s="1"/>
  <c r="B617" i="12" s="1"/>
  <c r="B618" i="12" s="1"/>
  <c r="B619" i="12" s="1"/>
  <c r="B620" i="12" s="1"/>
  <c r="B621" i="12" s="1"/>
  <c r="B622" i="12" s="1"/>
  <c r="B623" i="12" s="1"/>
  <c r="B624" i="12" s="1"/>
  <c r="B625" i="12" s="1"/>
  <c r="B626" i="12" s="1"/>
  <c r="B627" i="12" s="1"/>
  <c r="B628" i="12" s="1"/>
  <c r="B629" i="12" s="1"/>
  <c r="B630" i="12" s="1"/>
  <c r="B631" i="12" s="1"/>
  <c r="B632" i="12" s="1"/>
  <c r="B633" i="12" s="1"/>
  <c r="B634" i="12" s="1"/>
  <c r="B635" i="12" s="1"/>
  <c r="B636" i="12" s="1"/>
  <c r="B637" i="12" s="1"/>
  <c r="B638" i="12" s="1"/>
  <c r="B639" i="12" s="1"/>
  <c r="B640" i="12" s="1"/>
  <c r="B641" i="12" s="1"/>
  <c r="B642" i="12" s="1"/>
  <c r="B643" i="12" s="1"/>
  <c r="B644" i="12" s="1"/>
  <c r="B645" i="12" s="1"/>
  <c r="B646" i="12" s="1"/>
  <c r="B647" i="12" s="1"/>
  <c r="B648" i="12" s="1"/>
  <c r="B649" i="12" s="1"/>
  <c r="B650" i="12" s="1"/>
  <c r="B651" i="12" s="1"/>
  <c r="B652" i="12" s="1"/>
  <c r="B653" i="12" s="1"/>
  <c r="B654" i="12" s="1"/>
  <c r="B655" i="12" s="1"/>
  <c r="B656" i="12" s="1"/>
  <c r="B657" i="12" s="1"/>
  <c r="B658" i="12" s="1"/>
  <c r="B659" i="12" s="1"/>
  <c r="B660" i="12" s="1"/>
  <c r="B661" i="12" s="1"/>
  <c r="B662" i="12" s="1"/>
  <c r="B663" i="12" s="1"/>
  <c r="B664" i="12" s="1"/>
  <c r="B665" i="12" s="1"/>
  <c r="B666" i="12" s="1"/>
  <c r="B667" i="12" s="1"/>
  <c r="B668" i="12" s="1"/>
  <c r="B669" i="12" s="1"/>
  <c r="B670" i="12" s="1"/>
  <c r="B671" i="12" s="1"/>
  <c r="B672" i="12" s="1"/>
  <c r="B673" i="12" s="1"/>
  <c r="B674" i="12" s="1"/>
  <c r="B675" i="12" s="1"/>
  <c r="B676" i="12" s="1"/>
  <c r="B677" i="12" s="1"/>
  <c r="B678" i="12" s="1"/>
  <c r="B679" i="12" s="1"/>
  <c r="B680" i="12" s="1"/>
  <c r="B681" i="12" s="1"/>
  <c r="B682" i="12" s="1"/>
  <c r="B683" i="12" s="1"/>
  <c r="B684" i="12" s="1"/>
  <c r="B685" i="12" s="1"/>
  <c r="B686" i="12" s="1"/>
  <c r="B687" i="12" s="1"/>
  <c r="B688" i="12" s="1"/>
  <c r="B689" i="12" s="1"/>
  <c r="B690" i="12" s="1"/>
  <c r="B691" i="12" s="1"/>
  <c r="B692" i="12" s="1"/>
  <c r="B693" i="12" s="1"/>
  <c r="B694" i="12" s="1"/>
  <c r="B695" i="12" s="1"/>
  <c r="B696" i="12" s="1"/>
  <c r="B697" i="12" s="1"/>
  <c r="B698" i="12" s="1"/>
  <c r="B699" i="12" s="1"/>
  <c r="B700" i="12" s="1"/>
  <c r="B701" i="12" s="1"/>
  <c r="B702" i="12" s="1"/>
  <c r="B703" i="12" s="1"/>
  <c r="B704" i="12" s="1"/>
  <c r="B705" i="12" s="1"/>
  <c r="B706" i="12" s="1"/>
  <c r="B707" i="12" s="1"/>
  <c r="B708" i="12" s="1"/>
  <c r="B709" i="12" s="1"/>
  <c r="B710" i="12" s="1"/>
  <c r="B711" i="12" s="1"/>
  <c r="B712" i="12" s="1"/>
  <c r="B713" i="12" s="1"/>
  <c r="B714" i="12" s="1"/>
  <c r="B715" i="12" s="1"/>
  <c r="B716" i="12" s="1"/>
  <c r="B717" i="12" s="1"/>
  <c r="B718" i="12" s="1"/>
  <c r="B719" i="12" s="1"/>
  <c r="B720" i="12" s="1"/>
  <c r="B721" i="12" s="1"/>
  <c r="B722" i="12" s="1"/>
  <c r="B723" i="12" s="1"/>
  <c r="B724" i="12" s="1"/>
  <c r="B725" i="12" s="1"/>
  <c r="B726" i="12" s="1"/>
  <c r="B727" i="12" s="1"/>
  <c r="B728" i="12" s="1"/>
  <c r="B729" i="12" s="1"/>
  <c r="B730" i="12" s="1"/>
  <c r="B731" i="12" s="1"/>
  <c r="B732" i="12" s="1"/>
  <c r="B733" i="12" s="1"/>
  <c r="B734" i="12" s="1"/>
  <c r="B735" i="12" s="1"/>
  <c r="B736" i="12" s="1"/>
  <c r="B737" i="12" s="1"/>
  <c r="B738" i="12" s="1"/>
  <c r="B739" i="12" s="1"/>
  <c r="B740" i="12" s="1"/>
  <c r="B741" i="12" s="1"/>
  <c r="B742" i="12" s="1"/>
  <c r="B743" i="12" s="1"/>
  <c r="B744" i="12" s="1"/>
  <c r="B745" i="12" s="1"/>
  <c r="B746" i="12" s="1"/>
  <c r="B747" i="12" s="1"/>
  <c r="B748" i="12" s="1"/>
  <c r="B749" i="12" s="1"/>
  <c r="B750" i="12" s="1"/>
  <c r="B751" i="12" s="1"/>
  <c r="B752" i="12" s="1"/>
  <c r="B753" i="12" s="1"/>
  <c r="B754" i="12" s="1"/>
  <c r="B755" i="12" s="1"/>
  <c r="B756" i="12" s="1"/>
  <c r="B757" i="12" s="1"/>
  <c r="B758" i="12" s="1"/>
  <c r="B759" i="12" s="1"/>
  <c r="B760" i="12" s="1"/>
  <c r="B761" i="12" s="1"/>
  <c r="B762" i="12" s="1"/>
  <c r="B763" i="12" s="1"/>
  <c r="B764" i="12" s="1"/>
  <c r="B765" i="12" s="1"/>
  <c r="B766" i="12" s="1"/>
  <c r="B767" i="12" s="1"/>
  <c r="B768" i="12" s="1"/>
  <c r="B769" i="12" s="1"/>
  <c r="B770" i="12" s="1"/>
  <c r="B771" i="12" s="1"/>
  <c r="B772" i="12" s="1"/>
  <c r="B773" i="12" s="1"/>
  <c r="B774" i="12" s="1"/>
  <c r="B775" i="12" s="1"/>
  <c r="B776" i="12" s="1"/>
  <c r="B777" i="12" s="1"/>
  <c r="B778" i="12" s="1"/>
  <c r="B779" i="12" s="1"/>
  <c r="B780" i="12" s="1"/>
  <c r="B781" i="12" s="1"/>
  <c r="B782" i="12" s="1"/>
  <c r="B783" i="12" s="1"/>
  <c r="B784" i="12" s="1"/>
  <c r="B785" i="12" s="1"/>
  <c r="B786" i="12" s="1"/>
  <c r="B787" i="12" s="1"/>
  <c r="B788" i="12" s="1"/>
  <c r="B789" i="12" s="1"/>
  <c r="B790" i="12" s="1"/>
  <c r="B791" i="12" s="1"/>
  <c r="B792" i="12" s="1"/>
  <c r="B793" i="12" s="1"/>
  <c r="B794" i="12" s="1"/>
  <c r="B795" i="12" s="1"/>
  <c r="B796" i="12" s="1"/>
  <c r="B797" i="12" s="1"/>
  <c r="B798" i="12" s="1"/>
  <c r="B799" i="12" s="1"/>
  <c r="B800" i="12" s="1"/>
  <c r="B801" i="12" s="1"/>
  <c r="B802" i="12" s="1"/>
  <c r="B803" i="12" s="1"/>
  <c r="B804" i="12" s="1"/>
  <c r="B805" i="12" s="1"/>
  <c r="B806" i="12" s="1"/>
  <c r="B807" i="12" s="1"/>
  <c r="B808" i="12" s="1"/>
  <c r="B809" i="12" s="1"/>
  <c r="B810" i="12" s="1"/>
  <c r="B811" i="12" s="1"/>
  <c r="B812" i="12" s="1"/>
  <c r="B813" i="12" s="1"/>
  <c r="P4" i="12"/>
  <c r="D5" i="4"/>
  <c r="D6" i="7"/>
  <c r="E5" i="7"/>
  <c r="E6" i="7" s="1"/>
  <c r="M38" i="2"/>
  <c r="K21" i="21" l="1"/>
  <c r="F7" i="5"/>
  <c r="H4" i="13"/>
  <c r="T22" i="20"/>
  <c r="F12" i="5"/>
  <c r="T23" i="20"/>
  <c r="F16" i="5"/>
  <c r="F11" i="5"/>
  <c r="H5" i="13"/>
  <c r="J5" i="13" s="1"/>
  <c r="F15" i="5"/>
  <c r="H6" i="13"/>
  <c r="J6" i="13" s="1"/>
  <c r="Q38" i="2"/>
  <c r="M443" i="2"/>
  <c r="G6" i="5" s="1"/>
  <c r="D16" i="4"/>
  <c r="E14" i="5" s="1"/>
  <c r="F22" i="4"/>
  <c r="E8" i="5"/>
  <c r="M814" i="12"/>
  <c r="G10" i="5" s="1"/>
  <c r="G12" i="5" s="1"/>
  <c r="T21" i="20"/>
  <c r="F8" i="5"/>
  <c r="E22" i="4"/>
  <c r="E7" i="5"/>
  <c r="K7" i="7"/>
  <c r="G4" i="13"/>
  <c r="E11" i="5"/>
  <c r="K8" i="7"/>
  <c r="G5" i="13"/>
  <c r="K9" i="7"/>
  <c r="E15" i="5"/>
  <c r="G6" i="13"/>
  <c r="G16" i="4"/>
  <c r="S8" i="11"/>
  <c r="H22" i="4"/>
  <c r="D11" i="4"/>
  <c r="E10" i="5" s="1"/>
  <c r="I22" i="4"/>
  <c r="D7" i="4"/>
  <c r="E6" i="5" s="1"/>
  <c r="G8" i="14"/>
  <c r="H8" i="14" s="1"/>
  <c r="H9" i="14" s="1"/>
  <c r="F5" i="7"/>
  <c r="G5" i="7" s="1"/>
  <c r="G6" i="7" s="1"/>
  <c r="T25" i="20" l="1"/>
  <c r="U24" i="20" s="1"/>
  <c r="V24" i="20" s="1"/>
  <c r="X24" i="20" s="1"/>
  <c r="M11" i="14"/>
  <c r="M13" i="14" s="1"/>
  <c r="K10" i="14"/>
  <c r="K11" i="14" s="1"/>
  <c r="K13" i="14" s="1"/>
  <c r="N11" i="14"/>
  <c r="L10" i="14"/>
  <c r="L11" i="14" s="1"/>
  <c r="L13" i="14" s="1"/>
  <c r="G8" i="5"/>
  <c r="G22" i="5" s="1"/>
  <c r="H6" i="5"/>
  <c r="N13" i="14"/>
  <c r="G11" i="14"/>
  <c r="D7" i="7"/>
  <c r="E10" i="14" s="1"/>
  <c r="E11" i="14" s="1"/>
  <c r="H11" i="14"/>
  <c r="F11" i="14"/>
  <c r="F13" i="14" s="1"/>
  <c r="G22" i="4"/>
  <c r="F14" i="5"/>
  <c r="Q10" i="14"/>
  <c r="Q11" i="14" s="1"/>
  <c r="Q13" i="14" s="1"/>
  <c r="R10" i="14"/>
  <c r="R11" i="14" s="1"/>
  <c r="R13" i="14" s="1"/>
  <c r="T10" i="14"/>
  <c r="T11" i="14" s="1"/>
  <c r="T13" i="14" s="1"/>
  <c r="S10" i="14"/>
  <c r="S11" i="14" s="1"/>
  <c r="S13" i="14" s="1"/>
  <c r="G8" i="13"/>
  <c r="H8" i="13"/>
  <c r="J4" i="13"/>
  <c r="J8" i="13" s="1"/>
  <c r="D22" i="4"/>
  <c r="G9" i="14"/>
  <c r="F6" i="7"/>
  <c r="E16" i="21" l="1"/>
  <c r="H8" i="5"/>
  <c r="H22" i="5" s="1"/>
  <c r="H13" i="14"/>
  <c r="G16" i="21" s="1"/>
  <c r="E13" i="14"/>
  <c r="U23" i="20"/>
  <c r="V23" i="20" s="1"/>
  <c r="X23" i="20" s="1"/>
  <c r="U22" i="20"/>
  <c r="V22" i="20" s="1"/>
  <c r="G13" i="14"/>
  <c r="F16" i="21" s="1"/>
  <c r="U21" i="20"/>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G6" i="22" l="1"/>
  <c r="F40" i="21"/>
  <c r="G9" i="22" s="1"/>
  <c r="G40" i="21"/>
  <c r="H9" i="22" s="1"/>
  <c r="H6" i="22"/>
  <c r="F6" i="22"/>
  <c r="E40" i="21"/>
  <c r="F9" i="22" s="1"/>
  <c r="D16" i="21"/>
  <c r="W22" i="20"/>
  <c r="W25" i="20" s="1"/>
  <c r="V21" i="20"/>
  <c r="U25" i="20"/>
  <c r="X22" i="20" l="1"/>
  <c r="K16" i="21"/>
  <c r="L6" i="22" s="1"/>
  <c r="E6" i="22"/>
  <c r="X21" i="20"/>
  <c r="V25" i="20"/>
  <c r="D38" i="21"/>
  <c r="X25" i="20" l="1"/>
  <c r="K38" i="21"/>
  <c r="L7" i="22" s="1"/>
  <c r="E7" i="22"/>
  <c r="D40" i="21"/>
  <c r="E9" i="22" l="1"/>
  <c r="K40" i="21"/>
  <c r="L9" i="22" s="1"/>
  <c r="O49" i="21" l="1"/>
  <c r="P49" i="21" s="1"/>
  <c r="E11" i="22"/>
  <c r="E12" i="22" s="1"/>
  <c r="E6" i="23" s="1"/>
  <c r="E7" i="23" l="1"/>
  <c r="G6" i="23"/>
  <c r="G7" i="23" s="1"/>
  <c r="F6" i="23"/>
  <c r="F7" i="23" s="1"/>
  <c r="M14" i="22"/>
</calcChain>
</file>

<file path=xl/sharedStrings.xml><?xml version="1.0" encoding="utf-8"?>
<sst xmlns="http://schemas.openxmlformats.org/spreadsheetml/2006/main" count="7954" uniqueCount="3118">
  <si>
    <t xml:space="preserve"> </t>
  </si>
  <si>
    <t>Tower</t>
  </si>
  <si>
    <t>A</t>
  </si>
  <si>
    <t>B</t>
  </si>
  <si>
    <t>C</t>
  </si>
  <si>
    <t>D</t>
  </si>
  <si>
    <t>E</t>
  </si>
  <si>
    <t>F1-F2</t>
  </si>
  <si>
    <t>G</t>
  </si>
  <si>
    <t>SL.NO.</t>
  </si>
  <si>
    <t>CUSTOMER NAME</t>
  </si>
  <si>
    <t>BLOCK/Tower No.</t>
  </si>
  <si>
    <t>UNIT NO.</t>
  </si>
  <si>
    <t>UNIT AREA (SQ. FT)</t>
  </si>
  <si>
    <t>Application/ Sold/ Unsold</t>
  </si>
  <si>
    <t>Eligible for NOC Charges (Y/N)</t>
  </si>
  <si>
    <t xml:space="preserve">NOC Charges Y, them amount to be received </t>
  </si>
  <si>
    <t>NOC Charges received (Y/N)</t>
  </si>
  <si>
    <t>DATE OF BOOKING/ SALE AGREEMENT</t>
  </si>
  <si>
    <t>AGREEMENT VALUE OF UNIT</t>
  </si>
  <si>
    <t>AMOUNT RECEIVED TILL DATE</t>
  </si>
  <si>
    <t>NAME OF FINANCIAL INSTITUTION FOR HOME LOAN</t>
  </si>
  <si>
    <t>DATE OF NOC</t>
  </si>
  <si>
    <t>Anil Kumar</t>
  </si>
  <si>
    <t>Crimson</t>
  </si>
  <si>
    <t>CA-01</t>
  </si>
  <si>
    <t>Application</t>
  </si>
  <si>
    <t>LIC HFL</t>
  </si>
  <si>
    <t xml:space="preserve">Commander Narendra Kumar </t>
  </si>
  <si>
    <t>CA-02</t>
  </si>
  <si>
    <t>Self-Funded</t>
  </si>
  <si>
    <t>CA-03</t>
  </si>
  <si>
    <t>Booked</t>
  </si>
  <si>
    <t>Shri Bhagwan Vashistha</t>
  </si>
  <si>
    <t>CA-04</t>
  </si>
  <si>
    <t>Sharad Joshi</t>
  </si>
  <si>
    <t>CA-11</t>
  </si>
  <si>
    <t>Lopamudra Sengupta</t>
  </si>
  <si>
    <t>CA-12</t>
  </si>
  <si>
    <t>ICICI</t>
  </si>
  <si>
    <t>Prem Trehan</t>
  </si>
  <si>
    <t>CA-13</t>
  </si>
  <si>
    <t>Karambir Singh</t>
  </si>
  <si>
    <t>CA-14</t>
  </si>
  <si>
    <t>Vaibhav Sharma</t>
  </si>
  <si>
    <t>CA-21</t>
  </si>
  <si>
    <t>HDFC</t>
  </si>
  <si>
    <t>Tej Prakash Sharma</t>
  </si>
  <si>
    <t>CA-22</t>
  </si>
  <si>
    <t>Aanshu Chaudhary</t>
  </si>
  <si>
    <t>CA-23</t>
  </si>
  <si>
    <t>Nitin Kumar</t>
  </si>
  <si>
    <t>CA-24</t>
  </si>
  <si>
    <t>Poonam Tyagi</t>
  </si>
  <si>
    <t>CA-31</t>
  </si>
  <si>
    <t>Sunil Pippal</t>
  </si>
  <si>
    <t>CA-32</t>
  </si>
  <si>
    <t>DHFL</t>
  </si>
  <si>
    <t>Parmod Kumar Bimra</t>
  </si>
  <si>
    <t>CA-33</t>
  </si>
  <si>
    <t>Jayant Chauhan</t>
  </si>
  <si>
    <t>CA-34</t>
  </si>
  <si>
    <t>Chitra Sharma</t>
  </si>
  <si>
    <t>CA-41</t>
  </si>
  <si>
    <t>Apeksha Rustagi</t>
  </si>
  <si>
    <t>CA-42</t>
  </si>
  <si>
    <t>Corporation Bank</t>
  </si>
  <si>
    <t>CA-43</t>
  </si>
  <si>
    <t>Akhilesh Chandra Mishra</t>
  </si>
  <si>
    <t>CA-44</t>
  </si>
  <si>
    <t>Saroj Gupta</t>
  </si>
  <si>
    <t>CB-01</t>
  </si>
  <si>
    <t>Ranjita Patnayak</t>
  </si>
  <si>
    <t>CB-02</t>
  </si>
  <si>
    <t>Dharambeer Singh</t>
  </si>
  <si>
    <t>CB-03</t>
  </si>
  <si>
    <t>Shashi Yadav</t>
  </si>
  <si>
    <t>CB-04</t>
  </si>
  <si>
    <t>Sarita Kumari</t>
  </si>
  <si>
    <t>CB-11</t>
  </si>
  <si>
    <t>Naveen Kumar Jain</t>
  </si>
  <si>
    <t>CB-12</t>
  </si>
  <si>
    <t>Kusum Lata Yadav</t>
  </si>
  <si>
    <t>CB-13</t>
  </si>
  <si>
    <t>CB-14</t>
  </si>
  <si>
    <t>Raj Kulshreshtha</t>
  </si>
  <si>
    <t>CB-21</t>
  </si>
  <si>
    <t>Yashwant Singh Yadav</t>
  </si>
  <si>
    <t>CB-22</t>
  </si>
  <si>
    <t>Nawneet Lal Mundhra</t>
  </si>
  <si>
    <t>CB-23</t>
  </si>
  <si>
    <t>Vikas Agrawal</t>
  </si>
  <si>
    <t>CB-24</t>
  </si>
  <si>
    <t>Sujata Show</t>
  </si>
  <si>
    <t>CB-31</t>
  </si>
  <si>
    <t>Naresh Kumar</t>
  </si>
  <si>
    <t>CB-32</t>
  </si>
  <si>
    <t>Gian Chand Katoch</t>
  </si>
  <si>
    <t>CB-33</t>
  </si>
  <si>
    <t>Shelly Gaur</t>
  </si>
  <si>
    <t>CB-34</t>
  </si>
  <si>
    <t>Vikas Gupta</t>
  </si>
  <si>
    <t>CB-41</t>
  </si>
  <si>
    <t>CB-42</t>
  </si>
  <si>
    <t>Unsold</t>
  </si>
  <si>
    <t>Narendra Varma M</t>
  </si>
  <si>
    <t>CB-43</t>
  </si>
  <si>
    <t>Chander Sekhar Deswal</t>
  </si>
  <si>
    <t>CB-44</t>
  </si>
  <si>
    <t>Sharad Kumar</t>
  </si>
  <si>
    <t>CC-01</t>
  </si>
  <si>
    <t>Uday Shankar Kejriwal</t>
  </si>
  <si>
    <t>CC-02</t>
  </si>
  <si>
    <t>Sold</t>
  </si>
  <si>
    <t>Amitender Kumar</t>
  </si>
  <si>
    <t>CC-03</t>
  </si>
  <si>
    <t>Bibekanand Dash</t>
  </si>
  <si>
    <t>CC-04</t>
  </si>
  <si>
    <t>Shikhar Jindal</t>
  </si>
  <si>
    <t>CC-11</t>
  </si>
  <si>
    <t>Sudarshan Kumar</t>
  </si>
  <si>
    <t>CC-12</t>
  </si>
  <si>
    <t>Raja Ram Das</t>
  </si>
  <si>
    <t>CC-13</t>
  </si>
  <si>
    <t>Rahul Gupta</t>
  </si>
  <si>
    <t>CC-14</t>
  </si>
  <si>
    <t>CC-21</t>
  </si>
  <si>
    <t>Gour Chandra Jas</t>
  </si>
  <si>
    <t>CC-22</t>
  </si>
  <si>
    <t>Trilochan Alkhaniya</t>
  </si>
  <si>
    <t>CC-23</t>
  </si>
  <si>
    <t>Kewal Krishan Khanna</t>
  </si>
  <si>
    <t>CC-24</t>
  </si>
  <si>
    <t>Arun Kumar Aggarwal</t>
  </si>
  <si>
    <t>CC-31</t>
  </si>
  <si>
    <t>PNB</t>
  </si>
  <si>
    <t>Anita Gupta</t>
  </si>
  <si>
    <t>CC-32</t>
  </si>
  <si>
    <t>Yogender Singh Shokeen</t>
  </si>
  <si>
    <t>CC-33</t>
  </si>
  <si>
    <t>Rajeev Sharma</t>
  </si>
  <si>
    <t>CC-34</t>
  </si>
  <si>
    <t>Neeraj Kaushik</t>
  </si>
  <si>
    <t>CC-41</t>
  </si>
  <si>
    <t>Indiabulls HFL</t>
  </si>
  <si>
    <t>Sumit Uppal</t>
  </si>
  <si>
    <t>CC-42</t>
  </si>
  <si>
    <t>Sanil Uppal</t>
  </si>
  <si>
    <t>CC-43</t>
  </si>
  <si>
    <t xml:space="preserve"> Baljeet Kaur</t>
  </si>
  <si>
    <t>CC-44</t>
  </si>
  <si>
    <t>Ashok Kumar Tyagi</t>
  </si>
  <si>
    <t>CD-01</t>
  </si>
  <si>
    <t>Amit Sharma</t>
  </si>
  <si>
    <t>CD-02</t>
  </si>
  <si>
    <t>Kamla Bhargava</t>
  </si>
  <si>
    <t>CD-03</t>
  </si>
  <si>
    <t>Nisha Gupta</t>
  </si>
  <si>
    <t>CD-04</t>
  </si>
  <si>
    <t>Vaijanti Rai</t>
  </si>
  <si>
    <t>CD-011</t>
  </si>
  <si>
    <t>Ajai Prakash Yadav</t>
  </si>
  <si>
    <t>CD-12</t>
  </si>
  <si>
    <t>Satish Kumar Yadav</t>
  </si>
  <si>
    <t>CD-13</t>
  </si>
  <si>
    <t>SBI</t>
  </si>
  <si>
    <t>Mrs. Prabhawati Singh</t>
  </si>
  <si>
    <t>CD-14</t>
  </si>
  <si>
    <t>Sanjay Sharma</t>
  </si>
  <si>
    <t>CD-21</t>
  </si>
  <si>
    <t>CD-22</t>
  </si>
  <si>
    <t>CD-23</t>
  </si>
  <si>
    <t>Ajay Deep Chadha</t>
  </si>
  <si>
    <t>CD-24</t>
  </si>
  <si>
    <t>Raghu Nandan Bhardwaj</t>
  </si>
  <si>
    <t>CD-31</t>
  </si>
  <si>
    <t>Anita Devi</t>
  </si>
  <si>
    <t>CD-32</t>
  </si>
  <si>
    <t>Rajinder Saroj</t>
  </si>
  <si>
    <t>CD-33</t>
  </si>
  <si>
    <t>Sushila Devi</t>
  </si>
  <si>
    <t>CD-34</t>
  </si>
  <si>
    <t>Pankaj Sharma</t>
  </si>
  <si>
    <t>CD-41</t>
  </si>
  <si>
    <t>Nidhi Dixit</t>
  </si>
  <si>
    <t>CD-42</t>
  </si>
  <si>
    <t>Vijender Pal</t>
  </si>
  <si>
    <t>CD-43</t>
  </si>
  <si>
    <t>Laxmi Devi</t>
  </si>
  <si>
    <t>CD-44</t>
  </si>
  <si>
    <t>Lalit Mohan</t>
  </si>
  <si>
    <t>Saffron</t>
  </si>
  <si>
    <t>SA-001</t>
  </si>
  <si>
    <t>Puneet Sharma</t>
  </si>
  <si>
    <t>SA-002</t>
  </si>
  <si>
    <t>Anjeev Kumar Saxena</t>
  </si>
  <si>
    <t>SA-003</t>
  </si>
  <si>
    <t>Alka Dinker</t>
  </si>
  <si>
    <t>SA-004</t>
  </si>
  <si>
    <t>Shashi Kant</t>
  </si>
  <si>
    <t>SA-005</t>
  </si>
  <si>
    <t>Shiv Kumar</t>
  </si>
  <si>
    <t>SA-006</t>
  </si>
  <si>
    <t>Amita Goyal</t>
  </si>
  <si>
    <t>SA-011</t>
  </si>
  <si>
    <t>Manish Goravar</t>
  </si>
  <si>
    <t>SA-012</t>
  </si>
  <si>
    <t>Vishnu Dev Bhardwaj</t>
  </si>
  <si>
    <t>SA-013</t>
  </si>
  <si>
    <t>Rabindra Prasad Kukreti</t>
  </si>
  <si>
    <t>SA-014</t>
  </si>
  <si>
    <t>Kiran</t>
  </si>
  <si>
    <t>SA-015</t>
  </si>
  <si>
    <t xml:space="preserve"> Rajni</t>
  </si>
  <si>
    <t>SA-016</t>
  </si>
  <si>
    <t>Prashant Pownakar</t>
  </si>
  <si>
    <t>SA-021</t>
  </si>
  <si>
    <t>Manju Tanwar</t>
  </si>
  <si>
    <t>SA-022</t>
  </si>
  <si>
    <t>Manoj Kumar Rai</t>
  </si>
  <si>
    <t>SA-023</t>
  </si>
  <si>
    <t>Upender Singh</t>
  </si>
  <si>
    <t>SA-024</t>
  </si>
  <si>
    <t>Narender Singh Parmal</t>
  </si>
  <si>
    <t>SA-025</t>
  </si>
  <si>
    <t>Indu Bala</t>
  </si>
  <si>
    <t>SA-026</t>
  </si>
  <si>
    <t>Jagdish Chander</t>
  </si>
  <si>
    <t>SA-031</t>
  </si>
  <si>
    <t>Pramod Prakash</t>
  </si>
  <si>
    <t>SA-032</t>
  </si>
  <si>
    <t>Vijay Kumar</t>
  </si>
  <si>
    <t>SA-033</t>
  </si>
  <si>
    <t>SA-034</t>
  </si>
  <si>
    <t>Niraj Kumar</t>
  </si>
  <si>
    <t>SA-035</t>
  </si>
  <si>
    <t>Hemant Agarwal</t>
  </si>
  <si>
    <t>SA-036</t>
  </si>
  <si>
    <t>Rambir</t>
  </si>
  <si>
    <t>SA-041</t>
  </si>
  <si>
    <t>Nadeem Khan</t>
  </si>
  <si>
    <t>SA-042</t>
  </si>
  <si>
    <t>SA-043</t>
  </si>
  <si>
    <t>Rakesh Kumar</t>
  </si>
  <si>
    <t>SA-044</t>
  </si>
  <si>
    <t>Usha Sharma</t>
  </si>
  <si>
    <t>SA-045</t>
  </si>
  <si>
    <t>Shri Bhagwan</t>
  </si>
  <si>
    <t>SA-046</t>
  </si>
  <si>
    <t>Jagesh Kumar</t>
  </si>
  <si>
    <t>SA-051</t>
  </si>
  <si>
    <t>Mahesh Kumar</t>
  </si>
  <si>
    <t>SA-052</t>
  </si>
  <si>
    <t>Omparkash</t>
  </si>
  <si>
    <t>SA-053</t>
  </si>
  <si>
    <t>Nirmal Daga</t>
  </si>
  <si>
    <t>SA-054</t>
  </si>
  <si>
    <t>Abhishek Agarwal</t>
  </si>
  <si>
    <t>SA-055</t>
  </si>
  <si>
    <t>Anshu Raghav</t>
  </si>
  <si>
    <t>SA-056</t>
  </si>
  <si>
    <t>Puspa Kumari</t>
  </si>
  <si>
    <t>SA-061</t>
  </si>
  <si>
    <t>Babu Ram Shivhare</t>
  </si>
  <si>
    <t>SA-062</t>
  </si>
  <si>
    <t>Amar Singh Rajput</t>
  </si>
  <si>
    <t>SA-063</t>
  </si>
  <si>
    <t>Amit Kumar Santra</t>
  </si>
  <si>
    <t>SA-064</t>
  </si>
  <si>
    <t>SA-065</t>
  </si>
  <si>
    <t>Sangeeta Kumar</t>
  </si>
  <si>
    <t>SA-066</t>
  </si>
  <si>
    <t>Shaifali Sharma</t>
  </si>
  <si>
    <t>SA-071</t>
  </si>
  <si>
    <t>Heena Banthia</t>
  </si>
  <si>
    <t>SA-072</t>
  </si>
  <si>
    <t>Sajjan Singh</t>
  </si>
  <si>
    <t>SA-073</t>
  </si>
  <si>
    <t>Deepak Bhatia</t>
  </si>
  <si>
    <t>SA-074</t>
  </si>
  <si>
    <t>Ritu Tandon</t>
  </si>
  <si>
    <t>SA-075</t>
  </si>
  <si>
    <t>Sushil Sethi</t>
  </si>
  <si>
    <t>SA-076</t>
  </si>
  <si>
    <t>Anita Dhir</t>
  </si>
  <si>
    <t>SA-081</t>
  </si>
  <si>
    <t>Ashish Kumar</t>
  </si>
  <si>
    <t>SA-082</t>
  </si>
  <si>
    <t>Subrata Dey</t>
  </si>
  <si>
    <t>SA-083</t>
  </si>
  <si>
    <t>Himani Yadav</t>
  </si>
  <si>
    <t>SA-084</t>
  </si>
  <si>
    <t>Nitin Hajela</t>
  </si>
  <si>
    <t>SA-085</t>
  </si>
  <si>
    <t>Sudheer Gupta</t>
  </si>
  <si>
    <t>SA-086</t>
  </si>
  <si>
    <t>Suresh Chandra Gupta</t>
  </si>
  <si>
    <t>SA-091</t>
  </si>
  <si>
    <t>Manish Jain</t>
  </si>
  <si>
    <t>SA-092</t>
  </si>
  <si>
    <t>Yogender Singh</t>
  </si>
  <si>
    <t>SA-093</t>
  </si>
  <si>
    <t>Arun Kumar Shukla</t>
  </si>
  <si>
    <t>SA-094</t>
  </si>
  <si>
    <t>Sanjay Kumar Das</t>
  </si>
  <si>
    <t>SA-095</t>
  </si>
  <si>
    <t>Raj Kumar</t>
  </si>
  <si>
    <t>SA-096</t>
  </si>
  <si>
    <t>Ajay Pal</t>
  </si>
  <si>
    <t>SA-101</t>
  </si>
  <si>
    <t>SBBJ</t>
  </si>
  <si>
    <t>Tanmay Behl</t>
  </si>
  <si>
    <t>SA-102</t>
  </si>
  <si>
    <t>Parul Gupta</t>
  </si>
  <si>
    <t>SA-103</t>
  </si>
  <si>
    <t>Neeraj Sharma</t>
  </si>
  <si>
    <t>SA-104</t>
  </si>
  <si>
    <t>Rubi Khan</t>
  </si>
  <si>
    <t>SA-105</t>
  </si>
  <si>
    <t>Arvind Mathur</t>
  </si>
  <si>
    <t>SA-106</t>
  </si>
  <si>
    <t>Arun Kumar Singh</t>
  </si>
  <si>
    <t>SA-111</t>
  </si>
  <si>
    <t>Renuka Joshi</t>
  </si>
  <si>
    <t>SA-112</t>
  </si>
  <si>
    <t>Sanyam Maratha</t>
  </si>
  <si>
    <t>SA-113</t>
  </si>
  <si>
    <t>Malini Kaushal</t>
  </si>
  <si>
    <t>SA-114</t>
  </si>
  <si>
    <t>Anup Bali</t>
  </si>
  <si>
    <t>SA-115</t>
  </si>
  <si>
    <t>Avinash Kumar Rao</t>
  </si>
  <si>
    <t>SA-116</t>
  </si>
  <si>
    <t>Rajesh Kumar Vishwakarma</t>
  </si>
  <si>
    <t>SA-121</t>
  </si>
  <si>
    <t>Ajay Sharma</t>
  </si>
  <si>
    <t>SA-122</t>
  </si>
  <si>
    <t>Akrti Johari</t>
  </si>
  <si>
    <t>SA-123</t>
  </si>
  <si>
    <t>SA-124</t>
  </si>
  <si>
    <t>Priya Singh</t>
  </si>
  <si>
    <t>SA-125</t>
  </si>
  <si>
    <t>Puja Singh Arneja</t>
  </si>
  <si>
    <t>SA-126</t>
  </si>
  <si>
    <t>Lalit Bhasin</t>
  </si>
  <si>
    <t>SA-131</t>
  </si>
  <si>
    <t>Ritesh Goyal</t>
  </si>
  <si>
    <t>SA-132</t>
  </si>
  <si>
    <t>Meena Bhasin</t>
  </si>
  <si>
    <t>SA-133</t>
  </si>
  <si>
    <t>Nishant Kumar Madhukar</t>
  </si>
  <si>
    <t>SA-134</t>
  </si>
  <si>
    <t>Madhav Chitranshi</t>
  </si>
  <si>
    <t>SA-135</t>
  </si>
  <si>
    <t>SA-136</t>
  </si>
  <si>
    <t>Harikant Maurya</t>
  </si>
  <si>
    <t>SA-141</t>
  </si>
  <si>
    <t>Virender Kumar</t>
  </si>
  <si>
    <t>SA-142</t>
  </si>
  <si>
    <t>Joydeep Bhattacharya</t>
  </si>
  <si>
    <t>SA-143</t>
  </si>
  <si>
    <t>Anoop Kumar Singh</t>
  </si>
  <si>
    <t>SA-144</t>
  </si>
  <si>
    <t>Vijay Sharma</t>
  </si>
  <si>
    <t>SA-145</t>
  </si>
  <si>
    <t>Gajanand Verma</t>
  </si>
  <si>
    <t>SA-146</t>
  </si>
  <si>
    <t>SB-001</t>
  </si>
  <si>
    <t>SB-002</t>
  </si>
  <si>
    <t>SB-003</t>
  </si>
  <si>
    <t>SB-004</t>
  </si>
  <si>
    <t>SB-005</t>
  </si>
  <si>
    <t>SB-006</t>
  </si>
  <si>
    <t>Rajesh Singh</t>
  </si>
  <si>
    <t>SB-011</t>
  </si>
  <si>
    <t>Umeshwar Mishra</t>
  </si>
  <si>
    <t>SB-012</t>
  </si>
  <si>
    <t>Aditaya Kumar Singh</t>
  </si>
  <si>
    <t>SB-013</t>
  </si>
  <si>
    <t>Arun Kant Dwivedi</t>
  </si>
  <si>
    <t>SB-014</t>
  </si>
  <si>
    <t>Chandra Singh Bathyal</t>
  </si>
  <si>
    <t>SB-015</t>
  </si>
  <si>
    <t>Harpinder Kaur</t>
  </si>
  <si>
    <t>SB-016</t>
  </si>
  <si>
    <t>Rajani Kant Shukla</t>
  </si>
  <si>
    <t>SB-021</t>
  </si>
  <si>
    <t>Rakesh Bali</t>
  </si>
  <si>
    <t>SB-022</t>
  </si>
  <si>
    <t>Manju Rani</t>
  </si>
  <si>
    <t>SB-023</t>
  </si>
  <si>
    <t>Sanjay Saxena</t>
  </si>
  <si>
    <t>SB-024</t>
  </si>
  <si>
    <t>Neelam Garg</t>
  </si>
  <si>
    <t>SB-025</t>
  </si>
  <si>
    <t>Mahender Singh</t>
  </si>
  <si>
    <t>SB-026</t>
  </si>
  <si>
    <t>Om Prakash</t>
  </si>
  <si>
    <t>SB-031</t>
  </si>
  <si>
    <t>SBP</t>
  </si>
  <si>
    <t>Amit Khandelwal</t>
  </si>
  <si>
    <t>SB-032</t>
  </si>
  <si>
    <t>Gopal Singh</t>
  </si>
  <si>
    <t>SB-033</t>
  </si>
  <si>
    <t>Vikas Thakur</t>
  </si>
  <si>
    <t>SB-034</t>
  </si>
  <si>
    <t>Saurabh Jain</t>
  </si>
  <si>
    <t>SB-035</t>
  </si>
  <si>
    <t>Suneeta Devi</t>
  </si>
  <si>
    <t>SB-036</t>
  </si>
  <si>
    <t>Anjali Lahoti</t>
  </si>
  <si>
    <t>SB-041</t>
  </si>
  <si>
    <t>Rajinder Singh</t>
  </si>
  <si>
    <t>SB-042</t>
  </si>
  <si>
    <t>Akhilesh Sharma</t>
  </si>
  <si>
    <t>SB-043</t>
  </si>
  <si>
    <t>canfin</t>
  </si>
  <si>
    <t>Mandhir Yadav</t>
  </si>
  <si>
    <t>SB-044</t>
  </si>
  <si>
    <t>Bharti Kapoor</t>
  </si>
  <si>
    <t>SB-045</t>
  </si>
  <si>
    <t>Nikin Yadav</t>
  </si>
  <si>
    <t>SB-046</t>
  </si>
  <si>
    <t>Satish Kumar</t>
  </si>
  <si>
    <t>SB-051</t>
  </si>
  <si>
    <t>dhfl</t>
  </si>
  <si>
    <t>Prem Kumar Sharma</t>
  </si>
  <si>
    <t>SB-052</t>
  </si>
  <si>
    <t>Sandeep Kumar</t>
  </si>
  <si>
    <t>SB-053</t>
  </si>
  <si>
    <t>Apoorva Srivastava</t>
  </si>
  <si>
    <t>SB-054</t>
  </si>
  <si>
    <t>Nisha Nag Purohit</t>
  </si>
  <si>
    <t>SB-055</t>
  </si>
  <si>
    <t>Alam Shah</t>
  </si>
  <si>
    <t>SB-056</t>
  </si>
  <si>
    <t>Bimla Shrivastava</t>
  </si>
  <si>
    <t>SB-061</t>
  </si>
  <si>
    <t>Roop Singh</t>
  </si>
  <si>
    <t>SB-062</t>
  </si>
  <si>
    <t>Devender Kumar Chandhoke</t>
  </si>
  <si>
    <t>SB-063</t>
  </si>
  <si>
    <t>Hemant Sharma</t>
  </si>
  <si>
    <t>SB-064</t>
  </si>
  <si>
    <t>Sarika Kamal</t>
  </si>
  <si>
    <t>SB-065</t>
  </si>
  <si>
    <t>Mahendra Pratap Singh</t>
  </si>
  <si>
    <t>SB-066</t>
  </si>
  <si>
    <t>Devi Charan</t>
  </si>
  <si>
    <t>SB-071</t>
  </si>
  <si>
    <t>Sharad Agrawal</t>
  </si>
  <si>
    <t>SB-072</t>
  </si>
  <si>
    <t>Dipti Joshi</t>
  </si>
  <si>
    <t>SB-073</t>
  </si>
  <si>
    <t>Nitin</t>
  </si>
  <si>
    <t>SB-074</t>
  </si>
  <si>
    <t>Alka Sharma</t>
  </si>
  <si>
    <t>SB-075</t>
  </si>
  <si>
    <t>Sankalp Gera</t>
  </si>
  <si>
    <t>SB-076</t>
  </si>
  <si>
    <t>Vinod Sharma</t>
  </si>
  <si>
    <t>SB-081</t>
  </si>
  <si>
    <t>Sanjay Kumar Singh</t>
  </si>
  <si>
    <t>SB-082</t>
  </si>
  <si>
    <t>Amit Singhal</t>
  </si>
  <si>
    <t>SB-083</t>
  </si>
  <si>
    <t>Gaurav Israni</t>
  </si>
  <si>
    <t>SB-084</t>
  </si>
  <si>
    <t>Rajesh Chhabra</t>
  </si>
  <si>
    <t>SB-085</t>
  </si>
  <si>
    <t>Guljar Singh</t>
  </si>
  <si>
    <t>SB-086</t>
  </si>
  <si>
    <t>Gaurav Nagpal</t>
  </si>
  <si>
    <t>SB-091</t>
  </si>
  <si>
    <t>Ram Singh Shekhawat</t>
  </si>
  <si>
    <t>SB-092</t>
  </si>
  <si>
    <t>Gaurav Maggo</t>
  </si>
  <si>
    <t>SB-093</t>
  </si>
  <si>
    <t>Vijay Krishna Bhardwaj</t>
  </si>
  <si>
    <t>SB-094</t>
  </si>
  <si>
    <t>Manoj Kumar</t>
  </si>
  <si>
    <t>SB-095</t>
  </si>
  <si>
    <t>Raminder Singh Nanda</t>
  </si>
  <si>
    <t>SB-096</t>
  </si>
  <si>
    <t>Sumit Dwivedi</t>
  </si>
  <si>
    <t>SB-101</t>
  </si>
  <si>
    <t>Sanjeev Kumar</t>
  </si>
  <si>
    <t>SB-102</t>
  </si>
  <si>
    <t>Bivash Sengupta</t>
  </si>
  <si>
    <t>SB-103</t>
  </si>
  <si>
    <t>Suresh Chand Dahima</t>
  </si>
  <si>
    <t>SB-104</t>
  </si>
  <si>
    <t>Deepak Sharma</t>
  </si>
  <si>
    <t>SB-105</t>
  </si>
  <si>
    <t>Prem Kumar</t>
  </si>
  <si>
    <t>SB-106</t>
  </si>
  <si>
    <t>Anjan Roy</t>
  </si>
  <si>
    <t>SB-111</t>
  </si>
  <si>
    <t>Kirti Kumar</t>
  </si>
  <si>
    <t>SB-112</t>
  </si>
  <si>
    <t>PNBHFL</t>
  </si>
  <si>
    <t>Monika Baldua</t>
  </si>
  <si>
    <t>SB-113</t>
  </si>
  <si>
    <t>Subramaniam Gopala Krishnan</t>
  </si>
  <si>
    <t>SB-114</t>
  </si>
  <si>
    <t>Kaushlesh Kumar Singh</t>
  </si>
  <si>
    <t>SB-115</t>
  </si>
  <si>
    <t>Surya Pratap Singh</t>
  </si>
  <si>
    <t>SB-116</t>
  </si>
  <si>
    <t>Ranjeet Prasad</t>
  </si>
  <si>
    <t>SB-121</t>
  </si>
  <si>
    <t>Dhiraj Kumar</t>
  </si>
  <si>
    <t>SB-122</t>
  </si>
  <si>
    <t>Ashok Chhakkar</t>
  </si>
  <si>
    <t>SB-123</t>
  </si>
  <si>
    <t>Pankaj Singh</t>
  </si>
  <si>
    <t>SB-124</t>
  </si>
  <si>
    <t>Sumit Kumar Bajaj</t>
  </si>
  <si>
    <t>SB-125</t>
  </si>
  <si>
    <t>Krishnan Potti Sriram</t>
  </si>
  <si>
    <t>SB-126</t>
  </si>
  <si>
    <t>Rajkumar Raghav</t>
  </si>
  <si>
    <t>SB-131</t>
  </si>
  <si>
    <t>Anita Rani</t>
  </si>
  <si>
    <t>SB-132</t>
  </si>
  <si>
    <t>Shri Krishan</t>
  </si>
  <si>
    <t>SB-133</t>
  </si>
  <si>
    <t>Rajbir Sharma</t>
  </si>
  <si>
    <t>SB-134</t>
  </si>
  <si>
    <t>Sunita</t>
  </si>
  <si>
    <t>SB-135</t>
  </si>
  <si>
    <t>Dinesh Kumar</t>
  </si>
  <si>
    <t>SB-136</t>
  </si>
  <si>
    <t>Shailender Vijay Sharma</t>
  </si>
  <si>
    <t>SB-141</t>
  </si>
  <si>
    <t>Kishor Warthi</t>
  </si>
  <si>
    <t>SB-142</t>
  </si>
  <si>
    <t>Sheetal Kumar Sharma</t>
  </si>
  <si>
    <t>SB-143</t>
  </si>
  <si>
    <t>Inder Parkash Sharma</t>
  </si>
  <si>
    <t>SB-144</t>
  </si>
  <si>
    <t>Anuj Mathur</t>
  </si>
  <si>
    <t>SB-145</t>
  </si>
  <si>
    <t>Gaurav Valecha</t>
  </si>
  <si>
    <t>SB-146</t>
  </si>
  <si>
    <t>SC-001</t>
  </si>
  <si>
    <t>SC-002</t>
  </si>
  <si>
    <t>SC-003</t>
  </si>
  <si>
    <t>SC-004</t>
  </si>
  <si>
    <t>SC-005</t>
  </si>
  <si>
    <t>SC-006</t>
  </si>
  <si>
    <t>Vinay Khullar</t>
  </si>
  <si>
    <t>SC-011</t>
  </si>
  <si>
    <t>Devender Kumar Chetiwal</t>
  </si>
  <si>
    <t>SC-012</t>
  </si>
  <si>
    <t>Kapil Dev</t>
  </si>
  <si>
    <t>SC-013</t>
  </si>
  <si>
    <t>Rajesh Kumar</t>
  </si>
  <si>
    <t>SC-014</t>
  </si>
  <si>
    <t>Vijay Kumar Srivastava</t>
  </si>
  <si>
    <t>SC-015</t>
  </si>
  <si>
    <t>Nathu Singh</t>
  </si>
  <si>
    <t>SC-016</t>
  </si>
  <si>
    <t>Hemlata sharma</t>
  </si>
  <si>
    <t>SC-021</t>
  </si>
  <si>
    <t>axis</t>
  </si>
  <si>
    <t>Narender Kumar Tyagi</t>
  </si>
  <si>
    <t>SC-022</t>
  </si>
  <si>
    <t>Rahul Sharma</t>
  </si>
  <si>
    <t>SC-023</t>
  </si>
  <si>
    <t>Usha Patwal</t>
  </si>
  <si>
    <t>SC-024</t>
  </si>
  <si>
    <t>SC-025</t>
  </si>
  <si>
    <t>Maniram</t>
  </si>
  <si>
    <t>SC-026</t>
  </si>
  <si>
    <t>RAAS</t>
  </si>
  <si>
    <t>Yogendra Tripathi</t>
  </si>
  <si>
    <t>SC-031</t>
  </si>
  <si>
    <t>Dipendra Singh</t>
  </si>
  <si>
    <t>SC-032</t>
  </si>
  <si>
    <t>Sachin Mamtani</t>
  </si>
  <si>
    <t>SC-033</t>
  </si>
  <si>
    <t>Deepak Mamtani</t>
  </si>
  <si>
    <t>SC-034</t>
  </si>
  <si>
    <t>Ram Kishnani</t>
  </si>
  <si>
    <t>SC-035</t>
  </si>
  <si>
    <t>Chandra Mamtani</t>
  </si>
  <si>
    <t>SC-036</t>
  </si>
  <si>
    <t>Poornima Arora</t>
  </si>
  <si>
    <t>SC-041</t>
  </si>
  <si>
    <t>Koshi Thawani</t>
  </si>
  <si>
    <t>SC-042</t>
  </si>
  <si>
    <t>Anita Harry</t>
  </si>
  <si>
    <t>SC-043</t>
  </si>
  <si>
    <t>SC-044</t>
  </si>
  <si>
    <t>Sanjay Chauhan</t>
  </si>
  <si>
    <t>SC-045</t>
  </si>
  <si>
    <t>Sonia Sawant</t>
  </si>
  <si>
    <t>SC-046</t>
  </si>
  <si>
    <t>SC-051</t>
  </si>
  <si>
    <t>Devender Kumar</t>
  </si>
  <si>
    <t>SC-052</t>
  </si>
  <si>
    <t>Yogesh Singh</t>
  </si>
  <si>
    <t>SC-053</t>
  </si>
  <si>
    <t>Shashank</t>
  </si>
  <si>
    <t>SC-054</t>
  </si>
  <si>
    <t>Mintu Kumar</t>
  </si>
  <si>
    <t>SC-055</t>
  </si>
  <si>
    <t>Balram Gaur</t>
  </si>
  <si>
    <t>SC-056</t>
  </si>
  <si>
    <t>Swades Sarkar</t>
  </si>
  <si>
    <t>SC-061</t>
  </si>
  <si>
    <t>Satyaveer</t>
  </si>
  <si>
    <t>SC-062</t>
  </si>
  <si>
    <t>Ashok Kumar</t>
  </si>
  <si>
    <t>SC-063</t>
  </si>
  <si>
    <t>Raj Khosla</t>
  </si>
  <si>
    <t>SC-064</t>
  </si>
  <si>
    <t>Patit Pawan Ghosh</t>
  </si>
  <si>
    <t>SC-065</t>
  </si>
  <si>
    <t>Umesh Kumar</t>
  </si>
  <si>
    <t>SC-066</t>
  </si>
  <si>
    <t>Rameshwar Singh</t>
  </si>
  <si>
    <t>SC-071</t>
  </si>
  <si>
    <t>Mayank Gupta</t>
  </si>
  <si>
    <t>SC-072</t>
  </si>
  <si>
    <t>AXis</t>
  </si>
  <si>
    <t>SC-073</t>
  </si>
  <si>
    <t>SC-074</t>
  </si>
  <si>
    <t>SC-075</t>
  </si>
  <si>
    <t>Manish Pandey</t>
  </si>
  <si>
    <t>SC-076</t>
  </si>
  <si>
    <t>SC-081</t>
  </si>
  <si>
    <t>Rakesh Kumar Masta</t>
  </si>
  <si>
    <t>SC-082</t>
  </si>
  <si>
    <t>Nitin Punia</t>
  </si>
  <si>
    <t>SC-083</t>
  </si>
  <si>
    <t>Sakshi Makhija</t>
  </si>
  <si>
    <t>SC-084</t>
  </si>
  <si>
    <t>Ved Prakash Sharma</t>
  </si>
  <si>
    <t>SC-085</t>
  </si>
  <si>
    <t>Jagbir Singh</t>
  </si>
  <si>
    <t>SC-086</t>
  </si>
  <si>
    <t>Jagir Singh</t>
  </si>
  <si>
    <t>SC-091</t>
  </si>
  <si>
    <t>Uday Kant Singh</t>
  </si>
  <si>
    <t>SC-092</t>
  </si>
  <si>
    <t>Surender Singh</t>
  </si>
  <si>
    <t>SC-093</t>
  </si>
  <si>
    <t>Suresh Kumar</t>
  </si>
  <si>
    <t>SC-094</t>
  </si>
  <si>
    <t>Depinder Deep Singh Khamba</t>
  </si>
  <si>
    <t>SC-095</t>
  </si>
  <si>
    <t>Gaurav Raheja</t>
  </si>
  <si>
    <t>SC-096</t>
  </si>
  <si>
    <t>Gursharan Kaur</t>
  </si>
  <si>
    <t>SC-101</t>
  </si>
  <si>
    <t>Radhika</t>
  </si>
  <si>
    <t>SC-102</t>
  </si>
  <si>
    <t>SC-103</t>
  </si>
  <si>
    <t>Ambience Designs Pvt Ltd</t>
  </si>
  <si>
    <t>SC-104</t>
  </si>
  <si>
    <t>Suresh Kumar Shukla</t>
  </si>
  <si>
    <t>SC-105</t>
  </si>
  <si>
    <t>Rajiv Khanna</t>
  </si>
  <si>
    <t>SC-106</t>
  </si>
  <si>
    <t>Renu Sharma</t>
  </si>
  <si>
    <t>SC-111</t>
  </si>
  <si>
    <t>Kaushlendra Singh Solanki</t>
  </si>
  <si>
    <t>SC-112</t>
  </si>
  <si>
    <t>Ramesh Chand Meena</t>
  </si>
  <si>
    <t>SC-113</t>
  </si>
  <si>
    <t>Loveleen Chhikara</t>
  </si>
  <si>
    <t>SC-114</t>
  </si>
  <si>
    <t>Mukesh Chand Meena</t>
  </si>
  <si>
    <t>SC-115</t>
  </si>
  <si>
    <t>Ratan Sandeep</t>
  </si>
  <si>
    <t>SC-116</t>
  </si>
  <si>
    <t>Kamal Saini</t>
  </si>
  <si>
    <t>SC-121</t>
  </si>
  <si>
    <t>Anil Kumar Makhija</t>
  </si>
  <si>
    <t>SC-122</t>
  </si>
  <si>
    <t>Ranjana Saini</t>
  </si>
  <si>
    <t>SC-123</t>
  </si>
  <si>
    <t>Onkar Sharad</t>
  </si>
  <si>
    <t>SC-124</t>
  </si>
  <si>
    <t>Sudhir Kumar</t>
  </si>
  <si>
    <t>SC-125</t>
  </si>
  <si>
    <t>Priya Ahuja</t>
  </si>
  <si>
    <t>SC-126</t>
  </si>
  <si>
    <t>Prakash Srivastava</t>
  </si>
  <si>
    <t>SC-131</t>
  </si>
  <si>
    <t>Vinod Kumar Prajapat</t>
  </si>
  <si>
    <t>SC-132</t>
  </si>
  <si>
    <t>K K JHA</t>
  </si>
  <si>
    <t>SC-133</t>
  </si>
  <si>
    <t>Gautam Chaturvedi</t>
  </si>
  <si>
    <t>SC-134</t>
  </si>
  <si>
    <t>SC-135</t>
  </si>
  <si>
    <t>Dinesh Kumar Dwivedi</t>
  </si>
  <si>
    <t>SC-136</t>
  </si>
  <si>
    <t>Himanshu Rajpal</t>
  </si>
  <si>
    <t>SC-141</t>
  </si>
  <si>
    <t>Bhawna Sharma</t>
  </si>
  <si>
    <t>SC-142</t>
  </si>
  <si>
    <t>SC-143</t>
  </si>
  <si>
    <t>SC-144</t>
  </si>
  <si>
    <t>Anuj Chaturvedi</t>
  </si>
  <si>
    <t>SC-145</t>
  </si>
  <si>
    <t>Vanita Sudan</t>
  </si>
  <si>
    <t>SC-146</t>
  </si>
  <si>
    <t>SD-001</t>
  </si>
  <si>
    <t>SD-002</t>
  </si>
  <si>
    <t>SD-003</t>
  </si>
  <si>
    <t>SD-004</t>
  </si>
  <si>
    <t>Rekha Gupta</t>
  </si>
  <si>
    <t>SD-005</t>
  </si>
  <si>
    <t>SD-006</t>
  </si>
  <si>
    <t>Subhash Chand Tiwari</t>
  </si>
  <si>
    <t>SD-011</t>
  </si>
  <si>
    <t>Narender Kumar Saini</t>
  </si>
  <si>
    <t>SD-012</t>
  </si>
  <si>
    <t>Asha Singh</t>
  </si>
  <si>
    <t>SD-013</t>
  </si>
  <si>
    <t>Vijay Pal Singh</t>
  </si>
  <si>
    <t>SD-014</t>
  </si>
  <si>
    <t>Jagbiri</t>
  </si>
  <si>
    <t>SD-015</t>
  </si>
  <si>
    <t>Navpreet Kainth</t>
  </si>
  <si>
    <t>SD-016</t>
  </si>
  <si>
    <t>Daljeet Kaur</t>
  </si>
  <si>
    <t>SD-021</t>
  </si>
  <si>
    <t>Ram Govind Mishra</t>
  </si>
  <si>
    <t>SD-022</t>
  </si>
  <si>
    <t>Shakti Jakhar</t>
  </si>
  <si>
    <t>SD-023</t>
  </si>
  <si>
    <t>Rajesh</t>
  </si>
  <si>
    <t>SD-024</t>
  </si>
  <si>
    <t>Vikram Kumar Dhiman</t>
  </si>
  <si>
    <t>SD-025</t>
  </si>
  <si>
    <t>Sumit Kumar</t>
  </si>
  <si>
    <t>SD-026</t>
  </si>
  <si>
    <t>Pramodini Boxi</t>
  </si>
  <si>
    <t>SD-031</t>
  </si>
  <si>
    <t>Gopal Avasthi</t>
  </si>
  <si>
    <t>SD-032</t>
  </si>
  <si>
    <t>Mandar Vaidya</t>
  </si>
  <si>
    <t>SD-033</t>
  </si>
  <si>
    <t>Om Parkash</t>
  </si>
  <si>
    <t>SD-034</t>
  </si>
  <si>
    <t>Mohammad Moksud Ali</t>
  </si>
  <si>
    <t>SD-035</t>
  </si>
  <si>
    <t>Prabhat Kumar</t>
  </si>
  <si>
    <t>SD-036</t>
  </si>
  <si>
    <t>SD-041</t>
  </si>
  <si>
    <t>Shiv Pratap Singh</t>
  </si>
  <si>
    <t>SD-042</t>
  </si>
  <si>
    <t>SD-043</t>
  </si>
  <si>
    <t>Aseem Vikram</t>
  </si>
  <si>
    <t>SD-044</t>
  </si>
  <si>
    <t>SD-045</t>
  </si>
  <si>
    <t>Rama Raksha Shukla</t>
  </si>
  <si>
    <t>SD-046</t>
  </si>
  <si>
    <t>Akhilesh Sarswat</t>
  </si>
  <si>
    <t>SD-051</t>
  </si>
  <si>
    <t>Shalini Nikesh</t>
  </si>
  <si>
    <t>SD-052</t>
  </si>
  <si>
    <t>Sanjay Kumar Srivastava</t>
  </si>
  <si>
    <t>SD-053</t>
  </si>
  <si>
    <t>Sanjay Jallandhra</t>
  </si>
  <si>
    <t>SD-054</t>
  </si>
  <si>
    <t>Sangeet Kumar</t>
  </si>
  <si>
    <t>SD-055</t>
  </si>
  <si>
    <t>Sanjeev Nijhawan</t>
  </si>
  <si>
    <t>SD-056</t>
  </si>
  <si>
    <t>Kashmir Singh Katoch</t>
  </si>
  <si>
    <t>SD-061</t>
  </si>
  <si>
    <t>Poonam Wadhwa</t>
  </si>
  <si>
    <t>SD-062</t>
  </si>
  <si>
    <t>Gopal Krishna Dubey</t>
  </si>
  <si>
    <t>SD-063</t>
  </si>
  <si>
    <t>SD-064</t>
  </si>
  <si>
    <t>Surya Prakash Saraswat</t>
  </si>
  <si>
    <t>SD-065</t>
  </si>
  <si>
    <t>Dilip Jain</t>
  </si>
  <si>
    <t>SD-066</t>
  </si>
  <si>
    <t>Ritu Mandavi</t>
  </si>
  <si>
    <t>SD-071</t>
  </si>
  <si>
    <t>Dara Singh</t>
  </si>
  <si>
    <t>SD-072</t>
  </si>
  <si>
    <t>Sageer Ahmed Khan</t>
  </si>
  <si>
    <t>SD-073</t>
  </si>
  <si>
    <t>Sumit Girdhar</t>
  </si>
  <si>
    <t>SD-074</t>
  </si>
  <si>
    <t>Archana Bhargava</t>
  </si>
  <si>
    <t>SD-075</t>
  </si>
  <si>
    <t>Badri Narayan Panda</t>
  </si>
  <si>
    <t>SD-076</t>
  </si>
  <si>
    <t>Shailendra Dixit</t>
  </si>
  <si>
    <t>SD-081</t>
  </si>
  <si>
    <t>Abhay Shukla</t>
  </si>
  <si>
    <t>SD-082</t>
  </si>
  <si>
    <t>SD-083</t>
  </si>
  <si>
    <t>Ajit Koshta</t>
  </si>
  <si>
    <t>SD-084</t>
  </si>
  <si>
    <t>Sukirti Sengupta</t>
  </si>
  <si>
    <t>SD-085</t>
  </si>
  <si>
    <t>Sumit</t>
  </si>
  <si>
    <t>SD-086</t>
  </si>
  <si>
    <t>Pooja Saini</t>
  </si>
  <si>
    <t>SD-091</t>
  </si>
  <si>
    <t>Sanjay Kumar</t>
  </si>
  <si>
    <t>SD-092</t>
  </si>
  <si>
    <t>Vikrant Jagdhane C</t>
  </si>
  <si>
    <t>SD-093</t>
  </si>
  <si>
    <t>Asim Mandal</t>
  </si>
  <si>
    <t>SD-094</t>
  </si>
  <si>
    <t>Naveen Katyal</t>
  </si>
  <si>
    <t>SD-095</t>
  </si>
  <si>
    <t>Santosh Kumar</t>
  </si>
  <si>
    <t>SD-096</t>
  </si>
  <si>
    <t>Rashmi Kumari</t>
  </si>
  <si>
    <t>SD-101</t>
  </si>
  <si>
    <t>Kamal Kant Sharma</t>
  </si>
  <si>
    <t>SD-102</t>
  </si>
  <si>
    <t>Anu P Sam</t>
  </si>
  <si>
    <t>SD-103</t>
  </si>
  <si>
    <t>Santosh Kumar Tiwari</t>
  </si>
  <si>
    <t>SD-104</t>
  </si>
  <si>
    <t>Bency P Sam</t>
  </si>
  <si>
    <t>SD-105</t>
  </si>
  <si>
    <t>Ajay Singh</t>
  </si>
  <si>
    <t>SD-106</t>
  </si>
  <si>
    <t>Baljit</t>
  </si>
  <si>
    <t>SD-111</t>
  </si>
  <si>
    <t>Poonam Yadav</t>
  </si>
  <si>
    <t>SD-112</t>
  </si>
  <si>
    <t>Satinder</t>
  </si>
  <si>
    <t>SD-113</t>
  </si>
  <si>
    <t>Sunil Kumar</t>
  </si>
  <si>
    <t>SD-114</t>
  </si>
  <si>
    <t>Singh Raghvendra Amar</t>
  </si>
  <si>
    <t>SD-115</t>
  </si>
  <si>
    <t>Manvir Singh</t>
  </si>
  <si>
    <t>SD-116</t>
  </si>
  <si>
    <t>Balkrishna Kale</t>
  </si>
  <si>
    <t>SD-121</t>
  </si>
  <si>
    <t>Kazi MD Azharuddin</t>
  </si>
  <si>
    <t>SD-122</t>
  </si>
  <si>
    <t>Mahadev Bandgar</t>
  </si>
  <si>
    <t>SD-123</t>
  </si>
  <si>
    <t>Chander Kant</t>
  </si>
  <si>
    <t>SD-124</t>
  </si>
  <si>
    <t>Ravsaheb Kalyankar</t>
  </si>
  <si>
    <t>SD-125</t>
  </si>
  <si>
    <t>Jitender Kumar Dubey</t>
  </si>
  <si>
    <t>SD-126</t>
  </si>
  <si>
    <t>Satbir</t>
  </si>
  <si>
    <t>SD-131</t>
  </si>
  <si>
    <t>Lata Devi</t>
  </si>
  <si>
    <t>SD-132</t>
  </si>
  <si>
    <t>Rajinder Jain</t>
  </si>
  <si>
    <t>SD-133</t>
  </si>
  <si>
    <t>Varun Gaurav</t>
  </si>
  <si>
    <t>SD-134</t>
  </si>
  <si>
    <t>Basant Kumar</t>
  </si>
  <si>
    <t>SD-135</t>
  </si>
  <si>
    <t>Avdesh Kumar Jha</t>
  </si>
  <si>
    <t>SD-136</t>
  </si>
  <si>
    <t>Abhishek Kumar Singh</t>
  </si>
  <si>
    <t>SD-141</t>
  </si>
  <si>
    <t>Naresh Kumar Bali</t>
  </si>
  <si>
    <t>SD-142</t>
  </si>
  <si>
    <t>Nishu Saxena</t>
  </si>
  <si>
    <t>SD-143</t>
  </si>
  <si>
    <t>Sandeep Kumar Jaiswal</t>
  </si>
  <si>
    <t>SD-144</t>
  </si>
  <si>
    <t>SD-145</t>
  </si>
  <si>
    <t>Saurabh Gautam</t>
  </si>
  <si>
    <t>SD-146</t>
  </si>
  <si>
    <t>Phase-1</t>
  </si>
  <si>
    <t>Total</t>
  </si>
  <si>
    <t>Booked Units</t>
  </si>
  <si>
    <t>Unbooked Units</t>
  </si>
  <si>
    <t>Booked Units Area</t>
  </si>
  <si>
    <t>Unbooked Units Area</t>
  </si>
  <si>
    <t>Total Area</t>
  </si>
  <si>
    <t>Unit</t>
  </si>
  <si>
    <t>No. of Units</t>
  </si>
  <si>
    <t>Total Amount Received</t>
  </si>
  <si>
    <t>Total Recievables</t>
  </si>
  <si>
    <t>Total Amount</t>
  </si>
  <si>
    <t>Unbooked</t>
  </si>
  <si>
    <t xml:space="preserve">Tower </t>
  </si>
  <si>
    <t>No. of Floors</t>
  </si>
  <si>
    <t>Stage of Construction</t>
  </si>
  <si>
    <t>Important Notes:</t>
  </si>
  <si>
    <t>Phase</t>
  </si>
  <si>
    <t>Ready to Move in</t>
  </si>
  <si>
    <t>Project Details</t>
  </si>
  <si>
    <t>Unbooked Inventory Absorption</t>
  </si>
  <si>
    <t>P</t>
  </si>
  <si>
    <t>Olive</t>
  </si>
  <si>
    <t>Wembley</t>
  </si>
  <si>
    <t>Phase-2</t>
  </si>
  <si>
    <t>Application/Sold/ Unsold</t>
  </si>
  <si>
    <t>Column1</t>
  </si>
  <si>
    <t>Nishant</t>
  </si>
  <si>
    <t>OA-021</t>
  </si>
  <si>
    <t>Rupesh</t>
  </si>
  <si>
    <t>OA-022</t>
  </si>
  <si>
    <t>Manvinder Singh</t>
  </si>
  <si>
    <t>OA-023</t>
  </si>
  <si>
    <t>Rohit Kumar</t>
  </si>
  <si>
    <t>OA-024</t>
  </si>
  <si>
    <t>Neelam</t>
  </si>
  <si>
    <t>OA-025</t>
  </si>
  <si>
    <t>Narender Kumar</t>
  </si>
  <si>
    <t>OA-026</t>
  </si>
  <si>
    <t>Parmjit Kumar Sharma</t>
  </si>
  <si>
    <t>OA-027</t>
  </si>
  <si>
    <t>OA-031</t>
  </si>
  <si>
    <t>Ratnesh Shrivastava</t>
  </si>
  <si>
    <t>OA-032</t>
  </si>
  <si>
    <t>Ashish Mediratta</t>
  </si>
  <si>
    <t>OA-033</t>
  </si>
  <si>
    <t>Vikram Kumar</t>
  </si>
  <si>
    <t>OA-034</t>
  </si>
  <si>
    <t>Naveen Kumar Goyal</t>
  </si>
  <si>
    <t>OA-035</t>
  </si>
  <si>
    <t>Manoj Kumar Singh</t>
  </si>
  <si>
    <t>OA-036</t>
  </si>
  <si>
    <t>Vijay Rajoteaya</t>
  </si>
  <si>
    <t>OA-037</t>
  </si>
  <si>
    <t>Baldev Raj</t>
  </si>
  <si>
    <t>OA-041</t>
  </si>
  <si>
    <t>Subash Lal Singh Yadav</t>
  </si>
  <si>
    <t>OA-042</t>
  </si>
  <si>
    <t>Sheetal Chugh</t>
  </si>
  <si>
    <t>OA-043</t>
  </si>
  <si>
    <t>Ankit Aggarwal</t>
  </si>
  <si>
    <t>OA-044</t>
  </si>
  <si>
    <t>OA-045</t>
  </si>
  <si>
    <t>Anu Narang</t>
  </si>
  <si>
    <t>OA-046</t>
  </si>
  <si>
    <t>Lalit Kumar Bhardwaj</t>
  </si>
  <si>
    <t>OA-047</t>
  </si>
  <si>
    <t>Dharamvir</t>
  </si>
  <si>
    <t>OA-051</t>
  </si>
  <si>
    <t>Rubi Garg</t>
  </si>
  <si>
    <t>OA-052</t>
  </si>
  <si>
    <t>Dilshad</t>
  </si>
  <si>
    <t>OA-053</t>
  </si>
  <si>
    <t>Budh Singh</t>
  </si>
  <si>
    <t>OA-054</t>
  </si>
  <si>
    <t>Canfin</t>
  </si>
  <si>
    <t>Lalit Kumar</t>
  </si>
  <si>
    <t>OA-055</t>
  </si>
  <si>
    <t>Shiv Parkash Yadav</t>
  </si>
  <si>
    <t>OA-056</t>
  </si>
  <si>
    <t>Mohit Samaria</t>
  </si>
  <si>
    <t>OA-057</t>
  </si>
  <si>
    <t>Shubhra Sinha</t>
  </si>
  <si>
    <t>OA-061</t>
  </si>
  <si>
    <t>Pravir Shankar</t>
  </si>
  <si>
    <t>OA-062</t>
  </si>
  <si>
    <t>Harjit Kaur</t>
  </si>
  <si>
    <t>OA-063</t>
  </si>
  <si>
    <t>Aman Vij</t>
  </si>
  <si>
    <t>OA-064</t>
  </si>
  <si>
    <t>Varinder Sachdeva</t>
  </si>
  <si>
    <t>OA-065</t>
  </si>
  <si>
    <t>Vivek Kumar Gupta</t>
  </si>
  <si>
    <t>OA-066</t>
  </si>
  <si>
    <t>Mohar Singh</t>
  </si>
  <si>
    <t>OA-067</t>
  </si>
  <si>
    <t>Shinu Raj</t>
  </si>
  <si>
    <t>OA-071</t>
  </si>
  <si>
    <t>Vimlendra Kumar Sharma</t>
  </si>
  <si>
    <t>OA-072</t>
  </si>
  <si>
    <t>Sumeet Kumar</t>
  </si>
  <si>
    <t>OA-073</t>
  </si>
  <si>
    <t>Dinesh Chauhan</t>
  </si>
  <si>
    <t>OA-074</t>
  </si>
  <si>
    <t>Axis</t>
  </si>
  <si>
    <t>Mir Singh</t>
  </si>
  <si>
    <t>OA-075</t>
  </si>
  <si>
    <t>Ramesh Singh Aswal</t>
  </si>
  <si>
    <t>OA-076</t>
  </si>
  <si>
    <t>Amit Bhan</t>
  </si>
  <si>
    <t>OA-077</t>
  </si>
  <si>
    <t>Punam Ahlawat</t>
  </si>
  <si>
    <t>OA-081</t>
  </si>
  <si>
    <t>Indresh Pratap Singh</t>
  </si>
  <si>
    <t>OA-082</t>
  </si>
  <si>
    <t>Om Prakash Gupta</t>
  </si>
  <si>
    <t>OA-083</t>
  </si>
  <si>
    <t>Rajeev Kumar</t>
  </si>
  <si>
    <t>OA-084</t>
  </si>
  <si>
    <t>Ghanshyam Dass Arora</t>
  </si>
  <si>
    <t>OA-085</t>
  </si>
  <si>
    <t>Dhiraj Singh Negi</t>
  </si>
  <si>
    <t>OA-086</t>
  </si>
  <si>
    <t>Kavita Rani</t>
  </si>
  <si>
    <t>OA-087</t>
  </si>
  <si>
    <t>Kala Gopalakrishnan</t>
  </si>
  <si>
    <t>OA-091</t>
  </si>
  <si>
    <t>OA-092</t>
  </si>
  <si>
    <t>Shiv Taj Singh</t>
  </si>
  <si>
    <t>OA-093</t>
  </si>
  <si>
    <t>Jatin Chachra</t>
  </si>
  <si>
    <t>OA-094</t>
  </si>
  <si>
    <t>Vikram</t>
  </si>
  <si>
    <t>OA-095</t>
  </si>
  <si>
    <t>Anurag Sharma</t>
  </si>
  <si>
    <t>OA-096</t>
  </si>
  <si>
    <t>Sanjiv Datta</t>
  </si>
  <si>
    <t>OA-097</t>
  </si>
  <si>
    <t>Yogesh Vijay Rao Deshmukh</t>
  </si>
  <si>
    <t>OA-101</t>
  </si>
  <si>
    <t>Anand Singh</t>
  </si>
  <si>
    <t>OA-102</t>
  </si>
  <si>
    <t>Manish Chand</t>
  </si>
  <si>
    <t>OA-103</t>
  </si>
  <si>
    <t>Pramendra Singh</t>
  </si>
  <si>
    <t>OA-104</t>
  </si>
  <si>
    <t>Lalit Gupta</t>
  </si>
  <si>
    <t>OA-105</t>
  </si>
  <si>
    <t>Sanjay Kumar Pathak</t>
  </si>
  <si>
    <t>OA-106</t>
  </si>
  <si>
    <t>Soumik Mitra</t>
  </si>
  <si>
    <t>OA-107</t>
  </si>
  <si>
    <t>Prem Devi</t>
  </si>
  <si>
    <t>OA-111</t>
  </si>
  <si>
    <t>NVS Satyanarayana Goru</t>
  </si>
  <si>
    <t>OA-112</t>
  </si>
  <si>
    <t>Anju Rattan Rathi</t>
  </si>
  <si>
    <t>OA-113</t>
  </si>
  <si>
    <t>Mohit</t>
  </si>
  <si>
    <t>OA-114</t>
  </si>
  <si>
    <t>Hitesh Bokadia</t>
  </si>
  <si>
    <t>OA-115</t>
  </si>
  <si>
    <t>Sourabh Shukla</t>
  </si>
  <si>
    <t>OA-116</t>
  </si>
  <si>
    <t>Hawa Singh</t>
  </si>
  <si>
    <t>OA-117</t>
  </si>
  <si>
    <t>Poonam Kumar</t>
  </si>
  <si>
    <t>OA-121</t>
  </si>
  <si>
    <t>Shyam Sunder Singh Rawat</t>
  </si>
  <si>
    <t>OA-122</t>
  </si>
  <si>
    <t>Dharmender Kumar</t>
  </si>
  <si>
    <t>OA-123</t>
  </si>
  <si>
    <t>Naresh Kumar Makkar</t>
  </si>
  <si>
    <t>OA-124</t>
  </si>
  <si>
    <t>Sunil Keshwar</t>
  </si>
  <si>
    <t>OA-125</t>
  </si>
  <si>
    <t>Vishal Rampal</t>
  </si>
  <si>
    <t>OA-126</t>
  </si>
  <si>
    <t>Meena Joshi</t>
  </si>
  <si>
    <t>OA-127</t>
  </si>
  <si>
    <t>Bhagwat Sawroop Rana</t>
  </si>
  <si>
    <t>OA-131</t>
  </si>
  <si>
    <t>OA-132</t>
  </si>
  <si>
    <t>OA-133</t>
  </si>
  <si>
    <t>Amit Gupta</t>
  </si>
  <si>
    <t>OA-134</t>
  </si>
  <si>
    <t>Nikhil Shankar Mathur</t>
  </si>
  <si>
    <t>OA-135</t>
  </si>
  <si>
    <t>Ramesh</t>
  </si>
  <si>
    <t>OA-136</t>
  </si>
  <si>
    <t>Anil Kumar Jain</t>
  </si>
  <si>
    <t>OA-137</t>
  </si>
  <si>
    <t>Amrit Nain Vij</t>
  </si>
  <si>
    <t>OA-141</t>
  </si>
  <si>
    <t>Kanta Devi</t>
  </si>
  <si>
    <t>OA-142</t>
  </si>
  <si>
    <t>OA-143</t>
  </si>
  <si>
    <t>Hemlata Verma</t>
  </si>
  <si>
    <t>OA-145</t>
  </si>
  <si>
    <t>Shyni MP</t>
  </si>
  <si>
    <t>OA-146</t>
  </si>
  <si>
    <t>Naveen Kumar</t>
  </si>
  <si>
    <t>OA-147</t>
  </si>
  <si>
    <t>Shiv Kumar Sharma</t>
  </si>
  <si>
    <t>OA-151</t>
  </si>
  <si>
    <t>AGIF</t>
  </si>
  <si>
    <t>Purnendu Barai</t>
  </si>
  <si>
    <t>OA-152</t>
  </si>
  <si>
    <t>Raman Kumar Bhola</t>
  </si>
  <si>
    <t>OA-153</t>
  </si>
  <si>
    <t>Ritu Gupta</t>
  </si>
  <si>
    <t>OA-154</t>
  </si>
  <si>
    <t>Ajay Pal Singh</t>
  </si>
  <si>
    <t>OA-155</t>
  </si>
  <si>
    <t>Sangita Sharma</t>
  </si>
  <si>
    <t>OA-156</t>
  </si>
  <si>
    <t>Ankush Malhotra</t>
  </si>
  <si>
    <t>OA-157</t>
  </si>
  <si>
    <t>Santosh</t>
  </si>
  <si>
    <t>OA-161</t>
  </si>
  <si>
    <t>Sanjeev Luthra</t>
  </si>
  <si>
    <t>OA-162</t>
  </si>
  <si>
    <t>Isha Aggarwal</t>
  </si>
  <si>
    <t>OA-163</t>
  </si>
  <si>
    <t>Ravi Anand</t>
  </si>
  <si>
    <t>OA-164</t>
  </si>
  <si>
    <t>Pawan Sharma</t>
  </si>
  <si>
    <t>OA-165</t>
  </si>
  <si>
    <t>Samarjeet Singh</t>
  </si>
  <si>
    <t>OA-166</t>
  </si>
  <si>
    <t>Naveen Yadav</t>
  </si>
  <si>
    <t>OA-167</t>
  </si>
  <si>
    <t>Arun Kumar Ghosh</t>
  </si>
  <si>
    <t>OA-171</t>
  </si>
  <si>
    <t>Shanu Luthra</t>
  </si>
  <si>
    <t>OA-172</t>
  </si>
  <si>
    <t>Amit Bhatia</t>
  </si>
  <si>
    <t>OA-173</t>
  </si>
  <si>
    <t>Renu Jain</t>
  </si>
  <si>
    <t>OA-174</t>
  </si>
  <si>
    <t>Parminder Kumar</t>
  </si>
  <si>
    <t>OA-175</t>
  </si>
  <si>
    <t>Rameshwar Deshmukh</t>
  </si>
  <si>
    <t>OA-176</t>
  </si>
  <si>
    <t>Payal Dogra</t>
  </si>
  <si>
    <t>OA-177</t>
  </si>
  <si>
    <t>Purushottam Yogi</t>
  </si>
  <si>
    <t>OA-181</t>
  </si>
  <si>
    <t>Susmita Das</t>
  </si>
  <si>
    <t>OA-182</t>
  </si>
  <si>
    <t>Bablu</t>
  </si>
  <si>
    <t>OA-183</t>
  </si>
  <si>
    <t>Gunjan Sriwastav</t>
  </si>
  <si>
    <t>OA-185</t>
  </si>
  <si>
    <t>Anita Yadav</t>
  </si>
  <si>
    <t>OA-186</t>
  </si>
  <si>
    <t>Sudipta Das</t>
  </si>
  <si>
    <t>OA-187</t>
  </si>
  <si>
    <t>Gurpreet Singh Bajaj</t>
  </si>
  <si>
    <t>OA-192</t>
  </si>
  <si>
    <t>Deepti Shukla</t>
  </si>
  <si>
    <t>OA-194</t>
  </si>
  <si>
    <t>Harjeet Singh</t>
  </si>
  <si>
    <t>OA-196</t>
  </si>
  <si>
    <t>Bed Ram</t>
  </si>
  <si>
    <t>OB-021</t>
  </si>
  <si>
    <t>Sunil Shukla</t>
  </si>
  <si>
    <t>OB-022</t>
  </si>
  <si>
    <t>Braham Prakash Sharma</t>
  </si>
  <si>
    <t>OB-023</t>
  </si>
  <si>
    <t>Pradeep Yadav</t>
  </si>
  <si>
    <t>OB-024</t>
  </si>
  <si>
    <t>OB-031</t>
  </si>
  <si>
    <t>Mukesh Tanwar</t>
  </si>
  <si>
    <t>OB-032</t>
  </si>
  <si>
    <t>OB-033</t>
  </si>
  <si>
    <t>Dheeraj Singh</t>
  </si>
  <si>
    <t>OB-034</t>
  </si>
  <si>
    <t>Ashok Kumar Wadhwa</t>
  </si>
  <si>
    <t>OB-041</t>
  </si>
  <si>
    <t>Anita Dagar</t>
  </si>
  <si>
    <t>OB-042</t>
  </si>
  <si>
    <t>Amol Dasarwar</t>
  </si>
  <si>
    <t>OB-043</t>
  </si>
  <si>
    <t>Indira Hooda</t>
  </si>
  <si>
    <t>OB-044</t>
  </si>
  <si>
    <t>Kakuli Chowdhury</t>
  </si>
  <si>
    <t>OB-051</t>
  </si>
  <si>
    <t>Susheel Balyan</t>
  </si>
  <si>
    <t>OB-052</t>
  </si>
  <si>
    <t>Bindiya Sharma</t>
  </si>
  <si>
    <t>OB-053</t>
  </si>
  <si>
    <t xml:space="preserve">Green Earth Recycling Managers </t>
  </si>
  <si>
    <t>OB-054</t>
  </si>
  <si>
    <t>Sudheesh Sukumaran</t>
  </si>
  <si>
    <t>OB-061</t>
  </si>
  <si>
    <t>OB-062</t>
  </si>
  <si>
    <t>OB-063</t>
  </si>
  <si>
    <t>Daya Ram Gupta</t>
  </si>
  <si>
    <t>OB-064</t>
  </si>
  <si>
    <t>Preeti Mittal</t>
  </si>
  <si>
    <t>OB-071</t>
  </si>
  <si>
    <t>Ashish Nandal</t>
  </si>
  <si>
    <t>OB-072</t>
  </si>
  <si>
    <t>Leena Singh</t>
  </si>
  <si>
    <t>OB-073</t>
  </si>
  <si>
    <t>Kabita Sinha</t>
  </si>
  <si>
    <t>OB-074</t>
  </si>
  <si>
    <t>S Ravinder Singh</t>
  </si>
  <si>
    <t>OB-081</t>
  </si>
  <si>
    <t>Karan Kalra</t>
  </si>
  <si>
    <t>OB-082</t>
  </si>
  <si>
    <t>Navin Kumar Yadav</t>
  </si>
  <si>
    <t>OB-083</t>
  </si>
  <si>
    <t>Rambir Yadav</t>
  </si>
  <si>
    <t>OB-084</t>
  </si>
  <si>
    <t>Arshad Raza</t>
  </si>
  <si>
    <t>OB-091</t>
  </si>
  <si>
    <t>Badri Prasad Yadav</t>
  </si>
  <si>
    <t>OB-092</t>
  </si>
  <si>
    <t>Indrendu Mondal</t>
  </si>
  <si>
    <t>OB-093</t>
  </si>
  <si>
    <t>Sandeep Grover</t>
  </si>
  <si>
    <t>OB-094</t>
  </si>
  <si>
    <t>Ram K Rohilla</t>
  </si>
  <si>
    <t>OB-101</t>
  </si>
  <si>
    <t>Dhananjay Kumar Jha</t>
  </si>
  <si>
    <t>OB-102</t>
  </si>
  <si>
    <t>Pooja Rani</t>
  </si>
  <si>
    <t>OB-103</t>
  </si>
  <si>
    <t>Akash Mathur</t>
  </si>
  <si>
    <t>OB-104</t>
  </si>
  <si>
    <t xml:space="preserve">Mani Lal Chandrasekharan </t>
  </si>
  <si>
    <t>OB-111</t>
  </si>
  <si>
    <t>Parash Jain</t>
  </si>
  <si>
    <t>OB-112</t>
  </si>
  <si>
    <t>Aparajita Mukherjee</t>
  </si>
  <si>
    <t>OB-113</t>
  </si>
  <si>
    <t>Ekta Wadhwa</t>
  </si>
  <si>
    <t>OB-114</t>
  </si>
  <si>
    <t>Sushil Rawat</t>
  </si>
  <si>
    <t>OB-121</t>
  </si>
  <si>
    <t>Richa Negi</t>
  </si>
  <si>
    <t>OB-122</t>
  </si>
  <si>
    <t>Satnam Singh</t>
  </si>
  <si>
    <t>OB-123</t>
  </si>
  <si>
    <t>Krishna Rao Tukaram Shirsath</t>
  </si>
  <si>
    <t>OB-124</t>
  </si>
  <si>
    <t>Chaitanya Datta</t>
  </si>
  <si>
    <t>OB-131</t>
  </si>
  <si>
    <t>Sushain Razdan</t>
  </si>
  <si>
    <t>OB-132</t>
  </si>
  <si>
    <t>Shyam Chawla</t>
  </si>
  <si>
    <t>OB-133</t>
  </si>
  <si>
    <t>Kapil Suri</t>
  </si>
  <si>
    <t>OB-134</t>
  </si>
  <si>
    <t>Amita Sharma</t>
  </si>
  <si>
    <t>OB-141</t>
  </si>
  <si>
    <t>Pravatini Mohanty</t>
  </si>
  <si>
    <t>OB-142</t>
  </si>
  <si>
    <t>Mahender Kumar Valecha</t>
  </si>
  <si>
    <t>OB-143</t>
  </si>
  <si>
    <t>Vikrant</t>
  </si>
  <si>
    <t>OB-144</t>
  </si>
  <si>
    <t>Shashi Madan</t>
  </si>
  <si>
    <t>OB-151</t>
  </si>
  <si>
    <t>Vikram Dalal</t>
  </si>
  <si>
    <t>OB-152</t>
  </si>
  <si>
    <t>OB-153</t>
  </si>
  <si>
    <t>Lalit Malhan</t>
  </si>
  <si>
    <t>OB-154</t>
  </si>
  <si>
    <t>Nitin Kumar Goel</t>
  </si>
  <si>
    <t>OB-161</t>
  </si>
  <si>
    <t>Jyoti Chhabra</t>
  </si>
  <si>
    <t>OB-162</t>
  </si>
  <si>
    <t>Deepak Kumar</t>
  </si>
  <si>
    <t>OB-163</t>
  </si>
  <si>
    <t>Gaurav Jain</t>
  </si>
  <si>
    <t>OB-164</t>
  </si>
  <si>
    <t>Jyoti Khurana</t>
  </si>
  <si>
    <t>OB-171</t>
  </si>
  <si>
    <t>Priya Kulshrestha</t>
  </si>
  <si>
    <t>OB-172</t>
  </si>
  <si>
    <t>Shaloo Batra</t>
  </si>
  <si>
    <t>OB-173</t>
  </si>
  <si>
    <t>Charu Bhutani</t>
  </si>
  <si>
    <t>OB-181</t>
  </si>
  <si>
    <t>Puneet Kakkar</t>
  </si>
  <si>
    <t>OB-182</t>
  </si>
  <si>
    <t>Rajeev Bhutani</t>
  </si>
  <si>
    <t>OB-183</t>
  </si>
  <si>
    <t>Ina Nanda</t>
  </si>
  <si>
    <t>OB-184</t>
  </si>
  <si>
    <t>Saroj Bedhara</t>
  </si>
  <si>
    <t>OB-192</t>
  </si>
  <si>
    <t>Om Prakash Batra</t>
  </si>
  <si>
    <t>OB-194</t>
  </si>
  <si>
    <t>OC-021</t>
  </si>
  <si>
    <t>Chandra Prakash Jain</t>
  </si>
  <si>
    <t>OC-023</t>
  </si>
  <si>
    <t>Indra Wati</t>
  </si>
  <si>
    <t>OC-024</t>
  </si>
  <si>
    <t>Praveen Kumar Jain</t>
  </si>
  <si>
    <t>OC-031</t>
  </si>
  <si>
    <t>Dharamvir Singh</t>
  </si>
  <si>
    <t>OC-032</t>
  </si>
  <si>
    <t>Himanshu Chauhan</t>
  </si>
  <si>
    <t>OC-033</t>
  </si>
  <si>
    <t>Laveena Garg</t>
  </si>
  <si>
    <t>OC-034</t>
  </si>
  <si>
    <t>Srikant Pandey</t>
  </si>
  <si>
    <t>OC-041</t>
  </si>
  <si>
    <t>OC-042</t>
  </si>
  <si>
    <t>Dr Krishna K Pandey</t>
  </si>
  <si>
    <t>OC-043</t>
  </si>
  <si>
    <t>Babita Sinha</t>
  </si>
  <si>
    <t>OC-044</t>
  </si>
  <si>
    <t xml:space="preserve"> Sandeep Thakaji Kanawade</t>
  </si>
  <si>
    <t>OC-051</t>
  </si>
  <si>
    <t>Veena Bhatia</t>
  </si>
  <si>
    <t>OC-052</t>
  </si>
  <si>
    <t>Anurag Agarwal</t>
  </si>
  <si>
    <t>OC-053</t>
  </si>
  <si>
    <t>Amrita Singh</t>
  </si>
  <si>
    <t>OC-054</t>
  </si>
  <si>
    <t>Pranav Kumar</t>
  </si>
  <si>
    <t>OC-061</t>
  </si>
  <si>
    <t>Harbans Singh</t>
  </si>
  <si>
    <t>OC-062</t>
  </si>
  <si>
    <t>Gurpreet Singh Sachdeva</t>
  </si>
  <si>
    <t>OC-063</t>
  </si>
  <si>
    <t>Pardeep Kumar Batra</t>
  </si>
  <si>
    <t>OC-064</t>
  </si>
  <si>
    <t>Kumar Shringar Sah</t>
  </si>
  <si>
    <t>OC-071</t>
  </si>
  <si>
    <t>Monika Yadav</t>
  </si>
  <si>
    <t>OC-072</t>
  </si>
  <si>
    <t>Ashesh Kumar Paul</t>
  </si>
  <si>
    <t>OC-073</t>
  </si>
  <si>
    <t>Vikas Yadav</t>
  </si>
  <si>
    <t>OC-074</t>
  </si>
  <si>
    <t>Kapil Sehdev</t>
  </si>
  <si>
    <t>OC-081</t>
  </si>
  <si>
    <t>Manish Malik</t>
  </si>
  <si>
    <t>OC-082</t>
  </si>
  <si>
    <t>Mahendra Singh Gurjar</t>
  </si>
  <si>
    <t>OC-083</t>
  </si>
  <si>
    <t>Archana Juneja</t>
  </si>
  <si>
    <t>OC-084</t>
  </si>
  <si>
    <t>Abhinav Bhushan</t>
  </si>
  <si>
    <t>OC-091</t>
  </si>
  <si>
    <t>Pankaj Babbar</t>
  </si>
  <si>
    <t>OC-092</t>
  </si>
  <si>
    <t>Sweta Ranasaria</t>
  </si>
  <si>
    <t>OC-093</t>
  </si>
  <si>
    <t>Digvijay Singh</t>
  </si>
  <si>
    <t>OC-094</t>
  </si>
  <si>
    <t>Ruchi Singh</t>
  </si>
  <si>
    <t>OC-101</t>
  </si>
  <si>
    <t>Mamta</t>
  </si>
  <si>
    <t>OC-102</t>
  </si>
  <si>
    <t>Prageet Mathur</t>
  </si>
  <si>
    <t>OC-103</t>
  </si>
  <si>
    <t>Shivani Bajaj</t>
  </si>
  <si>
    <t>OC-104</t>
  </si>
  <si>
    <t>Meena Devi</t>
  </si>
  <si>
    <t>OC-111</t>
  </si>
  <si>
    <t>OBC</t>
  </si>
  <si>
    <t>OC-112</t>
  </si>
  <si>
    <t>Sandeep Kumar Yadav</t>
  </si>
  <si>
    <t>OC-114</t>
  </si>
  <si>
    <t>OC-121</t>
  </si>
  <si>
    <t>Reena Andrews</t>
  </si>
  <si>
    <t>OC-122</t>
  </si>
  <si>
    <t>OC-123</t>
  </si>
  <si>
    <t>Anuj Wadhwa</t>
  </si>
  <si>
    <t>OC-124</t>
  </si>
  <si>
    <t>Deepak Nair</t>
  </si>
  <si>
    <t>OC-142</t>
  </si>
  <si>
    <t>Amrita Bhargava</t>
  </si>
  <si>
    <t>OC-144</t>
  </si>
  <si>
    <t>Sarita Kathuria</t>
  </si>
  <si>
    <t>OC-152</t>
  </si>
  <si>
    <t>B. Sabarish</t>
  </si>
  <si>
    <t>OC-154</t>
  </si>
  <si>
    <t>Updesh Rani</t>
  </si>
  <si>
    <t>OC-161</t>
  </si>
  <si>
    <t>Vishal Pandey</t>
  </si>
  <si>
    <t>OC-162</t>
  </si>
  <si>
    <t>Eroze Khan</t>
  </si>
  <si>
    <t>OC-163</t>
  </si>
  <si>
    <t>Yogesh NEB</t>
  </si>
  <si>
    <t>OC-164</t>
  </si>
  <si>
    <t>Ashish Purohit</t>
  </si>
  <si>
    <t>OC-174</t>
  </si>
  <si>
    <t>Rashmi Mahamure</t>
  </si>
  <si>
    <t>OC-182</t>
  </si>
  <si>
    <t>Swagato Mitra</t>
  </si>
  <si>
    <t>OC-183</t>
  </si>
  <si>
    <t>Sachin Makhija</t>
  </si>
  <si>
    <t>OC-184</t>
  </si>
  <si>
    <t>Shikha Kochhar Puri</t>
  </si>
  <si>
    <t>OC-192</t>
  </si>
  <si>
    <t>Sudhir Saini</t>
  </si>
  <si>
    <t>OD-021</t>
  </si>
  <si>
    <t>Surender Pal Singh</t>
  </si>
  <si>
    <t>OD-022</t>
  </si>
  <si>
    <t>Khem Chand Kasyap</t>
  </si>
  <si>
    <t>OD-023</t>
  </si>
  <si>
    <t>Pawan Kumar Sharma</t>
  </si>
  <si>
    <t>OD-024</t>
  </si>
  <si>
    <t>Ankit Singhal</t>
  </si>
  <si>
    <t>OD-031</t>
  </si>
  <si>
    <t>OD-032</t>
  </si>
  <si>
    <t>Vimlesh Shukla</t>
  </si>
  <si>
    <t>OD-033</t>
  </si>
  <si>
    <t>Nirmal Singla</t>
  </si>
  <si>
    <t>OD-034</t>
  </si>
  <si>
    <t>Amit Saini</t>
  </si>
  <si>
    <t>OD-041</t>
  </si>
  <si>
    <t>State Bank of Hyderabad</t>
  </si>
  <si>
    <t>Puran Mal Chaudhary</t>
  </si>
  <si>
    <t>OD-042</t>
  </si>
  <si>
    <t>OD-043</t>
  </si>
  <si>
    <t>Vipin Kumar</t>
  </si>
  <si>
    <t>OD-044</t>
  </si>
  <si>
    <t>Bhuban Mohan Datta</t>
  </si>
  <si>
    <t>OD-051</t>
  </si>
  <si>
    <t>Rakesh Ishwar Patil</t>
  </si>
  <si>
    <t>OD-052</t>
  </si>
  <si>
    <t>Amar Singh Yadav</t>
  </si>
  <si>
    <t>OD-053</t>
  </si>
  <si>
    <t>Monika Zutshi</t>
  </si>
  <si>
    <t>OD-054</t>
  </si>
  <si>
    <t>Sudhir Bhadoriya</t>
  </si>
  <si>
    <t>OD-061</t>
  </si>
  <si>
    <t>Darshan Lal Arora</t>
  </si>
  <si>
    <t>OD-062</t>
  </si>
  <si>
    <t>Prateek Khattri</t>
  </si>
  <si>
    <t>OD-063</t>
  </si>
  <si>
    <t>Amar Singh</t>
  </si>
  <si>
    <t>OD-064</t>
  </si>
  <si>
    <t>Brijesh Varshney</t>
  </si>
  <si>
    <t>OD-071</t>
  </si>
  <si>
    <t>Sumat Jain</t>
  </si>
  <si>
    <t>OD-072</t>
  </si>
  <si>
    <t>Sanjay Gurule</t>
  </si>
  <si>
    <t>OD-073</t>
  </si>
  <si>
    <t>Anuj Gandhi</t>
  </si>
  <si>
    <t>OD-074</t>
  </si>
  <si>
    <t>Anita Sharma</t>
  </si>
  <si>
    <t>OD-081</t>
  </si>
  <si>
    <t>Sushila Chauhan</t>
  </si>
  <si>
    <t>OD-082</t>
  </si>
  <si>
    <t>Bharathy Yadav</t>
  </si>
  <si>
    <t>OD-083</t>
  </si>
  <si>
    <t>OD-084</t>
  </si>
  <si>
    <t>Ravi Shankar Sharma</t>
  </si>
  <si>
    <t>OD-091</t>
  </si>
  <si>
    <t>Vijay Kumar Verma</t>
  </si>
  <si>
    <t>OD-092</t>
  </si>
  <si>
    <t>Piyoush Jain</t>
  </si>
  <si>
    <t>OD-093</t>
  </si>
  <si>
    <t>Salman Hashmi</t>
  </si>
  <si>
    <t>OD-094</t>
  </si>
  <si>
    <t>Pradeep Kumar Rathi</t>
  </si>
  <si>
    <t>OD-101</t>
  </si>
  <si>
    <t>Sonia Topwal</t>
  </si>
  <si>
    <t>OD-102</t>
  </si>
  <si>
    <t>Rajeev Kamal</t>
  </si>
  <si>
    <t>OD-103</t>
  </si>
  <si>
    <t>Sangeeta Rani</t>
  </si>
  <si>
    <t>OD-104</t>
  </si>
  <si>
    <t>Dinesh Kumar Shah</t>
  </si>
  <si>
    <t>OD-111</t>
  </si>
  <si>
    <t>Asha Agarwal</t>
  </si>
  <si>
    <t>OD-112</t>
  </si>
  <si>
    <t>Anita Singh</t>
  </si>
  <si>
    <t>OD-114</t>
  </si>
  <si>
    <t>Subhash Chander</t>
  </si>
  <si>
    <t>OD-121</t>
  </si>
  <si>
    <t>Pooja Shekhawat</t>
  </si>
  <si>
    <t>OD-122</t>
  </si>
  <si>
    <t>Sushma Rani</t>
  </si>
  <si>
    <t>OD-124</t>
  </si>
  <si>
    <t>OD-131</t>
  </si>
  <si>
    <t>Jyoti</t>
  </si>
  <si>
    <t>OD-141</t>
  </si>
  <si>
    <t>Anshul Anand</t>
  </si>
  <si>
    <t>OD-142</t>
  </si>
  <si>
    <t>Gunjan Shukla</t>
  </si>
  <si>
    <t>OD-144</t>
  </si>
  <si>
    <t>Jatin Patni</t>
  </si>
  <si>
    <t>OD-151</t>
  </si>
  <si>
    <t>Sajeendran Sukumaran</t>
  </si>
  <si>
    <t>OD-152</t>
  </si>
  <si>
    <t>Deepika Batra</t>
  </si>
  <si>
    <t>OD-154</t>
  </si>
  <si>
    <t>Pankaj Jaggi</t>
  </si>
  <si>
    <t>OD-161</t>
  </si>
  <si>
    <t>Prateek Jain</t>
  </si>
  <si>
    <t>OD-162</t>
  </si>
  <si>
    <t>Aditya Walia</t>
  </si>
  <si>
    <t>OD-164</t>
  </si>
  <si>
    <t>Anurag Singh</t>
  </si>
  <si>
    <t>OD-171</t>
  </si>
  <si>
    <t>Davinder Sehgal</t>
  </si>
  <si>
    <t>OD-172</t>
  </si>
  <si>
    <t>Debashis Biswal</t>
  </si>
  <si>
    <t>OD-174</t>
  </si>
  <si>
    <t>Biswadip Biswas</t>
  </si>
  <si>
    <t>OD-181</t>
  </si>
  <si>
    <t>hdfc</t>
  </si>
  <si>
    <t>Monika Gupta</t>
  </si>
  <si>
    <t>OD-182</t>
  </si>
  <si>
    <t>Gaurav Bedi</t>
  </si>
  <si>
    <t>OD-184</t>
  </si>
  <si>
    <t>Simran Jha</t>
  </si>
  <si>
    <t>OD-191</t>
  </si>
  <si>
    <t>sbi</t>
  </si>
  <si>
    <t>Akshay Aman</t>
  </si>
  <si>
    <t>OD-192</t>
  </si>
  <si>
    <t>Ram Niwas Sharma</t>
  </si>
  <si>
    <t>OD-194</t>
  </si>
  <si>
    <t>Bhavna Sharma</t>
  </si>
  <si>
    <t>OE-021</t>
  </si>
  <si>
    <t>OE-022</t>
  </si>
  <si>
    <t>Alka Yadav</t>
  </si>
  <si>
    <t>OE-023</t>
  </si>
  <si>
    <t>Damyanti Yadav</t>
  </si>
  <si>
    <t>OE-024</t>
  </si>
  <si>
    <t>Manjeet Rajoteaya</t>
  </si>
  <si>
    <t>OE-025</t>
  </si>
  <si>
    <t>Vikas Kumar Sharma</t>
  </si>
  <si>
    <t>OE-031</t>
  </si>
  <si>
    <t>Shilpa Batra</t>
  </si>
  <si>
    <t>OE-032</t>
  </si>
  <si>
    <t>Jai Prakash</t>
  </si>
  <si>
    <t>OE-033</t>
  </si>
  <si>
    <t>OE-034</t>
  </si>
  <si>
    <t>Gajraj Singh</t>
  </si>
  <si>
    <t>OE-035</t>
  </si>
  <si>
    <t>Rekha</t>
  </si>
  <si>
    <t>OE-041</t>
  </si>
  <si>
    <t>Satish Sangwan</t>
  </si>
  <si>
    <t>OE-042</t>
  </si>
  <si>
    <t>Hoshiar Singh Saini</t>
  </si>
  <si>
    <t>OE-043</t>
  </si>
  <si>
    <t>Rakesh Kumar Sharma</t>
  </si>
  <si>
    <t>OE-044</t>
  </si>
  <si>
    <t>Krishna</t>
  </si>
  <si>
    <t>OE-045</t>
  </si>
  <si>
    <t>Suman</t>
  </si>
  <si>
    <t>OE-051</t>
  </si>
  <si>
    <t>B Keshav Rao</t>
  </si>
  <si>
    <t>OE-052</t>
  </si>
  <si>
    <t>OE-053</t>
  </si>
  <si>
    <t>Sandeep Mehta</t>
  </si>
  <si>
    <t>OE-054</t>
  </si>
  <si>
    <t>Sharad Kumar Jindal</t>
  </si>
  <si>
    <t>OE-055</t>
  </si>
  <si>
    <t>Devendra Singh Negi</t>
  </si>
  <si>
    <t>OE-061</t>
  </si>
  <si>
    <t>Deepesh Kumar Goyal</t>
  </si>
  <si>
    <t>OE-062</t>
  </si>
  <si>
    <t>Vineet Jain</t>
  </si>
  <si>
    <t>OE-063</t>
  </si>
  <si>
    <t>Neha Jain</t>
  </si>
  <si>
    <t>OE-064</t>
  </si>
  <si>
    <t>OE-065</t>
  </si>
  <si>
    <t>Ajay Kumar</t>
  </si>
  <si>
    <t>OE-071</t>
  </si>
  <si>
    <t>Abhishek Garg</t>
  </si>
  <si>
    <t>OE-072</t>
  </si>
  <si>
    <t>OE-073</t>
  </si>
  <si>
    <t>Babita Kumari</t>
  </si>
  <si>
    <t>OE-074</t>
  </si>
  <si>
    <t>Jayant Yadav</t>
  </si>
  <si>
    <t>OE-075</t>
  </si>
  <si>
    <t>Sunil Panwar</t>
  </si>
  <si>
    <t>OE-081</t>
  </si>
  <si>
    <t>Sandeep Kumar Dhingra</t>
  </si>
  <si>
    <t>OE-082</t>
  </si>
  <si>
    <t>Sarla Yadav</t>
  </si>
  <si>
    <t>OE-083</t>
  </si>
  <si>
    <t>Vaibhav Kumar</t>
  </si>
  <si>
    <t>OE-084</t>
  </si>
  <si>
    <t>Sukh Devi Sindhu</t>
  </si>
  <si>
    <t>OE-085</t>
  </si>
  <si>
    <t>Pranab Kumar Nath</t>
  </si>
  <si>
    <t>OE-091</t>
  </si>
  <si>
    <t>Neha Bansal</t>
  </si>
  <si>
    <t>OE-092</t>
  </si>
  <si>
    <t>Sachin Dhamija</t>
  </si>
  <si>
    <t>OE-093</t>
  </si>
  <si>
    <t>Hari Krishan Tiwari</t>
  </si>
  <si>
    <t>OE-094</t>
  </si>
  <si>
    <t>Sunit Saluja</t>
  </si>
  <si>
    <t>OE-095</t>
  </si>
  <si>
    <t>Jinesh Chand Jain</t>
  </si>
  <si>
    <t>OE-101</t>
  </si>
  <si>
    <t>Rajinder Parshad</t>
  </si>
  <si>
    <t>OE-102</t>
  </si>
  <si>
    <t>Neeraj Kumar Sharma</t>
  </si>
  <si>
    <t>OE-103</t>
  </si>
  <si>
    <t>Perjesh Mohan</t>
  </si>
  <si>
    <t>OE-104</t>
  </si>
  <si>
    <t>Pankaj Saini</t>
  </si>
  <si>
    <t>OE-105</t>
  </si>
  <si>
    <t>Shri Bhagwan Dhankhar</t>
  </si>
  <si>
    <t>OE-112</t>
  </si>
  <si>
    <t>Sanjay Singh</t>
  </si>
  <si>
    <t>OE-113</t>
  </si>
  <si>
    <t>Rashi Agarwal</t>
  </si>
  <si>
    <t>OE-114</t>
  </si>
  <si>
    <t>Vinod Arora</t>
  </si>
  <si>
    <t>OE-115</t>
  </si>
  <si>
    <t>Nidhi Choudhari</t>
  </si>
  <si>
    <t>OE-122</t>
  </si>
  <si>
    <t>Pardeep Yadav</t>
  </si>
  <si>
    <t>OE-123</t>
  </si>
  <si>
    <t>Gyan Prakash Gupta</t>
  </si>
  <si>
    <t>OE-124</t>
  </si>
  <si>
    <t>Siyaram Varshney</t>
  </si>
  <si>
    <t>OE-125</t>
  </si>
  <si>
    <t>Mohd Shariq</t>
  </si>
  <si>
    <t>OE-132</t>
  </si>
  <si>
    <t>Jai Parkash</t>
  </si>
  <si>
    <t>OE-133</t>
  </si>
  <si>
    <t>Jai Prakash Yadav</t>
  </si>
  <si>
    <t>OE-134</t>
  </si>
  <si>
    <t>Hariman Meena</t>
  </si>
  <si>
    <t>OE-135</t>
  </si>
  <si>
    <t>Pradip Chattopadhyay</t>
  </si>
  <si>
    <t>OE-142</t>
  </si>
  <si>
    <t>Sunil Yadav</t>
  </si>
  <si>
    <t>OE-143</t>
  </si>
  <si>
    <t>Danish Sharma</t>
  </si>
  <si>
    <t>OE-144</t>
  </si>
  <si>
    <t>Dr Mamta Chawla</t>
  </si>
  <si>
    <t>OE-145</t>
  </si>
  <si>
    <t>Rijwan Momin</t>
  </si>
  <si>
    <t>OE-152</t>
  </si>
  <si>
    <t>Satyavir Singh</t>
  </si>
  <si>
    <t>OE-153</t>
  </si>
  <si>
    <t>Bank of Maharashta</t>
  </si>
  <si>
    <t>Shyam Kumar Gupta</t>
  </si>
  <si>
    <t>OE-154</t>
  </si>
  <si>
    <t>icici</t>
  </si>
  <si>
    <t>OE-155</t>
  </si>
  <si>
    <t>Sanchetna Kapoor</t>
  </si>
  <si>
    <t>OE-162</t>
  </si>
  <si>
    <t>Manvendra Singh</t>
  </si>
  <si>
    <t>OE-163</t>
  </si>
  <si>
    <t>Vikas Arora</t>
  </si>
  <si>
    <t>OE-164</t>
  </si>
  <si>
    <t>Laveena Yadav</t>
  </si>
  <si>
    <t>OE-165</t>
  </si>
  <si>
    <t>OE-172</t>
  </si>
  <si>
    <t>Chaman Bharti</t>
  </si>
  <si>
    <t>OE-173</t>
  </si>
  <si>
    <t>Ved Parkash Sehrawat</t>
  </si>
  <si>
    <t>OE-175</t>
  </si>
  <si>
    <t>Abhishek Singh</t>
  </si>
  <si>
    <t>OE-182</t>
  </si>
  <si>
    <t>Arun Kumar</t>
  </si>
  <si>
    <t>OE-183</t>
  </si>
  <si>
    <t>Kiran Rautela</t>
  </si>
  <si>
    <t>OE-184</t>
  </si>
  <si>
    <t>OE-185</t>
  </si>
  <si>
    <t>Rizwan Ali Salmani</t>
  </si>
  <si>
    <t>OE-194</t>
  </si>
  <si>
    <t>OE-195</t>
  </si>
  <si>
    <t>OA-144</t>
  </si>
  <si>
    <t>OA-184</t>
  </si>
  <si>
    <t>OA-191</t>
  </si>
  <si>
    <t>OA-193</t>
  </si>
  <si>
    <t>OA-195</t>
  </si>
  <si>
    <t>OA-197</t>
  </si>
  <si>
    <t>OB-174</t>
  </si>
  <si>
    <t>OB-191</t>
  </si>
  <si>
    <t>OB-193</t>
  </si>
  <si>
    <t>OC-022</t>
  </si>
  <si>
    <t>OC-113</t>
  </si>
  <si>
    <t>OC-131</t>
  </si>
  <si>
    <t>OC-132</t>
  </si>
  <si>
    <t>OC-133</t>
  </si>
  <si>
    <t>OC-134</t>
  </si>
  <si>
    <t>OC-141</t>
  </si>
  <si>
    <t>OC-143</t>
  </si>
  <si>
    <t>OC-151</t>
  </si>
  <si>
    <t>OC-153</t>
  </si>
  <si>
    <t>OC-171</t>
  </si>
  <si>
    <t>OC-172</t>
  </si>
  <si>
    <t>OC-173</t>
  </si>
  <si>
    <t>OC-181</t>
  </si>
  <si>
    <t>OC-191</t>
  </si>
  <si>
    <t>OC-193</t>
  </si>
  <si>
    <t>OC-194</t>
  </si>
  <si>
    <t>OD-113</t>
  </si>
  <si>
    <t>OD-132</t>
  </si>
  <si>
    <t>OD-133</t>
  </si>
  <si>
    <t>OD-134</t>
  </si>
  <si>
    <t>OD-143</t>
  </si>
  <si>
    <t>OD-153</t>
  </si>
  <si>
    <t>OD-163</t>
  </si>
  <si>
    <t>OD-173</t>
  </si>
  <si>
    <t>OD-183</t>
  </si>
  <si>
    <t>OD-193</t>
  </si>
  <si>
    <t>OE-111</t>
  </si>
  <si>
    <t>OE-121</t>
  </si>
  <si>
    <t>OE-131</t>
  </si>
  <si>
    <t>OE-141</t>
  </si>
  <si>
    <t>OE-151</t>
  </si>
  <si>
    <t>OE-161</t>
  </si>
  <si>
    <t>OE-171</t>
  </si>
  <si>
    <t>OE-174</t>
  </si>
  <si>
    <t>OE-181</t>
  </si>
  <si>
    <t>OE-191</t>
  </si>
  <si>
    <t>OE-192</t>
  </si>
  <si>
    <t>OE-193</t>
  </si>
  <si>
    <t>Sudhir Sachdeva</t>
  </si>
  <si>
    <t>WA-1001</t>
  </si>
  <si>
    <t>Tassadaque Hussain</t>
  </si>
  <si>
    <t>WA-1002</t>
  </si>
  <si>
    <t>Prabal Kumar Giri</t>
  </si>
  <si>
    <t>WA-1003</t>
  </si>
  <si>
    <t>WA-1004</t>
  </si>
  <si>
    <t>Pooja Singh</t>
  </si>
  <si>
    <t>WA-1005</t>
  </si>
  <si>
    <t>Ram Singh</t>
  </si>
  <si>
    <t>WA-1006</t>
  </si>
  <si>
    <t>Gopal Sharma</t>
  </si>
  <si>
    <t>WA-1007</t>
  </si>
  <si>
    <t>Saurabh Duhan</t>
  </si>
  <si>
    <t>WA-1008</t>
  </si>
  <si>
    <t>Gopal Samay</t>
  </si>
  <si>
    <t>WA-1009</t>
  </si>
  <si>
    <t>Vishali Awasthi</t>
  </si>
  <si>
    <t>WA-1010</t>
  </si>
  <si>
    <t>Vipul Kumar Yadav</t>
  </si>
  <si>
    <t>WA-104</t>
  </si>
  <si>
    <t>Nirmala Sharma</t>
  </si>
  <si>
    <t>WA-105</t>
  </si>
  <si>
    <t>Rajat Agarwal</t>
  </si>
  <si>
    <t>WA-106</t>
  </si>
  <si>
    <t>Narinder Kumar</t>
  </si>
  <si>
    <t>WA-108</t>
  </si>
  <si>
    <t>Tapas Kumar Bhowmick</t>
  </si>
  <si>
    <t>WA-1101</t>
  </si>
  <si>
    <t>Tarun Sharma</t>
  </si>
  <si>
    <t>WA-1102</t>
  </si>
  <si>
    <t>Madhu Gulati</t>
  </si>
  <si>
    <t>WA-1103</t>
  </si>
  <si>
    <t>WA-1104</t>
  </si>
  <si>
    <t>Jyoti Puri</t>
  </si>
  <si>
    <t>WA-1105</t>
  </si>
  <si>
    <t>Sonia Wadhwa</t>
  </si>
  <si>
    <t>WA-1106</t>
  </si>
  <si>
    <t>Narendra Kumar</t>
  </si>
  <si>
    <t>WA-1107</t>
  </si>
  <si>
    <t>Pooja Arora</t>
  </si>
  <si>
    <t>WA-1108</t>
  </si>
  <si>
    <t>WA-1109</t>
  </si>
  <si>
    <t>Sandhya Verma</t>
  </si>
  <si>
    <t>WA-1110</t>
  </si>
  <si>
    <t>Yaduvendra Yadav</t>
  </si>
  <si>
    <t>WA-1201</t>
  </si>
  <si>
    <t>Bharat Mehta</t>
  </si>
  <si>
    <t>WA-1202</t>
  </si>
  <si>
    <t>Divya Maggo</t>
  </si>
  <si>
    <t>WA-1203</t>
  </si>
  <si>
    <t>Ajit Mandal</t>
  </si>
  <si>
    <t>WA-1204</t>
  </si>
  <si>
    <t>Ramesh Partap Kaushal</t>
  </si>
  <si>
    <t>WA-1205</t>
  </si>
  <si>
    <t>Brij Kishor Yadav</t>
  </si>
  <si>
    <t>WA-1206</t>
  </si>
  <si>
    <t>Dil Bahadur Rana</t>
  </si>
  <si>
    <t>WA-1207</t>
  </si>
  <si>
    <t>Uminder Khatri</t>
  </si>
  <si>
    <t>WA-1208</t>
  </si>
  <si>
    <t>Vipin Arora</t>
  </si>
  <si>
    <t>WA-1209</t>
  </si>
  <si>
    <t>Gurpreet Kour</t>
  </si>
  <si>
    <t>WA-1210</t>
  </si>
  <si>
    <t>Rashmi Vyas</t>
  </si>
  <si>
    <t>WA-1303</t>
  </si>
  <si>
    <t>Aneesh Kumar</t>
  </si>
  <si>
    <t>WA-1304</t>
  </si>
  <si>
    <t>Shakti Prashar</t>
  </si>
  <si>
    <t>WA-1305</t>
  </si>
  <si>
    <t>Satish Chand</t>
  </si>
  <si>
    <t>WA-1401</t>
  </si>
  <si>
    <t>Sudipto Chatterjee</t>
  </si>
  <si>
    <t>WA-1402</t>
  </si>
  <si>
    <t>Sunita Mittal</t>
  </si>
  <si>
    <t>WA-1403</t>
  </si>
  <si>
    <t>Anuj Bawa</t>
  </si>
  <si>
    <t>WA-1404</t>
  </si>
  <si>
    <t>Vikas Kumar Agarwal</t>
  </si>
  <si>
    <t>WA-1405</t>
  </si>
  <si>
    <t>Parshant Aggarwal</t>
  </si>
  <si>
    <t>WA-1406</t>
  </si>
  <si>
    <t>Minaxi Aggarwal</t>
  </si>
  <si>
    <t>WA-1407</t>
  </si>
  <si>
    <t>Swati Manuja</t>
  </si>
  <si>
    <t>WA-1408</t>
  </si>
  <si>
    <t>Kshitij Mehta</t>
  </si>
  <si>
    <t>WA-1409</t>
  </si>
  <si>
    <t>Sumit Dhall</t>
  </si>
  <si>
    <t>WA-1410</t>
  </si>
  <si>
    <t>Vijay Singh</t>
  </si>
  <si>
    <t>WA-1501</t>
  </si>
  <si>
    <t>Punit Kapoor</t>
  </si>
  <si>
    <t>WA-1502</t>
  </si>
  <si>
    <t>Rajesh Kaushik</t>
  </si>
  <si>
    <t>WA-1503</t>
  </si>
  <si>
    <t>Narinder Rana</t>
  </si>
  <si>
    <t>WA-1504</t>
  </si>
  <si>
    <t>WA-1505</t>
  </si>
  <si>
    <t>Usha Aggarwal</t>
  </si>
  <si>
    <t>WA-1506</t>
  </si>
  <si>
    <t>Deepak Sethi</t>
  </si>
  <si>
    <t>WA-1507</t>
  </si>
  <si>
    <t>Satish Chand Goyal</t>
  </si>
  <si>
    <t>WA-1508</t>
  </si>
  <si>
    <t>Corporation</t>
  </si>
  <si>
    <t>WA-1509</t>
  </si>
  <si>
    <t>WA-1510</t>
  </si>
  <si>
    <t>K.G. Kumar</t>
  </si>
  <si>
    <t>WA-1602</t>
  </si>
  <si>
    <t>Rajiv Bhatnagar</t>
  </si>
  <si>
    <t>WA-1603</t>
  </si>
  <si>
    <t>Himanshu Subhashbhai Bhatt</t>
  </si>
  <si>
    <t>WA-1604</t>
  </si>
  <si>
    <t>Naresh Santwani</t>
  </si>
  <si>
    <t>WA-1606</t>
  </si>
  <si>
    <t>Shakuntala Malik</t>
  </si>
  <si>
    <t>WA-1608</t>
  </si>
  <si>
    <t>Varun Kumar</t>
  </si>
  <si>
    <t>WA-1609</t>
  </si>
  <si>
    <t>WA-1610</t>
  </si>
  <si>
    <t>Ajay Kumar Sharma</t>
  </si>
  <si>
    <t>WA-1704</t>
  </si>
  <si>
    <t>Raj Kumar Bhat</t>
  </si>
  <si>
    <t>WA-1705</t>
  </si>
  <si>
    <t>Gagan Sidana</t>
  </si>
  <si>
    <t>WA-1708</t>
  </si>
  <si>
    <t>Paresh Kumar Rath</t>
  </si>
  <si>
    <t>WA-1709</t>
  </si>
  <si>
    <t>Rajesh Kumar Yadav</t>
  </si>
  <si>
    <t>WA-1801</t>
  </si>
  <si>
    <t>Jitender Saini</t>
  </si>
  <si>
    <t>WA-1805</t>
  </si>
  <si>
    <t>Sougata Ray Chaudhuri</t>
  </si>
  <si>
    <t>WA-1806</t>
  </si>
  <si>
    <t>Mohd Yusuf Khan</t>
  </si>
  <si>
    <t>WA-1807</t>
  </si>
  <si>
    <t>Rahul Ghai</t>
  </si>
  <si>
    <t>WA-1808</t>
  </si>
  <si>
    <t>Pooja Gulati</t>
  </si>
  <si>
    <t>WA-1810</t>
  </si>
  <si>
    <t>Nitin Vij</t>
  </si>
  <si>
    <t>WA-1906</t>
  </si>
  <si>
    <t>Urmila</t>
  </si>
  <si>
    <t>WA-1910</t>
  </si>
  <si>
    <t>Jitender Kumar Tyagi</t>
  </si>
  <si>
    <t>WA-202</t>
  </si>
  <si>
    <t>Santosh Seth</t>
  </si>
  <si>
    <t>WA-204</t>
  </si>
  <si>
    <t>Priyadarshi Prakash</t>
  </si>
  <si>
    <t>WA-206</t>
  </si>
  <si>
    <t>Ashwendra Kumar Singh</t>
  </si>
  <si>
    <t>WA-208</t>
  </si>
  <si>
    <t>Avtar Singh</t>
  </si>
  <si>
    <t>WA-210</t>
  </si>
  <si>
    <t>Munni Bai</t>
  </si>
  <si>
    <t>WA-301</t>
  </si>
  <si>
    <t>Kavita Madan</t>
  </si>
  <si>
    <t>WA-302</t>
  </si>
  <si>
    <t>Sudesh Rani</t>
  </si>
  <si>
    <t>WA-303</t>
  </si>
  <si>
    <t>Ankur Mishra</t>
  </si>
  <si>
    <t>WA-304</t>
  </si>
  <si>
    <t>Satveer</t>
  </si>
  <si>
    <t>WA-306</t>
  </si>
  <si>
    <t>Rajani Kanta Khuntia</t>
  </si>
  <si>
    <t>WA-308</t>
  </si>
  <si>
    <t>Durgesh Bhandari Aswal</t>
  </si>
  <si>
    <t>WA-310</t>
  </si>
  <si>
    <t>Atul Goyal</t>
  </si>
  <si>
    <t>WA-402</t>
  </si>
  <si>
    <t>Jitendra Kumar</t>
  </si>
  <si>
    <t>WA-403</t>
  </si>
  <si>
    <t>Monika Seth</t>
  </si>
  <si>
    <t>WA-404</t>
  </si>
  <si>
    <t>Yogesh Bhardwaj</t>
  </si>
  <si>
    <t>WA-405</t>
  </si>
  <si>
    <t>Meena Choudhary</t>
  </si>
  <si>
    <t>WA-406</t>
  </si>
  <si>
    <t>Ruchika Seth</t>
  </si>
  <si>
    <t>WA-407</t>
  </si>
  <si>
    <t>Ramakant Sharma</t>
  </si>
  <si>
    <t>WA-408</t>
  </si>
  <si>
    <t>Manorma Luthra</t>
  </si>
  <si>
    <t>WA-410</t>
  </si>
  <si>
    <t>Devrup Bhattacharya</t>
  </si>
  <si>
    <t>WA-501</t>
  </si>
  <si>
    <t>Kuku  Bhatia</t>
  </si>
  <si>
    <t>WA-502</t>
  </si>
  <si>
    <t>Preeti Agarwal</t>
  </si>
  <si>
    <t>WA-503</t>
  </si>
  <si>
    <t>WA-504</t>
  </si>
  <si>
    <t>Arun Nair</t>
  </si>
  <si>
    <t>WA-505</t>
  </si>
  <si>
    <t>Priyanka Balasundaram</t>
  </si>
  <si>
    <t>WA-506</t>
  </si>
  <si>
    <t>WA-507</t>
  </si>
  <si>
    <t>Neha Parwal</t>
  </si>
  <si>
    <t>WA-508</t>
  </si>
  <si>
    <t>Pinki Kumari</t>
  </si>
  <si>
    <t>WA-509</t>
  </si>
  <si>
    <t>Vijay Kumar Bhatt</t>
  </si>
  <si>
    <t>WA-602</t>
  </si>
  <si>
    <t>Parminder Gautam</t>
  </si>
  <si>
    <t>WA-603</t>
  </si>
  <si>
    <t>Ravindra Singh Bagri</t>
  </si>
  <si>
    <t>WA-604</t>
  </si>
  <si>
    <t>Paramjeet Singh</t>
  </si>
  <si>
    <t>WA-605</t>
  </si>
  <si>
    <t>Surjeet Singh</t>
  </si>
  <si>
    <t>WA-607</t>
  </si>
  <si>
    <t>Rajeev Gautam</t>
  </si>
  <si>
    <t>WA-608</t>
  </si>
  <si>
    <t>Prasanta Samanta</t>
  </si>
  <si>
    <t>WA-609</t>
  </si>
  <si>
    <t>Vishwa Nath Awasthy</t>
  </si>
  <si>
    <t>WA-610</t>
  </si>
  <si>
    <t>Sudhira Kanta Dora</t>
  </si>
  <si>
    <t>WA-701</t>
  </si>
  <si>
    <t>Saurabh Khanna</t>
  </si>
  <si>
    <t>WA-702</t>
  </si>
  <si>
    <t>Sunil Kumar Jain</t>
  </si>
  <si>
    <t>WA-703</t>
  </si>
  <si>
    <t>WA-704</t>
  </si>
  <si>
    <t>Sanjay Khandelwal</t>
  </si>
  <si>
    <t>WA-706</t>
  </si>
  <si>
    <t>Alok kumar Gupta</t>
  </si>
  <si>
    <t>WA-707</t>
  </si>
  <si>
    <t>Anoop Singh Kataria</t>
  </si>
  <si>
    <t>WA-708</t>
  </si>
  <si>
    <t>Gautam Samanta</t>
  </si>
  <si>
    <t>WA-709</t>
  </si>
  <si>
    <t>Asha Yadav</t>
  </si>
  <si>
    <t>WA-710</t>
  </si>
  <si>
    <t>Dal Chand Yadav</t>
  </si>
  <si>
    <t>WA-801</t>
  </si>
  <si>
    <t>Vinod Kumar Kalra</t>
  </si>
  <si>
    <t>WA-802</t>
  </si>
  <si>
    <t>Vikram Singh</t>
  </si>
  <si>
    <t>WA-803</t>
  </si>
  <si>
    <t>Sanchit Bhardwaj</t>
  </si>
  <si>
    <t>WA-804</t>
  </si>
  <si>
    <t>WA-805</t>
  </si>
  <si>
    <t>Nitin Kumar Goyal</t>
  </si>
  <si>
    <t>WA-806</t>
  </si>
  <si>
    <t>Subir Maity</t>
  </si>
  <si>
    <t>WA-807</t>
  </si>
  <si>
    <t>Satish Kumar Bansal</t>
  </si>
  <si>
    <t>WA-808</t>
  </si>
  <si>
    <t>Kopra Venkat Rao</t>
  </si>
  <si>
    <t>WA-809</t>
  </si>
  <si>
    <t>Amit Nandan Bhatnagar</t>
  </si>
  <si>
    <t>WA-810</t>
  </si>
  <si>
    <t>Rohan Roy</t>
  </si>
  <si>
    <t>WA-901</t>
  </si>
  <si>
    <t>Guddy Negi</t>
  </si>
  <si>
    <t>WA-902</t>
  </si>
  <si>
    <t>Arun Kumar Sahu</t>
  </si>
  <si>
    <t>WA-903</t>
  </si>
  <si>
    <t>Revathy Natarajan</t>
  </si>
  <si>
    <t>WA-904</t>
  </si>
  <si>
    <t>WA-905</t>
  </si>
  <si>
    <t>Preeti Maheshwari</t>
  </si>
  <si>
    <t>WA-906</t>
  </si>
  <si>
    <t>Ashfak Ahmad</t>
  </si>
  <si>
    <t>WA-907</t>
  </si>
  <si>
    <t>Mrs.Maisha Sangal</t>
  </si>
  <si>
    <t>WA-908</t>
  </si>
  <si>
    <t>Ashok Kumar Yadav</t>
  </si>
  <si>
    <t>WA-909</t>
  </si>
  <si>
    <t>Raj Kumar Khanna</t>
  </si>
  <si>
    <t>WA-910</t>
  </si>
  <si>
    <t>Ram Gopal Aggarwal</t>
  </si>
  <si>
    <t>WB-1001</t>
  </si>
  <si>
    <t>Amit Harjani</t>
  </si>
  <si>
    <t>WB-1002</t>
  </si>
  <si>
    <t>Kamana Singh</t>
  </si>
  <si>
    <t>WB-1004</t>
  </si>
  <si>
    <t>Rakesh Singh</t>
  </si>
  <si>
    <t>WB-1005</t>
  </si>
  <si>
    <t>Subhash Chander Jerath</t>
  </si>
  <si>
    <t>WB-1006</t>
  </si>
  <si>
    <t>Manan Chugh</t>
  </si>
  <si>
    <t>WB-1007</t>
  </si>
  <si>
    <t>WB-1008</t>
  </si>
  <si>
    <t>Sneh Jain</t>
  </si>
  <si>
    <t>WB-1009</t>
  </si>
  <si>
    <t>Anita Solanki</t>
  </si>
  <si>
    <t>WB-1010</t>
  </si>
  <si>
    <t>Meera</t>
  </si>
  <si>
    <t>WB-102</t>
  </si>
  <si>
    <t>Maamni</t>
  </si>
  <si>
    <t>WB-104</t>
  </si>
  <si>
    <t>Ran Singh Malhan</t>
  </si>
  <si>
    <t>WB-105</t>
  </si>
  <si>
    <t>Vijay Kumar Gupta</t>
  </si>
  <si>
    <t>WB-106</t>
  </si>
  <si>
    <t>Rachana Viswanathan</t>
  </si>
  <si>
    <t>WB-1101</t>
  </si>
  <si>
    <t>Gulshan Sachdeva</t>
  </si>
  <si>
    <t>WB-1102</t>
  </si>
  <si>
    <t>WB-1104</t>
  </si>
  <si>
    <t>Ruchika Saxena</t>
  </si>
  <si>
    <t>WB-1105</t>
  </si>
  <si>
    <t>Ankur Kochar</t>
  </si>
  <si>
    <t>WB-1106</t>
  </si>
  <si>
    <t>Uttam Kumar Mandal</t>
  </si>
  <si>
    <t>WB-1107</t>
  </si>
  <si>
    <t>WB-1108</t>
  </si>
  <si>
    <t>Kavita Kashyap</t>
  </si>
  <si>
    <t>WB-1110</t>
  </si>
  <si>
    <t>Manoj Sambharia</t>
  </si>
  <si>
    <t>WB-1201</t>
  </si>
  <si>
    <t>Ashwani Aren</t>
  </si>
  <si>
    <t>WB-1202</t>
  </si>
  <si>
    <t>Ashish Dhall</t>
  </si>
  <si>
    <t>WB-1204</t>
  </si>
  <si>
    <t>Milind Madhukar Mate</t>
  </si>
  <si>
    <t>WB-1205</t>
  </si>
  <si>
    <t>Rajneesh Sharma</t>
  </si>
  <si>
    <t>WB-1206</t>
  </si>
  <si>
    <t>WB-1207</t>
  </si>
  <si>
    <t>Jyoti Dhall</t>
  </si>
  <si>
    <t>WB-1208</t>
  </si>
  <si>
    <t>Aman Kumar</t>
  </si>
  <si>
    <t>WB-1210</t>
  </si>
  <si>
    <t>Narayan Karanjule</t>
  </si>
  <si>
    <t>WB-1302</t>
  </si>
  <si>
    <t>Sunil Wali</t>
  </si>
  <si>
    <t>WB-1401</t>
  </si>
  <si>
    <t>Purbsha Sharma</t>
  </si>
  <si>
    <t>WB-1402</t>
  </si>
  <si>
    <t>Dilip Kumar Gouda</t>
  </si>
  <si>
    <t>WB-1404</t>
  </si>
  <si>
    <t>WB-1406</t>
  </si>
  <si>
    <t>Shuben Krishen Raina</t>
  </si>
  <si>
    <t>WB-1410</t>
  </si>
  <si>
    <t>Praveen Kaushik</t>
  </si>
  <si>
    <t>WB-1501</t>
  </si>
  <si>
    <t>Pankaj Kumar Bhardwaj</t>
  </si>
  <si>
    <t>WB-1502</t>
  </si>
  <si>
    <t>Pawan Kumar Aggarwal</t>
  </si>
  <si>
    <t>WB-1504</t>
  </si>
  <si>
    <t>Madhvi Arora</t>
  </si>
  <si>
    <t>WB-1505</t>
  </si>
  <si>
    <t>Sahil Aggarwal</t>
  </si>
  <si>
    <t>WB-1506</t>
  </si>
  <si>
    <t>Varun Saini</t>
  </si>
  <si>
    <t>WB-1507</t>
  </si>
  <si>
    <t>Amandeep Sharma</t>
  </si>
  <si>
    <t>WB-1601</t>
  </si>
  <si>
    <t>Punam Batra</t>
  </si>
  <si>
    <t>WB-1602</t>
  </si>
  <si>
    <t>Rakesh Kumar Mathur</t>
  </si>
  <si>
    <t>WB-1604</t>
  </si>
  <si>
    <t>Umesh Upaadyay</t>
  </si>
  <si>
    <t>WB-1605</t>
  </si>
  <si>
    <t>Shailesh Upadhyay</t>
  </si>
  <si>
    <t>WB-1607</t>
  </si>
  <si>
    <t>Sachin Madhukar Mate</t>
  </si>
  <si>
    <t>WB-1701</t>
  </si>
  <si>
    <t>Santosh Dhingra</t>
  </si>
  <si>
    <t>WB-1702</t>
  </si>
  <si>
    <t>WB-1705</t>
  </si>
  <si>
    <t>Sanjay Kumar Dudeja</t>
  </si>
  <si>
    <t>WB-1706</t>
  </si>
  <si>
    <t>Manica Nagpal</t>
  </si>
  <si>
    <t>WB-1707</t>
  </si>
  <si>
    <t>Preety Sagar Sinha</t>
  </si>
  <si>
    <t>WB-1804</t>
  </si>
  <si>
    <t>Saurabh Bharara</t>
  </si>
  <si>
    <t>WB-1805</t>
  </si>
  <si>
    <t>Sonal Upadhyay</t>
  </si>
  <si>
    <t>WB-1806</t>
  </si>
  <si>
    <t>Shilpa Daga</t>
  </si>
  <si>
    <t>WB-1807</t>
  </si>
  <si>
    <t>Meenakshi Pushkarna</t>
  </si>
  <si>
    <t>WB-1809</t>
  </si>
  <si>
    <t>Vivek Bishnoi</t>
  </si>
  <si>
    <t>WB-1901</t>
  </si>
  <si>
    <t>Sunita Rani</t>
  </si>
  <si>
    <t>WB-1905</t>
  </si>
  <si>
    <t>Hari Singh Bishnoi</t>
  </si>
  <si>
    <t>WB-1907</t>
  </si>
  <si>
    <t>Suman Khurana</t>
  </si>
  <si>
    <t>WB-201</t>
  </si>
  <si>
    <t>Neha Taneja</t>
  </si>
  <si>
    <t>WB-202</t>
  </si>
  <si>
    <t>Sheel Kumar Malviya</t>
  </si>
  <si>
    <t>WB-204</t>
  </si>
  <si>
    <t>Dinesh Khurana</t>
  </si>
  <si>
    <t>WB-205</t>
  </si>
  <si>
    <t>Satender Singh</t>
  </si>
  <si>
    <t>WB-206</t>
  </si>
  <si>
    <t>Rajiv Rana</t>
  </si>
  <si>
    <t>WB-208</t>
  </si>
  <si>
    <t>Anju Saxena</t>
  </si>
  <si>
    <t>WB-210</t>
  </si>
  <si>
    <t>Arun Bala Chugh</t>
  </si>
  <si>
    <t>WB-301</t>
  </si>
  <si>
    <t>Sunita Datta</t>
  </si>
  <si>
    <t>WB-302</t>
  </si>
  <si>
    <t>Mamta Gupta</t>
  </si>
  <si>
    <t>WB-304</t>
  </si>
  <si>
    <t>Ram Kishan</t>
  </si>
  <si>
    <t>WB-305</t>
  </si>
  <si>
    <t>Laxmi Narayan</t>
  </si>
  <si>
    <t>WB-307</t>
  </si>
  <si>
    <t>WB-308</t>
  </si>
  <si>
    <t>Debananda Sahu</t>
  </si>
  <si>
    <t>WB-401</t>
  </si>
  <si>
    <t>Shweta Batra</t>
  </si>
  <si>
    <t>WB-402</t>
  </si>
  <si>
    <t>Shafali Bansal</t>
  </si>
  <si>
    <t>WB-404</t>
  </si>
  <si>
    <t>Sanjit Jana</t>
  </si>
  <si>
    <t>WB-405</t>
  </si>
  <si>
    <t>Vijeta Kumari</t>
  </si>
  <si>
    <t>WB-406</t>
  </si>
  <si>
    <t>Tushar Mehra</t>
  </si>
  <si>
    <t>WB-407</t>
  </si>
  <si>
    <t>Satya Narayan Kabra</t>
  </si>
  <si>
    <t>WB-408</t>
  </si>
  <si>
    <t>WB-410</t>
  </si>
  <si>
    <t>WB-501</t>
  </si>
  <si>
    <t>Kapil Bhatia</t>
  </si>
  <si>
    <t>WB-502</t>
  </si>
  <si>
    <t>Ramesh Kumar Nagpal</t>
  </si>
  <si>
    <t>WB-504</t>
  </si>
  <si>
    <t>Joginder Singh</t>
  </si>
  <si>
    <t>WB-505</t>
  </si>
  <si>
    <t>Raman Gulati</t>
  </si>
  <si>
    <t>WB-506</t>
  </si>
  <si>
    <t>Raj Vati</t>
  </si>
  <si>
    <t>WB-507</t>
  </si>
  <si>
    <t>Urmila Sharma</t>
  </si>
  <si>
    <t>WB-508</t>
  </si>
  <si>
    <t>Rustam Singh</t>
  </si>
  <si>
    <t>WB-509</t>
  </si>
  <si>
    <t>Mukul Goyal</t>
  </si>
  <si>
    <t>WB-510</t>
  </si>
  <si>
    <t>Rahul Katiyar</t>
  </si>
  <si>
    <t>WB-601</t>
  </si>
  <si>
    <t>WB-602</t>
  </si>
  <si>
    <t>Prabha Bharti</t>
  </si>
  <si>
    <t>WB-604</t>
  </si>
  <si>
    <t>Manish Malhotra</t>
  </si>
  <si>
    <t>WB-605</t>
  </si>
  <si>
    <t>Vanshdeep</t>
  </si>
  <si>
    <t>WB-606</t>
  </si>
  <si>
    <t>Mahasweta Dhawan</t>
  </si>
  <si>
    <t>WB-607</t>
  </si>
  <si>
    <t>Meenu Garg</t>
  </si>
  <si>
    <t>WB-608</t>
  </si>
  <si>
    <t>Kusum Miglani</t>
  </si>
  <si>
    <t>WB-610</t>
  </si>
  <si>
    <t>Chander Kanta Chugh</t>
  </si>
  <si>
    <t>WB-701</t>
  </si>
  <si>
    <t>Manu Kiran</t>
  </si>
  <si>
    <t>WB-702</t>
  </si>
  <si>
    <t>Dina Wadhwa Chadha</t>
  </si>
  <si>
    <t>WB-704</t>
  </si>
  <si>
    <t>Gauri Tiwari</t>
  </si>
  <si>
    <t>WB-705</t>
  </si>
  <si>
    <t>Rishi Gupta</t>
  </si>
  <si>
    <t>WB-706</t>
  </si>
  <si>
    <t>Ravi Shankar Gupta</t>
  </si>
  <si>
    <t>WB-707</t>
  </si>
  <si>
    <t>Ashish Juneja</t>
  </si>
  <si>
    <t>WB-708</t>
  </si>
  <si>
    <t>Pardeep Verma</t>
  </si>
  <si>
    <t>WB-709</t>
  </si>
  <si>
    <t>Bhim Sain Manuja</t>
  </si>
  <si>
    <t>WB-710</t>
  </si>
  <si>
    <t>Mukesh Wadhwa</t>
  </si>
  <si>
    <t>WB-801</t>
  </si>
  <si>
    <t>Raksha Devi</t>
  </si>
  <si>
    <t>WB-802</t>
  </si>
  <si>
    <t>Manisha Singh</t>
  </si>
  <si>
    <t>WB-804</t>
  </si>
  <si>
    <t>Milind Dwivedi</t>
  </si>
  <si>
    <t>WB-805</t>
  </si>
  <si>
    <t>Vipin Patwari</t>
  </si>
  <si>
    <t>WB-806</t>
  </si>
  <si>
    <t>Hansa Devi</t>
  </si>
  <si>
    <t>WB-807</t>
  </si>
  <si>
    <t>Gurpreet Rekhi</t>
  </si>
  <si>
    <t>WB-808</t>
  </si>
  <si>
    <t>WB-809</t>
  </si>
  <si>
    <t>Shweta Tiwari</t>
  </si>
  <si>
    <t>WB-810</t>
  </si>
  <si>
    <t>Neena Verma</t>
  </si>
  <si>
    <t>WB-901</t>
  </si>
  <si>
    <t>Niraj</t>
  </si>
  <si>
    <t>WB-902</t>
  </si>
  <si>
    <t>Prakash Khetwani</t>
  </si>
  <si>
    <t>WB-904</t>
  </si>
  <si>
    <t>Anju Rani</t>
  </si>
  <si>
    <t>WB-905</t>
  </si>
  <si>
    <t>Mohit Kumar</t>
  </si>
  <si>
    <t>WB-906</t>
  </si>
  <si>
    <t>Meenakshi</t>
  </si>
  <si>
    <t>WB-907</t>
  </si>
  <si>
    <t>Lalita Rani</t>
  </si>
  <si>
    <t>WB-908</t>
  </si>
  <si>
    <t>Rachna Bhatia</t>
  </si>
  <si>
    <t>WB-909</t>
  </si>
  <si>
    <t>WA-001</t>
  </si>
  <si>
    <t>WA-002</t>
  </si>
  <si>
    <t>WA-004</t>
  </si>
  <si>
    <t>WA-005</t>
  </si>
  <si>
    <t>WA-006</t>
  </si>
  <si>
    <t>WA-007</t>
  </si>
  <si>
    <t>WA-008</t>
  </si>
  <si>
    <t>WA-009</t>
  </si>
  <si>
    <t>WA-010</t>
  </si>
  <si>
    <t>WA-101</t>
  </si>
  <si>
    <t>WA-102</t>
  </si>
  <si>
    <t>WA-103</t>
  </si>
  <si>
    <t>WA-107</t>
  </si>
  <si>
    <t>WA-109</t>
  </si>
  <si>
    <t>WA-110</t>
  </si>
  <si>
    <t>WA-1301</t>
  </si>
  <si>
    <t>WA-1302</t>
  </si>
  <si>
    <t>WA-1306</t>
  </si>
  <si>
    <t>WA-1307</t>
  </si>
  <si>
    <t>WA-1308</t>
  </si>
  <si>
    <t>WA-1309</t>
  </si>
  <si>
    <t>WA-1310</t>
  </si>
  <si>
    <t>WA-1601</t>
  </si>
  <si>
    <t>WA-1605</t>
  </si>
  <si>
    <t>WA-1607</t>
  </si>
  <si>
    <t>WA-1701</t>
  </si>
  <si>
    <t>WA-1702</t>
  </si>
  <si>
    <t>WA-1703</t>
  </si>
  <si>
    <t>WA-1706</t>
  </si>
  <si>
    <t>WA-1707</t>
  </si>
  <si>
    <t>WA-1710</t>
  </si>
  <si>
    <t>WA-1802</t>
  </si>
  <si>
    <t>WA-1803</t>
  </si>
  <si>
    <t>WA-1804</t>
  </si>
  <si>
    <t>WA-1809</t>
  </si>
  <si>
    <t>WA-1901</t>
  </si>
  <si>
    <t>WA-1902</t>
  </si>
  <si>
    <t>WA-1903</t>
  </si>
  <si>
    <t>WA-1904</t>
  </si>
  <si>
    <t>WA-1905</t>
  </si>
  <si>
    <t>WA-1907</t>
  </si>
  <si>
    <t>WA-1908</t>
  </si>
  <si>
    <t>WA-1909</t>
  </si>
  <si>
    <t>WA-201</t>
  </si>
  <si>
    <t>WA-203</t>
  </si>
  <si>
    <t>WA-205</t>
  </si>
  <si>
    <t>WA-207</t>
  </si>
  <si>
    <t>WA-209</t>
  </si>
  <si>
    <t>WA-305</t>
  </si>
  <si>
    <t>WA-307</t>
  </si>
  <si>
    <t>WA-309</t>
  </si>
  <si>
    <t>WA-401</t>
  </si>
  <si>
    <t>WA-409</t>
  </si>
  <si>
    <t>WA-510</t>
  </si>
  <si>
    <t>WA-601</t>
  </si>
  <si>
    <t>WA-606</t>
  </si>
  <si>
    <t>WA-705</t>
  </si>
  <si>
    <t>WB-001</t>
  </si>
  <si>
    <t>WB-002</t>
  </si>
  <si>
    <t>WB-004</t>
  </si>
  <si>
    <t>WB-005</t>
  </si>
  <si>
    <t>WB-006</t>
  </si>
  <si>
    <t>WB-008</t>
  </si>
  <si>
    <t>WB-009</t>
  </si>
  <si>
    <t>WB-010</t>
  </si>
  <si>
    <t>WB-101</t>
  </si>
  <si>
    <t>WB-107</t>
  </si>
  <si>
    <t>WB-108</t>
  </si>
  <si>
    <t>WB-109</t>
  </si>
  <si>
    <t>WB-110</t>
  </si>
  <si>
    <t>WB-1109</t>
  </si>
  <si>
    <t>WB-1209</t>
  </si>
  <si>
    <t>WB-1301</t>
  </si>
  <si>
    <t>WB-1304</t>
  </si>
  <si>
    <t>WB-1305</t>
  </si>
  <si>
    <t>WB-1306</t>
  </si>
  <si>
    <t>WB-1307</t>
  </si>
  <si>
    <t>WB-1308</t>
  </si>
  <si>
    <t>WB-1309</t>
  </si>
  <si>
    <t>WB-1310</t>
  </si>
  <si>
    <t>WB-1405</t>
  </si>
  <si>
    <t>WB-1407</t>
  </si>
  <si>
    <t>WB-1408</t>
  </si>
  <si>
    <t>WB-1409</t>
  </si>
  <si>
    <t>WB-1508</t>
  </si>
  <si>
    <t>WB-1509</t>
  </si>
  <si>
    <t>WB-1510</t>
  </si>
  <si>
    <t>WB-1606</t>
  </si>
  <si>
    <t>WB-1608</t>
  </si>
  <si>
    <t>WB-1609</t>
  </si>
  <si>
    <t>WB-1610</t>
  </si>
  <si>
    <t>WB-1704</t>
  </si>
  <si>
    <t>WB-1708</t>
  </si>
  <si>
    <t>WB-1709</t>
  </si>
  <si>
    <t>WB-1710</t>
  </si>
  <si>
    <t>WB-1801</t>
  </si>
  <si>
    <t>WB-1802</t>
  </si>
  <si>
    <t>WB-1808</t>
  </si>
  <si>
    <t>WB-1810</t>
  </si>
  <si>
    <t>WB-1902</t>
  </si>
  <si>
    <t>WB-1904</t>
  </si>
  <si>
    <t>WB-1906</t>
  </si>
  <si>
    <t>WB-1908</t>
  </si>
  <si>
    <t>WB-1909</t>
  </si>
  <si>
    <t>WB-1910</t>
  </si>
  <si>
    <t>WB-207</t>
  </si>
  <si>
    <t>WB-209</t>
  </si>
  <si>
    <t>WB-306</t>
  </si>
  <si>
    <t>WB-309</t>
  </si>
  <si>
    <t>WB-310</t>
  </si>
  <si>
    <t>WB-311</t>
  </si>
  <si>
    <t>WB-409</t>
  </si>
  <si>
    <t>WB-609</t>
  </si>
  <si>
    <t>WB-910</t>
  </si>
  <si>
    <t>Phase-3</t>
  </si>
  <si>
    <t xml:space="preserve">Aqua </t>
  </si>
  <si>
    <t>Eden</t>
  </si>
  <si>
    <t>Lords</t>
  </si>
  <si>
    <t>Manoj Kumar Goel</t>
  </si>
  <si>
    <t>L-1006</t>
  </si>
  <si>
    <t>Pradeep Khurana</t>
  </si>
  <si>
    <t>L-1007</t>
  </si>
  <si>
    <t>Vijay Kumar Battra</t>
  </si>
  <si>
    <t>L-1008</t>
  </si>
  <si>
    <t>Kunj Behari Agrawal</t>
  </si>
  <si>
    <t>L-1009</t>
  </si>
  <si>
    <t>Mini Singh</t>
  </si>
  <si>
    <t>L-1010</t>
  </si>
  <si>
    <t>Mamta Rani</t>
  </si>
  <si>
    <t>L-105</t>
  </si>
  <si>
    <t>Sandeep Bhandari</t>
  </si>
  <si>
    <t>L-1105</t>
  </si>
  <si>
    <t>Renu Datta</t>
  </si>
  <si>
    <t>L-1109</t>
  </si>
  <si>
    <t>Jasmine Kad</t>
  </si>
  <si>
    <t>L-1110</t>
  </si>
  <si>
    <t>L-1112</t>
  </si>
  <si>
    <t>Kuki Bhatia</t>
  </si>
  <si>
    <t>L-1205</t>
  </si>
  <si>
    <t>L-1206</t>
  </si>
  <si>
    <t>Sakshi Kapoor</t>
  </si>
  <si>
    <t>L-1210</t>
  </si>
  <si>
    <t>L-1212</t>
  </si>
  <si>
    <t>Vijay Kumar Bhat</t>
  </si>
  <si>
    <t>L-1405</t>
  </si>
  <si>
    <t>Nirpal Singh Riat</t>
  </si>
  <si>
    <t>L-1412</t>
  </si>
  <si>
    <t>L-1506</t>
  </si>
  <si>
    <t>Vineet Ranasaria</t>
  </si>
  <si>
    <t>L-1510</t>
  </si>
  <si>
    <t>L-1605</t>
  </si>
  <si>
    <t>Yashwant Kumar</t>
  </si>
  <si>
    <t>L-1707</t>
  </si>
  <si>
    <t>Piyush Jindal</t>
  </si>
  <si>
    <t>L-1708</t>
  </si>
  <si>
    <t>Mukesh Aggarwal</t>
  </si>
  <si>
    <t>L-1806</t>
  </si>
  <si>
    <t>L-1808</t>
  </si>
  <si>
    <t>Gaurav Bansal</t>
  </si>
  <si>
    <t>L-1910</t>
  </si>
  <si>
    <t>L-205</t>
  </si>
  <si>
    <t>Vinod Verma</t>
  </si>
  <si>
    <t>L-206</t>
  </si>
  <si>
    <t>L-208</t>
  </si>
  <si>
    <t>Nitu Kumari</t>
  </si>
  <si>
    <t>L-308</t>
  </si>
  <si>
    <t>L-310</t>
  </si>
  <si>
    <t>Anshula Krishna</t>
  </si>
  <si>
    <t>L-407</t>
  </si>
  <si>
    <t>Surinder Pal Singh</t>
  </si>
  <si>
    <t>L-505</t>
  </si>
  <si>
    <t>Riddhi Agencies</t>
  </si>
  <si>
    <t>L-506</t>
  </si>
  <si>
    <t>Rahul Bahukhandi</t>
  </si>
  <si>
    <t>L-508</t>
  </si>
  <si>
    <t>L-511</t>
  </si>
  <si>
    <t>Sohan Lal</t>
  </si>
  <si>
    <t>L-608</t>
  </si>
  <si>
    <t>Radha Gupta</t>
  </si>
  <si>
    <t>L-610</t>
  </si>
  <si>
    <t>L-705</t>
  </si>
  <si>
    <t>Minal Rani</t>
  </si>
  <si>
    <t>L-706</t>
  </si>
  <si>
    <t>L-708</t>
  </si>
  <si>
    <t>Rajesh Pratap Singh</t>
  </si>
  <si>
    <t>L-709</t>
  </si>
  <si>
    <t>Ritika Parmar</t>
  </si>
  <si>
    <t>L-710</t>
  </si>
  <si>
    <t>Chandar Parkash</t>
  </si>
  <si>
    <t>L-807</t>
  </si>
  <si>
    <t>Raina Verma</t>
  </si>
  <si>
    <t>L-808</t>
  </si>
  <si>
    <t>Ritesh Yadav</t>
  </si>
  <si>
    <t>L-905</t>
  </si>
  <si>
    <t>Yashika</t>
  </si>
  <si>
    <t>L-906</t>
  </si>
  <si>
    <t>Ashish Agrawal</t>
  </si>
  <si>
    <t>L-907</t>
  </si>
  <si>
    <t>Angshuman Kanjilal</t>
  </si>
  <si>
    <t>L-908</t>
  </si>
  <si>
    <t>L-909</t>
  </si>
  <si>
    <t>L-912</t>
  </si>
  <si>
    <t>Aqua Homes</t>
  </si>
  <si>
    <t>A-001</t>
  </si>
  <si>
    <t>A-002</t>
  </si>
  <si>
    <t>A-003</t>
  </si>
  <si>
    <t>A-004</t>
  </si>
  <si>
    <t>A-005</t>
  </si>
  <si>
    <t>A-006</t>
  </si>
  <si>
    <t>A-007</t>
  </si>
  <si>
    <t>A-008</t>
  </si>
  <si>
    <t>A-009</t>
  </si>
  <si>
    <t>A-010</t>
  </si>
  <si>
    <t>A-1001</t>
  </si>
  <si>
    <t>A-1002</t>
  </si>
  <si>
    <t>A-1003</t>
  </si>
  <si>
    <t>A-1004</t>
  </si>
  <si>
    <t>A-1005</t>
  </si>
  <si>
    <t>A-101</t>
  </si>
  <si>
    <t>A-102</t>
  </si>
  <si>
    <t>A-103</t>
  </si>
  <si>
    <t>A-104</t>
  </si>
  <si>
    <t>A-105</t>
  </si>
  <si>
    <t>A-106</t>
  </si>
  <si>
    <t>A-107</t>
  </si>
  <si>
    <t>A-108</t>
  </si>
  <si>
    <t>A-109</t>
  </si>
  <si>
    <t>A-110</t>
  </si>
  <si>
    <t>A-1101</t>
  </si>
  <si>
    <t>A-1102</t>
  </si>
  <si>
    <t>A-1103</t>
  </si>
  <si>
    <t>A-1104</t>
  </si>
  <si>
    <t>A-1105</t>
  </si>
  <si>
    <t>A-1201</t>
  </si>
  <si>
    <t>A-1202</t>
  </si>
  <si>
    <t>A-1203</t>
  </si>
  <si>
    <t>A-1204</t>
  </si>
  <si>
    <t>A-1205</t>
  </si>
  <si>
    <t>A-1301</t>
  </si>
  <si>
    <t>A-1302</t>
  </si>
  <si>
    <t>A-1303</t>
  </si>
  <si>
    <t>A-1304</t>
  </si>
  <si>
    <t>A-1305</t>
  </si>
  <si>
    <t>A-1401</t>
  </si>
  <si>
    <t>A-1402</t>
  </si>
  <si>
    <t>A-1403</t>
  </si>
  <si>
    <t>A-1404</t>
  </si>
  <si>
    <t>A-1405</t>
  </si>
  <si>
    <t>A-1501</t>
  </si>
  <si>
    <t>A-1502</t>
  </si>
  <si>
    <t>A-1503</t>
  </si>
  <si>
    <t>A-1504</t>
  </si>
  <si>
    <t>A-1505</t>
  </si>
  <si>
    <t>A-1601</t>
  </si>
  <si>
    <t>A-1602</t>
  </si>
  <si>
    <t>A-1603</t>
  </si>
  <si>
    <t>A-1604</t>
  </si>
  <si>
    <t>A-1605</t>
  </si>
  <si>
    <t>A-1701</t>
  </si>
  <si>
    <t>A-1702</t>
  </si>
  <si>
    <t>A-1703</t>
  </si>
  <si>
    <t>A-1704</t>
  </si>
  <si>
    <t>A-1705</t>
  </si>
  <si>
    <t>A-1801</t>
  </si>
  <si>
    <t>A-1802</t>
  </si>
  <si>
    <t>A-1803</t>
  </si>
  <si>
    <t>A-1901</t>
  </si>
  <si>
    <t>A-1902</t>
  </si>
  <si>
    <t>A-201</t>
  </si>
  <si>
    <t>A-202</t>
  </si>
  <si>
    <t>A-203</t>
  </si>
  <si>
    <t>A-204</t>
  </si>
  <si>
    <t>A-205</t>
  </si>
  <si>
    <t>A-206</t>
  </si>
  <si>
    <t>A-207</t>
  </si>
  <si>
    <t>A-208</t>
  </si>
  <si>
    <t>A-209</t>
  </si>
  <si>
    <t>A-210</t>
  </si>
  <si>
    <t>A-301</t>
  </si>
  <si>
    <t>A-302</t>
  </si>
  <si>
    <t>A-303</t>
  </si>
  <si>
    <t>A-304</t>
  </si>
  <si>
    <t>A-305</t>
  </si>
  <si>
    <t>A-306</t>
  </si>
  <si>
    <t>A-307</t>
  </si>
  <si>
    <t>A-308</t>
  </si>
  <si>
    <t>A-309</t>
  </si>
  <si>
    <t>A-310</t>
  </si>
  <si>
    <t>A-401</t>
  </si>
  <si>
    <t>A-402</t>
  </si>
  <si>
    <t>A-403</t>
  </si>
  <si>
    <t>A-404</t>
  </si>
  <si>
    <t>A-405</t>
  </si>
  <si>
    <t>A-501</t>
  </si>
  <si>
    <t>A-502</t>
  </si>
  <si>
    <t>A-503</t>
  </si>
  <si>
    <t>A-504</t>
  </si>
  <si>
    <t>A-505</t>
  </si>
  <si>
    <t>A-601</t>
  </si>
  <si>
    <t>A-602</t>
  </si>
  <si>
    <t>A-603</t>
  </si>
  <si>
    <t>A-604</t>
  </si>
  <si>
    <t>A-605</t>
  </si>
  <si>
    <t>A-701</t>
  </si>
  <si>
    <t>A-702</t>
  </si>
  <si>
    <t>A-703</t>
  </si>
  <si>
    <t>A-704</t>
  </si>
  <si>
    <t>A-705</t>
  </si>
  <si>
    <t>A-801</t>
  </si>
  <si>
    <t>A-802</t>
  </si>
  <si>
    <t>A-803</t>
  </si>
  <si>
    <t>A-804</t>
  </si>
  <si>
    <t>A-805</t>
  </si>
  <si>
    <t>A-901</t>
  </si>
  <si>
    <t>A-902</t>
  </si>
  <si>
    <t>A-903</t>
  </si>
  <si>
    <t>A-904</t>
  </si>
  <si>
    <t>A-905</t>
  </si>
  <si>
    <t>Eden Homes</t>
  </si>
  <si>
    <t>E-001</t>
  </si>
  <si>
    <t>E-002</t>
  </si>
  <si>
    <t>E-003</t>
  </si>
  <si>
    <t>E-004</t>
  </si>
  <si>
    <t>E-005</t>
  </si>
  <si>
    <t>E-006</t>
  </si>
  <si>
    <t>E-007</t>
  </si>
  <si>
    <t>E-008</t>
  </si>
  <si>
    <t>E-1001</t>
  </si>
  <si>
    <t>E-1002</t>
  </si>
  <si>
    <t>E-1003</t>
  </si>
  <si>
    <t>E-1004</t>
  </si>
  <si>
    <t>E-1005</t>
  </si>
  <si>
    <t>E-1006</t>
  </si>
  <si>
    <t>E-1007</t>
  </si>
  <si>
    <t>E-1008</t>
  </si>
  <si>
    <t>E-1009</t>
  </si>
  <si>
    <t>E-101</t>
  </si>
  <si>
    <t>E-102</t>
  </si>
  <si>
    <t>E-103</t>
  </si>
  <si>
    <t>E-104</t>
  </si>
  <si>
    <t>E-105</t>
  </si>
  <si>
    <t>E-106</t>
  </si>
  <si>
    <t>E-107</t>
  </si>
  <si>
    <t>E-108</t>
  </si>
  <si>
    <t>E-109</t>
  </si>
  <si>
    <t>E-1101</t>
  </si>
  <si>
    <t>E-1102</t>
  </si>
  <si>
    <t>E-1103</t>
  </si>
  <si>
    <t>E-1104</t>
  </si>
  <si>
    <t>E-1105</t>
  </si>
  <si>
    <t>E-1106</t>
  </si>
  <si>
    <t>E-1107</t>
  </si>
  <si>
    <t>E-1108</t>
  </si>
  <si>
    <t>E-1109</t>
  </si>
  <si>
    <t>E-1201</t>
  </si>
  <si>
    <t>E-1202</t>
  </si>
  <si>
    <t>E-1203</t>
  </si>
  <si>
    <t>E-1204</t>
  </si>
  <si>
    <t>E-1205</t>
  </si>
  <si>
    <t>E-1206</t>
  </si>
  <si>
    <t>E-1207</t>
  </si>
  <si>
    <t>E-1208</t>
  </si>
  <si>
    <t>E-1209</t>
  </si>
  <si>
    <t>E-201</t>
  </si>
  <si>
    <t>E-202</t>
  </si>
  <si>
    <t>E-203</t>
  </si>
  <si>
    <t>E-204</t>
  </si>
  <si>
    <t>E-205</t>
  </si>
  <si>
    <t>E-206</t>
  </si>
  <si>
    <t>E-207</t>
  </si>
  <si>
    <t>E-208</t>
  </si>
  <si>
    <t>E-209</t>
  </si>
  <si>
    <t>E-301</t>
  </si>
  <si>
    <t>E-302</t>
  </si>
  <si>
    <t>E-303</t>
  </si>
  <si>
    <t>E-304</t>
  </si>
  <si>
    <t>E-305</t>
  </si>
  <si>
    <t>E-306</t>
  </si>
  <si>
    <t>E-307</t>
  </si>
  <si>
    <t>E-308</t>
  </si>
  <si>
    <t>E-309</t>
  </si>
  <si>
    <t>E-401</t>
  </si>
  <si>
    <t>E-402</t>
  </si>
  <si>
    <t>E-403</t>
  </si>
  <si>
    <t>E-404</t>
  </si>
  <si>
    <t>E-405</t>
  </si>
  <si>
    <t>E-406</t>
  </si>
  <si>
    <t>E-407</t>
  </si>
  <si>
    <t>E-408</t>
  </si>
  <si>
    <t>E-409</t>
  </si>
  <si>
    <t>E-501</t>
  </si>
  <si>
    <t>E-502</t>
  </si>
  <si>
    <t>E-503</t>
  </si>
  <si>
    <t>E-504</t>
  </si>
  <si>
    <t>E-505</t>
  </si>
  <si>
    <t>E-506</t>
  </si>
  <si>
    <t>E-507</t>
  </si>
  <si>
    <t>E-508</t>
  </si>
  <si>
    <t>E-509</t>
  </si>
  <si>
    <t>E-601</t>
  </si>
  <si>
    <t>E-602</t>
  </si>
  <si>
    <t>E-603</t>
  </si>
  <si>
    <t>E-604</t>
  </si>
  <si>
    <t>E-605</t>
  </si>
  <si>
    <t>E-606</t>
  </si>
  <si>
    <t>E-607</t>
  </si>
  <si>
    <t>E-608</t>
  </si>
  <si>
    <t>E-609</t>
  </si>
  <si>
    <t>E-701</t>
  </si>
  <si>
    <t>E-702</t>
  </si>
  <si>
    <t>E-703</t>
  </si>
  <si>
    <t>E-704</t>
  </si>
  <si>
    <t>E-705</t>
  </si>
  <si>
    <t>E-706</t>
  </si>
  <si>
    <t>E-707</t>
  </si>
  <si>
    <t>E-708</t>
  </si>
  <si>
    <t>E-709</t>
  </si>
  <si>
    <t>E-801</t>
  </si>
  <si>
    <t>E-802</t>
  </si>
  <si>
    <t>E-803</t>
  </si>
  <si>
    <t>E-804</t>
  </si>
  <si>
    <t>E-805</t>
  </si>
  <si>
    <t>E-806</t>
  </si>
  <si>
    <t>E-807</t>
  </si>
  <si>
    <t>E-808</t>
  </si>
  <si>
    <t>E-809</t>
  </si>
  <si>
    <t>E-901</t>
  </si>
  <si>
    <t>E-902</t>
  </si>
  <si>
    <t>E-903</t>
  </si>
  <si>
    <t>E-904</t>
  </si>
  <si>
    <t>E-905</t>
  </si>
  <si>
    <t>E-906</t>
  </si>
  <si>
    <t>E-907</t>
  </si>
  <si>
    <t>E-908</t>
  </si>
  <si>
    <t>E-909</t>
  </si>
  <si>
    <t>Lords Homes</t>
  </si>
  <si>
    <t>L-001</t>
  </si>
  <si>
    <t>L-002</t>
  </si>
  <si>
    <t>L-005</t>
  </si>
  <si>
    <t>L-007</t>
  </si>
  <si>
    <t>L-008</t>
  </si>
  <si>
    <t>L-009</t>
  </si>
  <si>
    <t>L-010</t>
  </si>
  <si>
    <t>L-011</t>
  </si>
  <si>
    <t>L-012</t>
  </si>
  <si>
    <t>L-1001</t>
  </si>
  <si>
    <t>L-1002</t>
  </si>
  <si>
    <t>L-1005</t>
  </si>
  <si>
    <t>L-101</t>
  </si>
  <si>
    <t>L-1011</t>
  </si>
  <si>
    <t>L-1012</t>
  </si>
  <si>
    <t>L-102</t>
  </si>
  <si>
    <t>L-106</t>
  </si>
  <si>
    <t>L-107</t>
  </si>
  <si>
    <t>L-108</t>
  </si>
  <si>
    <t>L-109</t>
  </si>
  <si>
    <t>L-110</t>
  </si>
  <si>
    <t>L-1102</t>
  </si>
  <si>
    <t>L-1106</t>
  </si>
  <si>
    <t>L-1107</t>
  </si>
  <si>
    <t>L-1108</t>
  </si>
  <si>
    <t>L-111</t>
  </si>
  <si>
    <t>L-1111</t>
  </si>
  <si>
    <t>L-112</t>
  </si>
  <si>
    <t>L-1201</t>
  </si>
  <si>
    <t>L-1202</t>
  </si>
  <si>
    <t>L-1207</t>
  </si>
  <si>
    <t>L-1208</t>
  </si>
  <si>
    <t>L-1209</t>
  </si>
  <si>
    <t>L-1211</t>
  </si>
  <si>
    <t>L-1301</t>
  </si>
  <si>
    <t>L-1302</t>
  </si>
  <si>
    <t>L-1305</t>
  </si>
  <si>
    <t>L-1306</t>
  </si>
  <si>
    <t>L-1307</t>
  </si>
  <si>
    <t>L-1308</t>
  </si>
  <si>
    <t>L-1309</t>
  </si>
  <si>
    <t>L-1310</t>
  </si>
  <si>
    <t>L-1311</t>
  </si>
  <si>
    <t>L-1312</t>
  </si>
  <si>
    <t>L-1401</t>
  </si>
  <si>
    <t>L-1402</t>
  </si>
  <si>
    <t>L-1406</t>
  </si>
  <si>
    <t>L-1407</t>
  </si>
  <si>
    <t>L-1408</t>
  </si>
  <si>
    <t>L-1409</t>
  </si>
  <si>
    <t>L-1410</t>
  </si>
  <si>
    <t>L-1411</t>
  </si>
  <si>
    <t>L-1501</t>
  </si>
  <si>
    <t>L-1502</t>
  </si>
  <si>
    <t>L-1505</t>
  </si>
  <si>
    <t>L-1507</t>
  </si>
  <si>
    <t>L-1508</t>
  </si>
  <si>
    <t>L-1509</t>
  </si>
  <si>
    <t>L-1511</t>
  </si>
  <si>
    <t>L-1512</t>
  </si>
  <si>
    <t>L-1601</t>
  </si>
  <si>
    <t>L-1602</t>
  </si>
  <si>
    <t>L-1606</t>
  </si>
  <si>
    <t>L-1607</t>
  </si>
  <si>
    <t>L-1608</t>
  </si>
  <si>
    <t>L-1609</t>
  </si>
  <si>
    <t>L-1610</t>
  </si>
  <si>
    <t>L-1611</t>
  </si>
  <si>
    <t>L-1612</t>
  </si>
  <si>
    <t>L-1701</t>
  </si>
  <si>
    <t>L-1702</t>
  </si>
  <si>
    <t>L-1705</t>
  </si>
  <si>
    <t>L-1706</t>
  </si>
  <si>
    <t>L-1709</t>
  </si>
  <si>
    <t>L-1710</t>
  </si>
  <si>
    <t>L-1711</t>
  </si>
  <si>
    <t>L-1712</t>
  </si>
  <si>
    <t>L-1801</t>
  </si>
  <si>
    <t>L-1802</t>
  </si>
  <si>
    <t>L-1805</t>
  </si>
  <si>
    <t>L-1807</t>
  </si>
  <si>
    <t>L-1809</t>
  </si>
  <si>
    <t>L-1810</t>
  </si>
  <si>
    <t>L-1811</t>
  </si>
  <si>
    <t>L-1812</t>
  </si>
  <si>
    <t>L-1901</t>
  </si>
  <si>
    <t>L-1902</t>
  </si>
  <si>
    <t>L-1905</t>
  </si>
  <si>
    <t>L-1906</t>
  </si>
  <si>
    <t>L-1907</t>
  </si>
  <si>
    <t>L-1908</t>
  </si>
  <si>
    <t>L-1909</t>
  </si>
  <si>
    <t>L-1911</t>
  </si>
  <si>
    <t>L-1912</t>
  </si>
  <si>
    <t>L-201</t>
  </si>
  <si>
    <t>L-202</t>
  </si>
  <si>
    <t>L-207</t>
  </si>
  <si>
    <t>L-209</t>
  </si>
  <si>
    <t>L-210</t>
  </si>
  <si>
    <t>L-211</t>
  </si>
  <si>
    <t>L-212</t>
  </si>
  <si>
    <t>L-301</t>
  </si>
  <si>
    <t>L-302</t>
  </si>
  <si>
    <t>L-305</t>
  </si>
  <si>
    <t>L-306</t>
  </si>
  <si>
    <t>L-307</t>
  </si>
  <si>
    <t>L-309</t>
  </si>
  <si>
    <t>L-311</t>
  </si>
  <si>
    <t>L-312</t>
  </si>
  <si>
    <t>L-401</t>
  </si>
  <si>
    <t>L-402</t>
  </si>
  <si>
    <t>L-405</t>
  </si>
  <si>
    <t>L-406</t>
  </si>
  <si>
    <t>L-408</t>
  </si>
  <si>
    <t>L-409</t>
  </si>
  <si>
    <t>L-410</t>
  </si>
  <si>
    <t>L-411</t>
  </si>
  <si>
    <t>L-412</t>
  </si>
  <si>
    <t>L-501</t>
  </si>
  <si>
    <t>L-502</t>
  </si>
  <si>
    <t>L-507</t>
  </si>
  <si>
    <t>L-509</t>
  </si>
  <si>
    <t>L-510</t>
  </si>
  <si>
    <t>L-512</t>
  </si>
  <si>
    <t>L-601</t>
  </si>
  <si>
    <t>L-602</t>
  </si>
  <si>
    <t>L-605</t>
  </si>
  <si>
    <t>L-606</t>
  </si>
  <si>
    <t>L-607</t>
  </si>
  <si>
    <t>L-609</t>
  </si>
  <si>
    <t>L-611</t>
  </si>
  <si>
    <t>L-612</t>
  </si>
  <si>
    <t>L-701</t>
  </si>
  <si>
    <t>L-702</t>
  </si>
  <si>
    <t>L-707</t>
  </si>
  <si>
    <t>L-711</t>
  </si>
  <si>
    <t>L-712</t>
  </si>
  <si>
    <t>L-801</t>
  </si>
  <si>
    <t>L-802</t>
  </si>
  <si>
    <t>L-805</t>
  </si>
  <si>
    <t>L-806</t>
  </si>
  <si>
    <t>L-809</t>
  </si>
  <si>
    <t>L-810</t>
  </si>
  <si>
    <t>L-811</t>
  </si>
  <si>
    <t>L-812</t>
  </si>
  <si>
    <t>L-901</t>
  </si>
  <si>
    <t>L-902</t>
  </si>
  <si>
    <t>L-910</t>
  </si>
  <si>
    <t>L-911</t>
  </si>
  <si>
    <t>L-006</t>
  </si>
  <si>
    <t xml:space="preserve">Phase-1 </t>
  </si>
  <si>
    <t xml:space="preserve">Olive </t>
  </si>
  <si>
    <t>Under Finishing</t>
  </si>
  <si>
    <t>Proposed</t>
  </si>
  <si>
    <t>d</t>
  </si>
  <si>
    <t>S.No.</t>
  </si>
  <si>
    <t>No. of Unbooked Flats</t>
  </si>
  <si>
    <r>
      <t xml:space="preserve">Adopted Market Rates 
</t>
    </r>
    <r>
      <rPr>
        <i/>
        <sz val="11"/>
        <color theme="0"/>
        <rFont val="Calibri"/>
        <family val="2"/>
        <scheme val="minor"/>
      </rPr>
      <t>(per sq.ft.)</t>
    </r>
  </si>
  <si>
    <t>Market Value</t>
  </si>
  <si>
    <t>Crimson, Saffron</t>
  </si>
  <si>
    <t>Aqua, Edens and Lords</t>
  </si>
  <si>
    <t xml:space="preserve">PROJECT INFLOW MODEL </t>
  </si>
  <si>
    <t xml:space="preserve">% of Increment </t>
  </si>
  <si>
    <t>4. The total Value of inventory to be sold each year as shown above is in Millions Rupees.</t>
  </si>
  <si>
    <t>No. of Flats Sale in a (Phase-I)</t>
  </si>
  <si>
    <t>Summary</t>
  </si>
  <si>
    <t>Number</t>
  </si>
  <si>
    <t>Area</t>
  </si>
  <si>
    <t>Sr. No.</t>
  </si>
  <si>
    <t>Name of the Customer</t>
  </si>
  <si>
    <t>Shop No.</t>
  </si>
  <si>
    <t>Covered Area (Sqm)</t>
  </si>
  <si>
    <t>Super Area (Sqft)</t>
  </si>
  <si>
    <t>Sold/Unsold</t>
  </si>
  <si>
    <t>NOC Issued Date</t>
  </si>
  <si>
    <t>Name of the Bank/FI</t>
  </si>
  <si>
    <t>Remarks</t>
  </si>
  <si>
    <t>Re-allotted to New Customer</t>
  </si>
  <si>
    <t>New NOC Issued Date</t>
  </si>
  <si>
    <t>New Bank/FI</t>
  </si>
  <si>
    <t>New Remarks</t>
  </si>
  <si>
    <t>SG- 01</t>
  </si>
  <si>
    <t>unsold</t>
  </si>
  <si>
    <t>SG- 02</t>
  </si>
  <si>
    <t>SG- 03</t>
  </si>
  <si>
    <t>SG- 04</t>
  </si>
  <si>
    <t>SG- 05</t>
  </si>
  <si>
    <t>SG- 06</t>
  </si>
  <si>
    <t>SG- 07</t>
  </si>
  <si>
    <t>SG- 08</t>
  </si>
  <si>
    <t>SG- 09</t>
  </si>
  <si>
    <t>SG- 10</t>
  </si>
  <si>
    <t>SG- 11</t>
  </si>
  <si>
    <t>SG- 12</t>
  </si>
  <si>
    <t>SG- 13</t>
  </si>
  <si>
    <t>SG- 14</t>
  </si>
  <si>
    <t>SG- 15</t>
  </si>
  <si>
    <t>SG- 16</t>
  </si>
  <si>
    <t>SG- 17</t>
  </si>
  <si>
    <t>SG- 18</t>
  </si>
  <si>
    <t>SG- 19</t>
  </si>
  <si>
    <t>SG- 20</t>
  </si>
  <si>
    <t>SG- 21</t>
  </si>
  <si>
    <t>SG- 22</t>
  </si>
  <si>
    <t>SG- 23</t>
  </si>
  <si>
    <t>SG- 24</t>
  </si>
  <si>
    <t>SG- 25</t>
  </si>
  <si>
    <t>SG- 26</t>
  </si>
  <si>
    <t>SG- 27</t>
  </si>
  <si>
    <t>SG- 28</t>
  </si>
  <si>
    <t>SG- 29</t>
  </si>
  <si>
    <t>SG- 30</t>
  </si>
  <si>
    <t>SG- 31</t>
  </si>
  <si>
    <t>Ground Floor</t>
  </si>
  <si>
    <t>First Floor</t>
  </si>
  <si>
    <t>Covd Area in Sqm</t>
  </si>
  <si>
    <t>SF-01</t>
  </si>
  <si>
    <t>SF-02</t>
  </si>
  <si>
    <t>SF-03</t>
  </si>
  <si>
    <t>SF-04</t>
  </si>
  <si>
    <t>SF-05</t>
  </si>
  <si>
    <t>SF-06</t>
  </si>
  <si>
    <t>SF-07</t>
  </si>
  <si>
    <t>SF-08</t>
  </si>
  <si>
    <t>SF-09</t>
  </si>
  <si>
    <t>SF-10</t>
  </si>
  <si>
    <t>SF-11</t>
  </si>
  <si>
    <t>SF-12</t>
  </si>
  <si>
    <t>SF-13</t>
  </si>
  <si>
    <t>SF-14</t>
  </si>
  <si>
    <t>SF-15</t>
  </si>
  <si>
    <t>SF-16</t>
  </si>
  <si>
    <t>SF-17</t>
  </si>
  <si>
    <t>SF-18</t>
  </si>
  <si>
    <t>SF-19</t>
  </si>
  <si>
    <t>SF-20</t>
  </si>
  <si>
    <t>SF-21</t>
  </si>
  <si>
    <t>SF-22</t>
  </si>
  <si>
    <t>SF-23</t>
  </si>
  <si>
    <t>SF-24</t>
  </si>
  <si>
    <t>SF-25</t>
  </si>
  <si>
    <t>SF-26</t>
  </si>
  <si>
    <t>SF-27</t>
  </si>
  <si>
    <t>SF-28</t>
  </si>
  <si>
    <t>SF-29</t>
  </si>
  <si>
    <t>SF-30</t>
  </si>
  <si>
    <t>SF-31</t>
  </si>
  <si>
    <t>SF-32</t>
  </si>
  <si>
    <t>SF-33</t>
  </si>
  <si>
    <t>SF-34</t>
  </si>
  <si>
    <t>SF-35</t>
  </si>
  <si>
    <t>SF-36</t>
  </si>
  <si>
    <t>SF-37</t>
  </si>
  <si>
    <t>SF-38</t>
  </si>
  <si>
    <t>SF-39</t>
  </si>
  <si>
    <t>SF-40</t>
  </si>
  <si>
    <t>SF-41</t>
  </si>
  <si>
    <t>SF-42</t>
  </si>
  <si>
    <t>SF-43</t>
  </si>
  <si>
    <t>SF-44</t>
  </si>
  <si>
    <t>SF-45</t>
  </si>
  <si>
    <t>SF-46</t>
  </si>
  <si>
    <t>SF-47</t>
  </si>
  <si>
    <t>SF-48</t>
  </si>
  <si>
    <t>SF-49</t>
  </si>
  <si>
    <t>SF-50</t>
  </si>
  <si>
    <t>SF-51</t>
  </si>
  <si>
    <t>SF-52</t>
  </si>
  <si>
    <t>SF-53</t>
  </si>
  <si>
    <t>SF-54</t>
  </si>
  <si>
    <t>SF-55</t>
  </si>
  <si>
    <t>SF-56</t>
  </si>
  <si>
    <t>SF-57</t>
  </si>
  <si>
    <t>SF-58</t>
  </si>
  <si>
    <t>SF-59</t>
  </si>
  <si>
    <t>SF-60</t>
  </si>
  <si>
    <t>SF-61</t>
  </si>
  <si>
    <t>SF-62</t>
  </si>
  <si>
    <t>SF-63</t>
  </si>
  <si>
    <t>SF-64</t>
  </si>
  <si>
    <t>SF-65</t>
  </si>
  <si>
    <t>SF-66</t>
  </si>
  <si>
    <t>SF-67</t>
  </si>
  <si>
    <t>SF-68</t>
  </si>
  <si>
    <t>SF-69</t>
  </si>
  <si>
    <t>SF-70</t>
  </si>
  <si>
    <t>SF-71</t>
  </si>
  <si>
    <t>SF-72</t>
  </si>
  <si>
    <t>SF-73</t>
  </si>
  <si>
    <t>SF-74</t>
  </si>
  <si>
    <t>SF-75</t>
  </si>
  <si>
    <t>SF-76</t>
  </si>
  <si>
    <t>SF-77</t>
  </si>
  <si>
    <t>SF-78</t>
  </si>
  <si>
    <t>SF-79</t>
  </si>
  <si>
    <t>SF-80</t>
  </si>
  <si>
    <t>SF-81</t>
  </si>
  <si>
    <t>SF-82</t>
  </si>
  <si>
    <t>SF-83</t>
  </si>
  <si>
    <t>SF-84</t>
  </si>
  <si>
    <t>SF-85</t>
  </si>
  <si>
    <t>SF-86</t>
  </si>
  <si>
    <t>SF-87</t>
  </si>
  <si>
    <t>SF-88</t>
  </si>
  <si>
    <t>SF-89</t>
  </si>
  <si>
    <t>SF-90</t>
  </si>
  <si>
    <t>SF-91</t>
  </si>
  <si>
    <t>SF-92</t>
  </si>
  <si>
    <t>SF-93</t>
  </si>
  <si>
    <t>SF-94</t>
  </si>
  <si>
    <t>SF-95</t>
  </si>
  <si>
    <t>SF-96</t>
  </si>
  <si>
    <t>SF-97</t>
  </si>
  <si>
    <t>SF-98</t>
  </si>
  <si>
    <t>SF-99</t>
  </si>
  <si>
    <t>SF-100</t>
  </si>
  <si>
    <t>SF-101</t>
  </si>
  <si>
    <t>SF-102</t>
  </si>
  <si>
    <t>SF-103</t>
  </si>
  <si>
    <t>SF-104</t>
  </si>
  <si>
    <t>SF-105</t>
  </si>
  <si>
    <t>SF-106</t>
  </si>
  <si>
    <t>SF-107</t>
  </si>
  <si>
    <t>SF-108</t>
  </si>
  <si>
    <t>SF-109</t>
  </si>
  <si>
    <t>SF-110</t>
  </si>
  <si>
    <t>SF-111</t>
  </si>
  <si>
    <t>SF-112</t>
  </si>
  <si>
    <t>SF-113</t>
  </si>
  <si>
    <t>SF-114</t>
  </si>
  <si>
    <t>SF-115</t>
  </si>
  <si>
    <t>Commercial Shop</t>
  </si>
  <si>
    <t xml:space="preserve">Ground Floor </t>
  </si>
  <si>
    <t>B+G+12</t>
  </si>
  <si>
    <t>B+G+17</t>
  </si>
  <si>
    <t>B+G+19</t>
  </si>
  <si>
    <t>B+G+14</t>
  </si>
  <si>
    <t>G+4</t>
  </si>
  <si>
    <t>Ground and First Floor</t>
  </si>
  <si>
    <t xml:space="preserve">Ready to Move </t>
  </si>
  <si>
    <t>1. As per market/ industry practice and our market study, we are of the view that company will monetize the unsold units of The Essentia (Phase-I) in the micro market within One  year @ 100% in first year</t>
  </si>
  <si>
    <r>
      <t>The Essentia (Phase-I) (Flats)</t>
    </r>
    <r>
      <rPr>
        <i/>
        <sz val="11"/>
        <color theme="1"/>
        <rFont val="Calibri"/>
        <family val="2"/>
        <scheme val="minor"/>
      </rPr>
      <t xml:space="preserve">
(in Million Rupees)</t>
    </r>
  </si>
  <si>
    <t>No. of Flats Sale in a (Phase-II)</t>
  </si>
  <si>
    <r>
      <t>The Essentia (Phase-II) (Flats)</t>
    </r>
    <r>
      <rPr>
        <i/>
        <sz val="11"/>
        <color theme="1"/>
        <rFont val="Calibri"/>
        <family val="2"/>
        <scheme val="minor"/>
      </rPr>
      <t xml:space="preserve">
(in Million Rupees)</t>
    </r>
  </si>
  <si>
    <t>No. of Flats Sale in a (Phase-III)</t>
  </si>
  <si>
    <t xml:space="preserve"> % Sale of The essentia (Phase-III) </t>
  </si>
  <si>
    <t>Description</t>
  </si>
  <si>
    <t>Yet to be Incurred</t>
  </si>
  <si>
    <t>Construction Cost</t>
  </si>
  <si>
    <t>Administrative Cost</t>
  </si>
  <si>
    <t>Finance Charges</t>
  </si>
  <si>
    <t>Marketing Expenses</t>
  </si>
  <si>
    <t>Commercial shops</t>
  </si>
  <si>
    <t xml:space="preserve">Phase </t>
  </si>
  <si>
    <t>Total cost to be incurred per phase</t>
  </si>
  <si>
    <t>Total Cost Incurred as on date
(as information provided by the company)</t>
  </si>
  <si>
    <t xml:space="preserve">percentage of Super area per Phase </t>
  </si>
  <si>
    <t>Plan Approval and TDR Cost</t>
  </si>
  <si>
    <t>Total Cost for Phase-1</t>
  </si>
  <si>
    <t>Total Cost for Phase-2</t>
  </si>
  <si>
    <t>Total Cost for Phase-3</t>
  </si>
  <si>
    <t>Total Cost for Commercial Units</t>
  </si>
  <si>
    <t>Cost already Incurred</t>
  </si>
  <si>
    <t>CASHFLOWS</t>
  </si>
  <si>
    <t>Year</t>
  </si>
  <si>
    <t>CASH FLOW SUMMATION</t>
  </si>
  <si>
    <t>Earnings (Inflow)</t>
  </si>
  <si>
    <r>
      <t xml:space="preserve">TOTAL INFLOW </t>
    </r>
    <r>
      <rPr>
        <i/>
        <sz val="11"/>
        <color theme="1"/>
        <rFont val="Calibri"/>
        <family val="2"/>
        <scheme val="minor"/>
      </rPr>
      <t xml:space="preserve">(in Mn) </t>
    </r>
    <r>
      <rPr>
        <b/>
        <sz val="11"/>
        <color theme="1"/>
        <rFont val="Calibri"/>
        <family val="2"/>
        <scheme val="minor"/>
      </rPr>
      <t>(A)</t>
    </r>
  </si>
  <si>
    <t>Expenses (outgoings)</t>
  </si>
  <si>
    <t>CAPEX</t>
  </si>
  <si>
    <t>OPEX</t>
  </si>
  <si>
    <r>
      <t xml:space="preserve">TOTAL OUTFLOW </t>
    </r>
    <r>
      <rPr>
        <i/>
        <sz val="11"/>
        <color theme="1"/>
        <rFont val="Calibri"/>
        <family val="2"/>
        <scheme val="minor"/>
      </rPr>
      <t xml:space="preserve">(in Mn) </t>
    </r>
    <r>
      <rPr>
        <b/>
        <sz val="11"/>
        <color theme="1"/>
        <rFont val="Calibri"/>
        <family val="2"/>
        <scheme val="minor"/>
      </rPr>
      <t>(B)</t>
    </r>
  </si>
  <si>
    <r>
      <t xml:space="preserve">PROJECT CASHFLOW </t>
    </r>
    <r>
      <rPr>
        <i/>
        <sz val="11"/>
        <color theme="1"/>
        <rFont val="Calibri"/>
        <family val="2"/>
        <scheme val="minor"/>
      </rPr>
      <t xml:space="preserve">(in Mn) </t>
    </r>
    <r>
      <rPr>
        <b/>
        <sz val="11"/>
        <color theme="1"/>
        <rFont val="Calibri"/>
        <family val="2"/>
        <scheme val="minor"/>
      </rPr>
      <t>(A-B)</t>
    </r>
  </si>
  <si>
    <t>Debt</t>
  </si>
  <si>
    <r>
      <t xml:space="preserve">Net Present Value (NPV) </t>
    </r>
    <r>
      <rPr>
        <i/>
        <sz val="11"/>
        <color theme="1"/>
        <rFont val="Calibri"/>
        <family val="2"/>
        <scheme val="minor"/>
      </rPr>
      <t>(in Mn)</t>
    </r>
  </si>
  <si>
    <t>Equity</t>
  </si>
  <si>
    <t>Discount Rate</t>
  </si>
  <si>
    <t>WACC</t>
  </si>
  <si>
    <t>Important Notes:-</t>
  </si>
  <si>
    <t xml:space="preserve">2. The expense yet to be incurred is comprised of cost of construction for balance work and preoperative expenses (like Admin &amp; administrative cost for sale/ purchase of unsold units and also brokerage/ marketing charges). </t>
  </si>
  <si>
    <t xml:space="preserve">4. The discount rate or WACC has been taken as per the discussion with the market participants &amp; the current real estate markets scenario in India. The discount rate for the projects depends upon the reputation of the developer &amp; availability of unsold inventory &amp; Demand and supply as well. In Banking also the minimum ROI on real estate Projects is currently prevailing from minimum 12% to 18% depending upon the Project profile and creditworthiness of the developer company. Therefore we have taken minimum discount rate or ROR as 17.25% which any buyer would be expecting in present market scenario &amp; condition.      
For the calculation of discount rate we have assumed 50% of capex as debt and 50% of capex as equity @ 12.50% &amp; 22% interest rate. 22% of equity interest rate is adopted considering the risk factor involved in real estate projects in present scenario. By this WACC arrived is 17.25%.                                                                                                                                                                                                                                                                                                                                                                                         </t>
  </si>
  <si>
    <t>5. The above mentioned values are in Millions Rupees.
1 Million = Rs.10,00,000/-</t>
  </si>
  <si>
    <t>No. of Flats Sale in a (commercial)</t>
  </si>
  <si>
    <t xml:space="preserve"> % Sale of The essentia (Commercial) </t>
  </si>
  <si>
    <r>
      <t>The Essentia (Commercial)</t>
    </r>
    <r>
      <rPr>
        <i/>
        <sz val="11"/>
        <color theme="1"/>
        <rFont val="Calibri"/>
        <family val="2"/>
        <scheme val="minor"/>
      </rPr>
      <t xml:space="preserve">
(in Million Rupees)</t>
    </r>
  </si>
  <si>
    <r>
      <t>The Essentia (Phase-III) (Flats)</t>
    </r>
    <r>
      <rPr>
        <i/>
        <sz val="11"/>
        <color theme="1"/>
        <rFont val="Calibri"/>
        <family val="2"/>
        <scheme val="minor"/>
      </rPr>
      <t xml:space="preserve">
(in Million Rupees)</t>
    </r>
  </si>
  <si>
    <r>
      <t>Total Earnings Through Unbooked Residential Units</t>
    </r>
    <r>
      <rPr>
        <i/>
        <sz val="11"/>
        <color theme="1"/>
        <rFont val="Calibri"/>
        <family val="2"/>
        <scheme val="minor"/>
      </rPr>
      <t xml:space="preserve"> Phase-2</t>
    </r>
  </si>
  <si>
    <r>
      <t>Total Earnings Through Unbooked Residential Units</t>
    </r>
    <r>
      <rPr>
        <i/>
        <sz val="11"/>
        <color theme="1"/>
        <rFont val="Calibri"/>
        <family val="2"/>
        <scheme val="minor"/>
      </rPr>
      <t xml:space="preserve"> Phase-3</t>
    </r>
  </si>
  <si>
    <r>
      <t xml:space="preserve">Total Balance/Recievables of Booked Units </t>
    </r>
    <r>
      <rPr>
        <i/>
        <sz val="11"/>
        <color theme="1"/>
        <rFont val="Calibri"/>
        <family val="2"/>
        <scheme val="minor"/>
      </rPr>
      <t xml:space="preserve"> (in Mn)Phase-2</t>
    </r>
  </si>
  <si>
    <r>
      <t xml:space="preserve">Total Balance/Recievables of Booked Units </t>
    </r>
    <r>
      <rPr>
        <i/>
        <sz val="11"/>
        <color theme="1"/>
        <rFont val="Calibri"/>
        <family val="2"/>
        <scheme val="minor"/>
      </rPr>
      <t xml:space="preserve"> (in Mn)Phase-3</t>
    </r>
  </si>
  <si>
    <r>
      <t>Total Earnings Through Unbooked Residential Units</t>
    </r>
    <r>
      <rPr>
        <i/>
        <sz val="11"/>
        <color theme="1"/>
        <rFont val="Calibri"/>
        <family val="2"/>
        <scheme val="minor"/>
      </rPr>
      <t xml:space="preserve"> Commercial</t>
    </r>
  </si>
  <si>
    <r>
      <t xml:space="preserve">Total Balance/Recievables of Booked Units </t>
    </r>
    <r>
      <rPr>
        <i/>
        <sz val="11"/>
        <color theme="1"/>
        <rFont val="Calibri"/>
        <family val="2"/>
        <scheme val="minor"/>
      </rPr>
      <t xml:space="preserve"> (in Mn) Commercial</t>
    </r>
  </si>
  <si>
    <r>
      <t xml:space="preserve">Construction Cost </t>
    </r>
    <r>
      <rPr>
        <i/>
        <sz val="11"/>
        <color theme="1"/>
        <rFont val="Calibri"/>
        <family val="2"/>
        <scheme val="minor"/>
      </rPr>
      <t>(in Mn)Phase-2</t>
    </r>
  </si>
  <si>
    <r>
      <t xml:space="preserve">Construction Cost </t>
    </r>
    <r>
      <rPr>
        <i/>
        <sz val="11"/>
        <color theme="1"/>
        <rFont val="Calibri"/>
        <family val="2"/>
        <scheme val="minor"/>
      </rPr>
      <t>(in Mn)Phase-3</t>
    </r>
  </si>
  <si>
    <r>
      <t xml:space="preserve">Construction Cost </t>
    </r>
    <r>
      <rPr>
        <i/>
        <sz val="11"/>
        <color theme="1"/>
        <rFont val="Calibri"/>
        <family val="2"/>
        <scheme val="minor"/>
      </rPr>
      <t>(in Mn)Commercial</t>
    </r>
  </si>
  <si>
    <r>
      <t>Finance Charges</t>
    </r>
    <r>
      <rPr>
        <sz val="11"/>
        <color theme="1"/>
        <rFont val="Calibri"/>
        <family val="2"/>
        <scheme val="minor"/>
      </rPr>
      <t xml:space="preserve"> (In mn)Phase-2</t>
    </r>
  </si>
  <si>
    <r>
      <t>Finance Charges</t>
    </r>
    <r>
      <rPr>
        <sz val="11"/>
        <color theme="1"/>
        <rFont val="Calibri"/>
        <family val="2"/>
        <scheme val="minor"/>
      </rPr>
      <t xml:space="preserve"> (In mn)Phase-3</t>
    </r>
  </si>
  <si>
    <r>
      <t>Finance Charges</t>
    </r>
    <r>
      <rPr>
        <sz val="11"/>
        <color theme="1"/>
        <rFont val="Calibri"/>
        <family val="2"/>
        <scheme val="minor"/>
      </rPr>
      <t xml:space="preserve"> (In mn)Commercial</t>
    </r>
  </si>
  <si>
    <r>
      <t xml:space="preserve">Administrative Expenses </t>
    </r>
    <r>
      <rPr>
        <i/>
        <sz val="11"/>
        <color theme="1"/>
        <rFont val="Calibri"/>
        <family val="2"/>
        <scheme val="minor"/>
      </rPr>
      <t>(in Mn)Phase-2</t>
    </r>
  </si>
  <si>
    <r>
      <t xml:space="preserve">Administrative Expenses </t>
    </r>
    <r>
      <rPr>
        <i/>
        <sz val="11"/>
        <color theme="1"/>
        <rFont val="Calibri"/>
        <family val="2"/>
        <scheme val="minor"/>
      </rPr>
      <t>(in Mn)Phase-3</t>
    </r>
  </si>
  <si>
    <r>
      <t xml:space="preserve">Administrative Expenses </t>
    </r>
    <r>
      <rPr>
        <i/>
        <sz val="11"/>
        <color theme="1"/>
        <rFont val="Calibri"/>
        <family val="2"/>
        <scheme val="minor"/>
      </rPr>
      <t>(in Mn)Commercial</t>
    </r>
  </si>
  <si>
    <r>
      <t xml:space="preserve">Marketing Expenses </t>
    </r>
    <r>
      <rPr>
        <i/>
        <sz val="11"/>
        <color theme="1"/>
        <rFont val="Calibri"/>
        <family val="2"/>
        <scheme val="minor"/>
      </rPr>
      <t>(in Mn)Phase-2</t>
    </r>
  </si>
  <si>
    <r>
      <t xml:space="preserve">Marketing Expenses </t>
    </r>
    <r>
      <rPr>
        <i/>
        <sz val="11"/>
        <color theme="1"/>
        <rFont val="Calibri"/>
        <family val="2"/>
        <scheme val="minor"/>
      </rPr>
      <t>(in Mn)Phase-3</t>
    </r>
  </si>
  <si>
    <r>
      <t xml:space="preserve">Marketing Expenses </t>
    </r>
    <r>
      <rPr>
        <i/>
        <sz val="11"/>
        <color theme="1"/>
        <rFont val="Calibri"/>
        <family val="2"/>
        <scheme val="minor"/>
      </rPr>
      <t>(in Mn)Commercial</t>
    </r>
  </si>
  <si>
    <r>
      <t xml:space="preserve">Tower
</t>
    </r>
    <r>
      <rPr>
        <i/>
        <sz val="10"/>
        <color theme="1"/>
        <rFont val="Calibri"/>
        <family val="2"/>
        <scheme val="minor"/>
      </rPr>
      <t>(as per inventory)</t>
    </r>
  </si>
  <si>
    <r>
      <t xml:space="preserve">Tower
</t>
    </r>
    <r>
      <rPr>
        <i/>
        <sz val="10"/>
        <color theme="1"/>
        <rFont val="Calibri"/>
        <family val="2"/>
        <scheme val="minor"/>
      </rPr>
      <t>(as per map)</t>
    </r>
  </si>
  <si>
    <t>Inventory Details | The Essentia | Sector-22, Bhiwadi, Alwar By Pass Road|</t>
  </si>
  <si>
    <t>Grand Total</t>
  </si>
  <si>
    <t>Total No of Units</t>
  </si>
  <si>
    <t>F1 &amp; F2</t>
  </si>
  <si>
    <t>Commercial</t>
  </si>
  <si>
    <t>Receivables Details | The Essentia | Sector-22, Bhiwadi, Alwar By Pass Road|</t>
  </si>
  <si>
    <r>
      <t xml:space="preserve">Total Super Area 
</t>
    </r>
    <r>
      <rPr>
        <i/>
        <sz val="10"/>
        <color theme="1"/>
        <rFont val="Calibri"/>
        <family val="2"/>
        <scheme val="minor"/>
      </rPr>
      <t>(in sq.ft.)</t>
    </r>
  </si>
  <si>
    <t>Receivable</t>
  </si>
  <si>
    <t>Commercial Shop (G+1)</t>
  </si>
  <si>
    <t>Tower Wise Details | The Essentia | Sector-22, Bhiwadi, Alwar By Pass Road|</t>
  </si>
  <si>
    <t>Absorption Rate | The Essentia | Sector-22, Bhiwadi, Alwar By Pass Road|</t>
  </si>
  <si>
    <t>Unbooked inventory Valuation | The Essentia | Sector-22, Bhiwadi, Alwar By Pass Road|</t>
  </si>
  <si>
    <t>Olive,Wembley</t>
  </si>
  <si>
    <t xml:space="preserve"> % Sale of The Essentia (Phase-I) </t>
  </si>
  <si>
    <t xml:space="preserve"> % Sale of The essentia (Phase-II) </t>
  </si>
  <si>
    <t>Total Proposed Cost of Complete Project</t>
  </si>
  <si>
    <t>`</t>
  </si>
  <si>
    <r>
      <t xml:space="preserve">INFLOW </t>
    </r>
    <r>
      <rPr>
        <i/>
        <sz val="10"/>
        <color theme="1"/>
        <rFont val="Calibri"/>
        <family val="2"/>
        <scheme val="minor"/>
      </rPr>
      <t>(In Million Rupees)</t>
    </r>
  </si>
  <si>
    <r>
      <t xml:space="preserve">OUTFLOW </t>
    </r>
    <r>
      <rPr>
        <i/>
        <sz val="10"/>
        <color theme="1"/>
        <rFont val="Calibri"/>
        <family val="2"/>
        <scheme val="minor"/>
      </rPr>
      <t>(In Million Rupees)</t>
    </r>
  </si>
  <si>
    <r>
      <t xml:space="preserve">NET PROJECT CASH INFLOW </t>
    </r>
    <r>
      <rPr>
        <i/>
        <sz val="10"/>
        <color theme="1"/>
        <rFont val="Calibri"/>
        <family val="2"/>
        <scheme val="minor"/>
      </rPr>
      <t>(In Million Rupees)</t>
    </r>
  </si>
  <si>
    <r>
      <t xml:space="preserve">Net Present Value (NPV)-A </t>
    </r>
    <r>
      <rPr>
        <i/>
        <sz val="10"/>
        <color theme="1"/>
        <rFont val="Calibri"/>
        <family val="2"/>
        <scheme val="minor"/>
      </rPr>
      <t>(In Million Rupees)</t>
    </r>
  </si>
  <si>
    <r>
      <t xml:space="preserve">Round Off Value-A
</t>
    </r>
    <r>
      <rPr>
        <i/>
        <sz val="10"/>
        <color theme="1"/>
        <rFont val="Calibri"/>
        <family val="2"/>
        <scheme val="minor"/>
      </rPr>
      <t>(In Million Rupees)</t>
    </r>
  </si>
  <si>
    <t>The above mentioned values are in Millions Rupees.
1 Million = Rs.10,00,000/-</t>
  </si>
  <si>
    <r>
      <t xml:space="preserve">CASH FLOW SUMMATION
</t>
    </r>
    <r>
      <rPr>
        <i/>
        <sz val="10"/>
        <color theme="1"/>
        <rFont val="Calibri"/>
        <family val="2"/>
        <scheme val="minor"/>
      </rPr>
      <t>(in Million Rupees)</t>
    </r>
  </si>
  <si>
    <t xml:space="preserve">1. As per market/ industry practice and our market study, we are of the view that company will monetize the unsold units of The Essentia (Phase-II) in the micro market within Two years @ 70% in first year and 30% in the third year </t>
  </si>
  <si>
    <t xml:space="preserve">2. The construction for the Phase-3 is not yet Started and is proposed in the future 
</t>
  </si>
  <si>
    <t xml:space="preserve">
1. As per market/ industry practice and our market study, we are of the view that company will monetize the unsold units of The Essentia (commercial) in the micro market within Four years @ 30% in first three years and 10% in the Last year.
</t>
  </si>
  <si>
    <t>2. T The average market rate for residential flats in the subject project is varying in between Rs.5,500/-per sq.ft. to Rs.6,000/-per sq.ft. and the average rate is considered as Rs.2700/- per sq.ft. including other charges like PLC, IFMS Charges, Utility Charges. These rates are also the current prevailing market rate of the other projects present nearby</t>
  </si>
  <si>
    <t>3.  As per the general real estate market scenario, the market rate for available inventory will increase @ 2.5% for selling of balance units in Second year and Third year the developer will sold the remaining units with a premium of 5% since the project will get optimally occupied at that time.</t>
  </si>
  <si>
    <t xml:space="preserve">
4. The total Value of inventory to be sold each year as shown above is in Millions Rupees.
</t>
  </si>
  <si>
    <t xml:space="preserve">
1. As per market/ industry practice and our market study, we are of the view that company will monetize the unsold units of The Essentia (Phase-III) in the micro market within Four years @ 20% in first year, 25% in the Next two year and 30% in the Fourth year.
</t>
  </si>
  <si>
    <t>2. The construction of phase-III of the subject project is not yet started and as per our verbal discussion during    site survey the construction of phase-III will be started from next year. Since there are ample of units left in phase-II and a few in phase-I and also many flats are avaiable on resale so keeping the market reputation of the project and the builder, the average market rate of proposed flats can be assumed to be Rs.2300/- per sq.ft. including other charges like PLC, IFMS Charges, Utility Charges</t>
  </si>
  <si>
    <t xml:space="preserve">3.  As per the general real estate market scenario, the market rate for available inventory will increase @ 2.5% for selling of balance units in Second year and Third year the developer will sold the remaining units with a premium of 5% since the project will be completed and ready to move at that time.
</t>
  </si>
  <si>
    <t>2. The average market rate for residential flats in the subject project is varying in between Rs.2500/-per sq.ft. to 
Rs.3,000/-per sq.ft. and the average rate is considered as Rs.2700/- per sq.ft. including other charges like PLC, IFMS Charges, Utility Charges. These rates are also the current prevailing market rate of the other projects present nearby</t>
  </si>
  <si>
    <t>3. As per the general real estate market scenario, the market rate for available inventory will increase @ 5% for selling of balance units in second year since the project will be completed and ready to move</t>
  </si>
  <si>
    <t>Unbooked Inventory</t>
  </si>
  <si>
    <t>Recievables</t>
  </si>
  <si>
    <t>Sr.No.</t>
  </si>
  <si>
    <t>Project Phase</t>
  </si>
  <si>
    <t>Fair Value</t>
  </si>
  <si>
    <t>Realisable Value</t>
  </si>
  <si>
    <t>Distress Sale Value</t>
  </si>
  <si>
    <t>Phase-I</t>
  </si>
  <si>
    <t>Phase-II, III &amp; commercial</t>
  </si>
  <si>
    <t>Consolidated Summary| The Essentia | Sector-22, Bhiwadi, Alwar By Pass Road|</t>
  </si>
  <si>
    <t>2. The average market rate for residential flats in the subject project is varying in between Rs.2500/-per sq.ft. to Rs.3,000/-per sq.ft. and the average rate is considered as Rs.2700/- per sq.ft. including other charges like PLC, IFMS Charges, Utility Charges. These rates are also the current prevailing market rate of the other projects present nearby</t>
  </si>
  <si>
    <t>3. The total Value of inventory to be sold each year as shown above is in Millions Rupees.</t>
  </si>
  <si>
    <t>1. The above mentioned Specification and details has been taken as per the inventory list and Maps provided to us by the Bank.</t>
  </si>
  <si>
    <t>Units acc. to Approved Map</t>
  </si>
  <si>
    <t>Units acc. to Inventory</t>
  </si>
  <si>
    <t>Commercial Units</t>
  </si>
  <si>
    <t>Phase-1 Valuation</t>
  </si>
  <si>
    <t>Round off</t>
  </si>
  <si>
    <t>Land Area</t>
  </si>
  <si>
    <t>Lease deed Date</t>
  </si>
  <si>
    <t xml:space="preserve"> Net Present Value for the Phase-1, 2 &amp; Commercial</t>
  </si>
  <si>
    <t>Summary | Net Present Value (NPV) of Unbooked Units| Phase-1, 2 &amp; Commercial| Sector-22, Bhiwadi, Alwar By Pass Road|</t>
  </si>
  <si>
    <t xml:space="preserve">1. The construction of Phase-1 and commercial units of the subject project is completed whereas Phase-2 of the project is under Construction. </t>
  </si>
  <si>
    <t>2. The Phase-1 and the commercial units construction is complete
whereas Phase-3 is Under construction</t>
  </si>
  <si>
    <t>PROJECT INFLOW MODEL (Commercial)</t>
  </si>
  <si>
    <t>PROJECT INFLOW MODEL (Phase-3)</t>
  </si>
  <si>
    <t>PROJECT INFLOW MODEL (Phase-2)</t>
  </si>
  <si>
    <r>
      <t xml:space="preserve">EXPECTED REALIZABLE VALUE^ (@ ~20% less)
</t>
    </r>
    <r>
      <rPr>
        <i/>
        <sz val="10"/>
        <color theme="1"/>
        <rFont val="Calibri"/>
        <family val="2"/>
        <scheme val="minor"/>
      </rPr>
      <t>(In Million Rupees)</t>
    </r>
  </si>
  <si>
    <r>
      <t xml:space="preserve">EXPECTED DISTRESS VALUE* (@ ~30% less)
</t>
    </r>
    <r>
      <rPr>
        <i/>
        <sz val="10"/>
        <color theme="1"/>
        <rFont val="Calibri"/>
        <family val="2"/>
        <scheme val="minor"/>
      </rPr>
      <t>(In Million Rupees)</t>
    </r>
  </si>
  <si>
    <t>3. The Capital Expenditure (CAPEX) and operational expenditure (OPEX) of the project has been taken based on the total cost of project (CA certificate) which is provided by the bank and relied upon in good faithand bifurcated respectively for different Phases based on their size</t>
  </si>
  <si>
    <t>Amount</t>
  </si>
  <si>
    <t>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</si>
</sst>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 #,##0.00;[Red]&quot;₹&quot;\ \-#,##0.00"/>
    <numFmt numFmtId="44" formatCode="_ &quot;₹&quot;\ * #,##0.00_ ;_ &quot;₹&quot;\ * \-#,##0.00_ ;_ &quot;₹&quot;\ * &quot;-&quot;??_ ;_ @_ "/>
    <numFmt numFmtId="43" formatCode="_ * #,##0.00_ ;_ * \-#,##0.00_ ;_ * &quot;-&quot;??_ ;_ @_ "/>
    <numFmt numFmtId="164" formatCode="_(* #,##0_);_(* \(#,##0\);_(* &quot;-&quot;??_);_(@_)"/>
    <numFmt numFmtId="165" formatCode="[$-409]d/mmm/yy;@"/>
    <numFmt numFmtId="166" formatCode="dd/mm/yy"/>
    <numFmt numFmtId="167" formatCode="&quot;₹&quot;\ #,##0.00"/>
    <numFmt numFmtId="168" formatCode="0.0%"/>
    <numFmt numFmtId="169" formatCode="0.000"/>
    <numFmt numFmtId="170" formatCode="_(* #,##0.0_);_(* \(#,##0.0\);_(* &quot;-&quot;??_);_(@_)"/>
    <numFmt numFmtId="171" formatCode="_ [$₹-4009]\ * #,##0.00_ ;_ [$₹-4009]\ * \-#,##0.00_ ;_ [$₹-4009]\ * &quot;-&quot;??_ ;_ @_ "/>
    <numFmt numFmtId="172" formatCode="_(&quot;$&quot;* #,##0.000_);_(&quot;$&quot;* \(#,##0.000\);_(&quot;$&quot;* &quot;-&quot;??_);_(@_)"/>
    <numFmt numFmtId="173" formatCode="_ &quot;₹&quot;\ * #,##0_ ;_ &quot;₹&quot;\ * \-#,##0_ ;_ &quot;₹&quot;\ * &quot;-&quot;??_ ;_ @_ "/>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10"/>
      <color rgb="FF000000"/>
      <name val="Calibri"/>
      <family val="2"/>
    </font>
    <font>
      <b/>
      <sz val="10"/>
      <color theme="0"/>
      <name val="Calibri"/>
      <family val="2"/>
      <scheme val="minor"/>
    </font>
    <font>
      <sz val="10"/>
      <color theme="1"/>
      <name val="Calibri"/>
      <scheme val="minor"/>
    </font>
    <font>
      <sz val="10"/>
      <color rgb="FF000000"/>
      <name val="Calibri"/>
      <family val="2"/>
      <scheme val="minor"/>
    </font>
    <font>
      <b/>
      <sz val="12"/>
      <color theme="1"/>
      <name val="Calibri"/>
      <family val="2"/>
      <scheme val="minor"/>
    </font>
    <font>
      <sz val="12"/>
      <color theme="1"/>
      <name val="Calibri"/>
      <family val="2"/>
      <scheme val="minor"/>
    </font>
    <font>
      <sz val="11"/>
      <color rgb="FF000000"/>
      <name val="Calibri"/>
      <family val="2"/>
      <scheme val="minor"/>
    </font>
    <font>
      <i/>
      <sz val="11"/>
      <color theme="1"/>
      <name val="Calibri"/>
      <family val="2"/>
      <scheme val="minor"/>
    </font>
    <font>
      <sz val="10"/>
      <name val="Calibri"/>
      <family val="2"/>
      <scheme val="minor"/>
    </font>
    <font>
      <sz val="12"/>
      <color rgb="FF000000"/>
      <name val="Calibri"/>
      <family val="2"/>
    </font>
    <font>
      <i/>
      <sz val="11"/>
      <color theme="0"/>
      <name val="Calibri"/>
      <family val="2"/>
      <scheme val="minor"/>
    </font>
    <font>
      <b/>
      <sz val="11"/>
      <name val="Calibri"/>
      <family val="2"/>
      <scheme val="minor"/>
    </font>
    <font>
      <b/>
      <i/>
      <sz val="11"/>
      <color theme="1"/>
      <name val="Calibri"/>
      <family val="2"/>
      <scheme val="minor"/>
    </font>
    <font>
      <b/>
      <sz val="10"/>
      <color theme="1"/>
      <name val="Calibri"/>
      <family val="2"/>
      <scheme val="minor"/>
    </font>
    <font>
      <b/>
      <sz val="12"/>
      <color theme="0"/>
      <name val="Calibri"/>
      <family val="2"/>
      <scheme val="minor"/>
    </font>
    <font>
      <sz val="11"/>
      <name val="Calibri"/>
      <family val="2"/>
      <scheme val="minor"/>
    </font>
    <font>
      <i/>
      <sz val="10"/>
      <color theme="1"/>
      <name val="Calibri"/>
      <family val="2"/>
      <scheme val="minor"/>
    </font>
    <font>
      <sz val="11"/>
      <color rgb="FF000000"/>
      <name val="Calibri"/>
      <family val="2"/>
    </font>
    <font>
      <i/>
      <sz val="11"/>
      <color rgb="FF000000"/>
      <name val="Calibri"/>
      <family val="2"/>
      <scheme val="minor"/>
    </font>
    <font>
      <sz val="11"/>
      <color theme="0"/>
      <name val="Calibri"/>
      <family val="2"/>
    </font>
    <font>
      <sz val="8"/>
      <name val="Calibri"/>
      <family val="2"/>
      <scheme val="minor"/>
    </font>
    <font>
      <b/>
      <sz val="12"/>
      <name val="Calibri"/>
      <family val="2"/>
      <scheme val="minor"/>
    </font>
  </fonts>
  <fills count="11">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3"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s>
  <borders count="21">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03">
    <xf numFmtId="0" fontId="0" fillId="0" borderId="0" xfId="0"/>
    <xf numFmtId="0" fontId="4" fillId="0" borderId="0" xfId="0" applyFont="1"/>
    <xf numFmtId="44" fontId="5" fillId="0" borderId="0" xfId="2" applyFont="1"/>
    <xf numFmtId="0" fontId="0" fillId="0" borderId="0" xfId="0" applyAlignment="1">
      <alignment horizontal="center"/>
    </xf>
    <xf numFmtId="0" fontId="6" fillId="2" borderId="1" xfId="0" applyFont="1" applyFill="1" applyBorder="1" applyAlignment="1">
      <alignment vertical="top" wrapText="1"/>
    </xf>
    <xf numFmtId="0" fontId="4" fillId="0" borderId="2" xfId="0" applyFont="1" applyBorder="1"/>
    <xf numFmtId="0" fontId="4" fillId="0" borderId="3" xfId="0" applyFont="1" applyBorder="1"/>
    <xf numFmtId="15" fontId="4" fillId="0" borderId="3" xfId="0" applyNumberFormat="1" applyFont="1" applyBorder="1" applyAlignment="1">
      <alignment wrapText="1"/>
    </xf>
    <xf numFmtId="15" fontId="4" fillId="0" borderId="4" xfId="0" applyNumberFormat="1" applyFont="1" applyBorder="1" applyAlignment="1">
      <alignment wrapText="1"/>
    </xf>
    <xf numFmtId="0" fontId="7" fillId="0" borderId="3" xfId="0" applyFont="1" applyBorder="1"/>
    <xf numFmtId="0" fontId="4" fillId="0" borderId="5" xfId="0" applyFont="1" applyBorder="1"/>
    <xf numFmtId="15" fontId="4" fillId="0" borderId="5" xfId="0" applyNumberFormat="1" applyFont="1" applyBorder="1" applyAlignment="1">
      <alignment wrapText="1"/>
    </xf>
    <xf numFmtId="15" fontId="4" fillId="0" borderId="6" xfId="0" applyNumberFormat="1" applyFont="1" applyBorder="1" applyAlignment="1">
      <alignment wrapText="1"/>
    </xf>
    <xf numFmtId="0" fontId="0" fillId="0" borderId="3" xfId="0" applyBorder="1"/>
    <xf numFmtId="0" fontId="0" fillId="0" borderId="3" xfId="0" applyBorder="1" applyAlignment="1">
      <alignment horizontal="center"/>
    </xf>
    <xf numFmtId="0" fontId="10" fillId="0" borderId="3" xfId="0" applyFont="1" applyBorder="1" applyAlignment="1">
      <alignment horizontal="center" vertical="center"/>
    </xf>
    <xf numFmtId="0" fontId="0" fillId="0" borderId="3" xfId="0" applyBorder="1" applyAlignment="1">
      <alignment horizontal="center" vertical="center"/>
    </xf>
    <xf numFmtId="44" fontId="0" fillId="0" borderId="3" xfId="0" applyNumberFormat="1" applyBorder="1" applyAlignment="1">
      <alignment horizontal="center" vertical="center"/>
    </xf>
    <xf numFmtId="44" fontId="0" fillId="0" borderId="0" xfId="0" applyNumberFormat="1"/>
    <xf numFmtId="44" fontId="0" fillId="0" borderId="3" xfId="0" applyNumberFormat="1" applyFont="1" applyBorder="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center" vertical="center" wrapText="1"/>
    </xf>
    <xf numFmtId="0" fontId="11" fillId="0" borderId="3" xfId="0" applyFont="1" applyBorder="1" applyAlignment="1">
      <alignment horizontal="center" vertical="center"/>
    </xf>
    <xf numFmtId="1" fontId="11" fillId="0" borderId="3" xfId="0" applyNumberFormat="1" applyFont="1" applyBorder="1" applyAlignment="1">
      <alignment horizontal="center" vertical="center"/>
    </xf>
    <xf numFmtId="1" fontId="0" fillId="0" borderId="3" xfId="0" applyNumberFormat="1" applyBorder="1" applyAlignment="1">
      <alignment horizontal="center" vertical="center"/>
    </xf>
    <xf numFmtId="0" fontId="6" fillId="2" borderId="9" xfId="0" applyFont="1" applyFill="1" applyBorder="1" applyAlignment="1">
      <alignment vertical="top" wrapText="1"/>
    </xf>
    <xf numFmtId="0" fontId="6" fillId="2" borderId="8" xfId="0" applyFont="1" applyFill="1" applyBorder="1" applyAlignment="1">
      <alignment vertical="top" wrapText="1"/>
    </xf>
    <xf numFmtId="0" fontId="6" fillId="2" borderId="3" xfId="0" applyFont="1" applyFill="1" applyBorder="1" applyAlignment="1">
      <alignment wrapText="1"/>
    </xf>
    <xf numFmtId="0" fontId="6" fillId="2" borderId="10" xfId="0" applyFont="1" applyFill="1" applyBorder="1" applyAlignment="1">
      <alignment vertical="top" wrapText="1"/>
    </xf>
    <xf numFmtId="0" fontId="4" fillId="0" borderId="3" xfId="0" applyFont="1" applyBorder="1" applyAlignment="1">
      <alignment wrapText="1"/>
    </xf>
    <xf numFmtId="164" fontId="4" fillId="0" borderId="3" xfId="1" applyNumberFormat="1" applyFont="1" applyFill="1" applyBorder="1" applyAlignment="1">
      <alignment wrapText="1"/>
    </xf>
    <xf numFmtId="14" fontId="4" fillId="0" borderId="9" xfId="0" applyNumberFormat="1" applyFont="1" applyBorder="1"/>
    <xf numFmtId="0" fontId="8" fillId="0" borderId="0" xfId="0" applyFont="1"/>
    <xf numFmtId="49" fontId="4" fillId="0" borderId="3" xfId="0" applyNumberFormat="1" applyFont="1" applyBorder="1" applyAlignment="1">
      <alignment vertical="top"/>
    </xf>
    <xf numFmtId="0" fontId="4" fillId="0" borderId="3" xfId="0" applyFont="1" applyBorder="1" applyAlignment="1">
      <alignment vertical="top"/>
    </xf>
    <xf numFmtId="165" fontId="4" fillId="0" borderId="3" xfId="0" applyNumberFormat="1" applyFont="1" applyBorder="1" applyAlignment="1">
      <alignment horizontal="right" vertical="top"/>
    </xf>
    <xf numFmtId="164" fontId="4" fillId="0" borderId="3" xfId="1" applyNumberFormat="1" applyFont="1" applyFill="1" applyBorder="1" applyAlignment="1">
      <alignment horizontal="right" vertical="top"/>
    </xf>
    <xf numFmtId="0" fontId="4" fillId="0" borderId="3" xfId="0" applyFont="1" applyBorder="1" applyAlignment="1">
      <alignment horizontal="left" wrapText="1"/>
    </xf>
    <xf numFmtId="0" fontId="4" fillId="0" borderId="3" xfId="0" applyFont="1" applyBorder="1" applyAlignment="1">
      <alignment horizontal="right"/>
    </xf>
    <xf numFmtId="164" fontId="4" fillId="0" borderId="3" xfId="1" applyNumberFormat="1" applyFont="1" applyBorder="1" applyAlignment="1">
      <alignment horizontal="right" wrapText="1"/>
    </xf>
    <xf numFmtId="0" fontId="4" fillId="0" borderId="3" xfId="0" applyFont="1" applyBorder="1" applyAlignment="1" applyProtection="1">
      <alignment horizontal="left"/>
      <protection locked="0"/>
    </xf>
    <xf numFmtId="0" fontId="4" fillId="0" borderId="3" xfId="0" applyFont="1" applyBorder="1" applyAlignment="1" applyProtection="1">
      <alignment horizontal="right"/>
      <protection locked="0"/>
    </xf>
    <xf numFmtId="0" fontId="13" fillId="0" borderId="3" xfId="0" applyFont="1" applyBorder="1"/>
    <xf numFmtId="0" fontId="4" fillId="0" borderId="11" xfId="0" applyFont="1" applyBorder="1" applyAlignment="1">
      <alignment wrapText="1"/>
    </xf>
    <xf numFmtId="0" fontId="4" fillId="0" borderId="12" xfId="0" applyFont="1" applyBorder="1" applyAlignment="1">
      <alignment wrapText="1"/>
    </xf>
    <xf numFmtId="164" fontId="4" fillId="0" borderId="13" xfId="1" applyNumberFormat="1" applyFont="1" applyFill="1" applyBorder="1" applyAlignment="1">
      <alignment wrapText="1"/>
    </xf>
    <xf numFmtId="0" fontId="4" fillId="0" borderId="14" xfId="0" applyFont="1" applyBorder="1" applyAlignment="1">
      <alignment wrapText="1"/>
    </xf>
    <xf numFmtId="164" fontId="4" fillId="0" borderId="15" xfId="1" applyNumberFormat="1" applyFont="1" applyFill="1" applyBorder="1" applyAlignment="1">
      <alignment wrapText="1"/>
    </xf>
    <xf numFmtId="164" fontId="4" fillId="0" borderId="5" xfId="1" applyNumberFormat="1" applyFont="1" applyFill="1" applyBorder="1" applyAlignment="1">
      <alignment wrapText="1"/>
    </xf>
    <xf numFmtId="164" fontId="4" fillId="0" borderId="3" xfId="1" applyNumberFormat="1" applyFont="1" applyBorder="1" applyAlignment="1">
      <alignment wrapText="1"/>
    </xf>
    <xf numFmtId="0" fontId="4" fillId="5" borderId="3" xfId="0" applyFont="1" applyFill="1" applyBorder="1"/>
    <xf numFmtId="164" fontId="4" fillId="0" borderId="3" xfId="1" applyNumberFormat="1" applyFont="1" applyBorder="1" applyAlignment="1">
      <alignment horizontal="right" vertical="top"/>
    </xf>
    <xf numFmtId="164" fontId="4" fillId="0" borderId="4" xfId="1" applyNumberFormat="1" applyFont="1" applyBorder="1" applyAlignment="1">
      <alignment wrapText="1"/>
    </xf>
    <xf numFmtId="0" fontId="4" fillId="0" borderId="0" xfId="0" applyFont="1" applyAlignment="1" applyProtection="1">
      <alignment horizontal="left"/>
      <protection locked="0"/>
    </xf>
    <xf numFmtId="15" fontId="4" fillId="0" borderId="0" xfId="0" applyNumberFormat="1" applyFont="1" applyAlignment="1">
      <alignment wrapText="1"/>
    </xf>
    <xf numFmtId="164" fontId="4" fillId="0" borderId="0" xfId="1" applyNumberFormat="1" applyFont="1" applyBorder="1" applyAlignment="1">
      <alignment horizontal="right" vertical="top"/>
    </xf>
    <xf numFmtId="164" fontId="4" fillId="0" borderId="0" xfId="1" applyNumberFormat="1" applyFont="1" applyBorder="1" applyAlignment="1">
      <alignment wrapText="1"/>
    </xf>
    <xf numFmtId="0" fontId="4" fillId="0" borderId="0" xfId="0" applyFont="1" applyAlignment="1" applyProtection="1">
      <alignment horizontal="right"/>
      <protection locked="0"/>
    </xf>
    <xf numFmtId="14" fontId="4" fillId="0" borderId="3" xfId="0" applyNumberFormat="1" applyFont="1" applyBorder="1" applyAlignment="1">
      <alignment horizontal="right" vertical="top"/>
    </xf>
    <xf numFmtId="0" fontId="4" fillId="0" borderId="3" xfId="0" applyFont="1" applyBorder="1" applyProtection="1">
      <protection locked="0"/>
    </xf>
    <xf numFmtId="49" fontId="4" fillId="0" borderId="5" xfId="0" applyNumberFormat="1" applyFont="1" applyBorder="1" applyAlignment="1">
      <alignment vertical="top"/>
    </xf>
    <xf numFmtId="166" fontId="4" fillId="0" borderId="5" xfId="0" applyNumberFormat="1" applyFont="1" applyBorder="1" applyAlignment="1">
      <alignment horizontal="right" vertical="top"/>
    </xf>
    <xf numFmtId="164" fontId="4" fillId="0" borderId="5" xfId="1" applyNumberFormat="1" applyFont="1" applyBorder="1" applyAlignment="1">
      <alignment horizontal="right" vertical="top"/>
    </xf>
    <xf numFmtId="164" fontId="4" fillId="0" borderId="6" xfId="1" applyNumberFormat="1" applyFont="1" applyBorder="1" applyAlignment="1">
      <alignment horizontal="right" vertical="top"/>
    </xf>
    <xf numFmtId="164" fontId="0" fillId="0" borderId="0" xfId="0" applyNumberFormat="1"/>
    <xf numFmtId="0" fontId="0" fillId="0" borderId="3" xfId="0" applyFont="1" applyBorder="1" applyAlignment="1">
      <alignment horizontal="center" vertical="center"/>
    </xf>
    <xf numFmtId="0" fontId="14" fillId="0" borderId="3" xfId="0" applyFont="1" applyBorder="1" applyAlignment="1">
      <alignment horizontal="center" vertical="center"/>
    </xf>
    <xf numFmtId="0" fontId="10" fillId="0" borderId="3" xfId="0" applyFont="1" applyBorder="1" applyAlignment="1">
      <alignment horizontal="center"/>
    </xf>
    <xf numFmtId="0" fontId="11" fillId="0" borderId="3" xfId="0" applyFont="1" applyBorder="1" applyAlignment="1">
      <alignment vertical="center" wrapText="1"/>
    </xf>
    <xf numFmtId="0" fontId="11" fillId="0" borderId="3" xfId="0" applyFont="1" applyBorder="1" applyAlignment="1">
      <alignment horizontal="center" wrapText="1"/>
    </xf>
    <xf numFmtId="44" fontId="0" fillId="0" borderId="3" xfId="2" applyFont="1" applyBorder="1"/>
    <xf numFmtId="0" fontId="0" fillId="0" borderId="0" xfId="0" applyBorder="1" applyAlignment="1">
      <alignment horizontal="center" vertical="center"/>
    </xf>
    <xf numFmtId="44" fontId="0" fillId="0" borderId="0" xfId="0" applyNumberFormat="1" applyBorder="1" applyAlignment="1">
      <alignment horizontal="center" vertical="center"/>
    </xf>
    <xf numFmtId="0" fontId="3" fillId="0" borderId="0" xfId="0" applyFont="1" applyBorder="1" applyAlignment="1">
      <alignment horizontal="center" vertical="center"/>
    </xf>
    <xf numFmtId="44" fontId="3" fillId="0" borderId="0" xfId="0" applyNumberFormat="1" applyFont="1" applyBorder="1" applyAlignment="1">
      <alignment horizontal="center" vertical="center"/>
    </xf>
    <xf numFmtId="0" fontId="11" fillId="0" borderId="0" xfId="0" applyFont="1" applyAlignment="1">
      <alignment horizontal="left" vertical="top"/>
    </xf>
    <xf numFmtId="1" fontId="11" fillId="0" borderId="3" xfId="0" applyNumberFormat="1" applyFont="1" applyBorder="1" applyAlignment="1">
      <alignment vertical="center" wrapText="1"/>
    </xf>
    <xf numFmtId="168" fontId="11" fillId="0" borderId="3" xfId="3" applyNumberFormat="1" applyFont="1" applyBorder="1" applyAlignment="1">
      <alignment vertical="center"/>
    </xf>
    <xf numFmtId="44" fontId="1" fillId="0" borderId="3" xfId="2" applyFont="1" applyBorder="1" applyAlignment="1">
      <alignment horizontal="center" vertical="center"/>
    </xf>
    <xf numFmtId="0" fontId="11" fillId="0" borderId="0" xfId="0" applyFont="1" applyAlignment="1">
      <alignment horizontal="center" vertical="center"/>
    </xf>
    <xf numFmtId="0" fontId="18" fillId="0" borderId="1" xfId="0" applyFont="1" applyBorder="1" applyAlignment="1">
      <alignment horizontal="center"/>
    </xf>
    <xf numFmtId="0" fontId="18" fillId="0" borderId="9" xfId="0" applyFont="1" applyBorder="1" applyAlignment="1">
      <alignment horizontal="center"/>
    </xf>
    <xf numFmtId="0" fontId="18" fillId="0" borderId="8" xfId="0" applyFont="1" applyBorder="1" applyAlignment="1">
      <alignment horizontal="center"/>
    </xf>
    <xf numFmtId="0" fontId="4" fillId="0" borderId="4" xfId="0" applyFont="1" applyBorder="1"/>
    <xf numFmtId="0" fontId="4" fillId="0" borderId="7" xfId="0" applyFont="1" applyBorder="1"/>
    <xf numFmtId="0" fontId="18" fillId="0" borderId="0" xfId="0" applyFont="1"/>
    <xf numFmtId="0" fontId="18" fillId="0" borderId="7" xfId="0" applyFont="1" applyBorder="1"/>
    <xf numFmtId="0" fontId="18" fillId="0" borderId="5" xfId="0" applyFont="1" applyBorder="1"/>
    <xf numFmtId="0" fontId="18" fillId="0" borderId="6" xfId="0" applyFont="1" applyBorder="1"/>
    <xf numFmtId="0" fontId="6" fillId="2" borderId="3" xfId="0" applyFont="1" applyFill="1" applyBorder="1" applyAlignment="1">
      <alignment horizontal="center" vertical="center"/>
    </xf>
    <xf numFmtId="169" fontId="4" fillId="0" borderId="3" xfId="0" applyNumberFormat="1" applyFont="1" applyBorder="1"/>
    <xf numFmtId="0" fontId="18" fillId="0" borderId="0" xfId="0" applyFont="1" applyBorder="1"/>
    <xf numFmtId="2" fontId="4" fillId="0" borderId="3" xfId="0" applyNumberFormat="1" applyFont="1" applyBorder="1"/>
    <xf numFmtId="1" fontId="4" fillId="0" borderId="3" xfId="0" applyNumberFormat="1" applyFont="1" applyBorder="1"/>
    <xf numFmtId="0" fontId="4" fillId="0" borderId="0" xfId="0" applyFont="1" applyBorder="1"/>
    <xf numFmtId="0" fontId="4" fillId="0" borderId="0" xfId="0" applyFont="1" applyBorder="1" applyAlignment="1">
      <alignment horizontal="right"/>
    </xf>
    <xf numFmtId="169" fontId="4" fillId="0" borderId="0" xfId="0" applyNumberFormat="1" applyFont="1" applyBorder="1"/>
    <xf numFmtId="44" fontId="11" fillId="0" borderId="3" xfId="0" applyNumberFormat="1" applyFont="1" applyBorder="1"/>
    <xf numFmtId="167" fontId="11" fillId="0" borderId="3" xfId="2" applyNumberFormat="1" applyFont="1" applyBorder="1"/>
    <xf numFmtId="2" fontId="0" fillId="0" borderId="3" xfId="0" applyNumberFormat="1" applyBorder="1" applyAlignment="1">
      <alignment horizontal="center" vertical="center"/>
    </xf>
    <xf numFmtId="0" fontId="0" fillId="0" borderId="3" xfId="0" applyBorder="1" applyAlignment="1">
      <alignment vertical="center"/>
    </xf>
    <xf numFmtId="44" fontId="0" fillId="0" borderId="3" xfId="2" applyFont="1" applyBorder="1" applyAlignment="1">
      <alignment horizontal="center" vertical="center"/>
    </xf>
    <xf numFmtId="44" fontId="0" fillId="0" borderId="3" xfId="2" applyNumberFormat="1" applyFont="1" applyBorder="1" applyAlignment="1">
      <alignment horizontal="center" vertical="center"/>
    </xf>
    <xf numFmtId="0" fontId="0" fillId="6" borderId="3" xfId="0" applyFill="1" applyBorder="1" applyAlignment="1">
      <alignment horizontal="center" vertical="center" wrapText="1"/>
    </xf>
    <xf numFmtId="0" fontId="0" fillId="0" borderId="3" xfId="0" applyBorder="1" applyAlignment="1">
      <alignment horizontal="left" vertical="center" wrapText="1"/>
    </xf>
    <xf numFmtId="9" fontId="0" fillId="0" borderId="0" xfId="3" applyFont="1"/>
    <xf numFmtId="9" fontId="0" fillId="0" borderId="3" xfId="3" applyFont="1" applyBorder="1" applyAlignment="1">
      <alignment horizontal="center" vertical="center"/>
    </xf>
    <xf numFmtId="0" fontId="0" fillId="0" borderId="3" xfId="0" applyFont="1" applyBorder="1" applyAlignment="1">
      <alignment horizontal="center" vertical="center" wrapText="1"/>
    </xf>
    <xf numFmtId="0" fontId="2" fillId="7" borderId="3" xfId="0" applyFont="1" applyFill="1" applyBorder="1" applyAlignment="1">
      <alignment vertical="center"/>
    </xf>
    <xf numFmtId="0" fontId="0" fillId="7" borderId="3" xfId="0" applyFill="1" applyBorder="1" applyAlignment="1">
      <alignment vertical="center"/>
    </xf>
    <xf numFmtId="170" fontId="20" fillId="5" borderId="3" xfId="1" applyNumberFormat="1" applyFont="1" applyFill="1" applyBorder="1" applyAlignment="1">
      <alignment vertical="center"/>
    </xf>
    <xf numFmtId="171" fontId="0" fillId="0" borderId="0" xfId="0" applyNumberFormat="1"/>
    <xf numFmtId="171" fontId="0" fillId="0" borderId="3" xfId="0" applyNumberFormat="1" applyBorder="1" applyAlignment="1">
      <alignment vertical="center"/>
    </xf>
    <xf numFmtId="0" fontId="3" fillId="0" borderId="3" xfId="0" applyFont="1" applyBorder="1" applyAlignment="1">
      <alignment vertical="center"/>
    </xf>
    <xf numFmtId="9" fontId="0" fillId="0" borderId="0" xfId="0" applyNumberFormat="1"/>
    <xf numFmtId="10" fontId="0" fillId="0" borderId="0" xfId="0" applyNumberFormat="1"/>
    <xf numFmtId="10" fontId="0" fillId="0" borderId="0" xfId="3" applyNumberFormat="1" applyFont="1"/>
    <xf numFmtId="171" fontId="3" fillId="0" borderId="3" xfId="2" applyNumberFormat="1" applyFont="1" applyFill="1" applyBorder="1" applyAlignment="1">
      <alignment vertical="center"/>
    </xf>
    <xf numFmtId="8" fontId="0" fillId="0" borderId="0" xfId="0" applyNumberFormat="1"/>
    <xf numFmtId="10" fontId="0" fillId="0" borderId="3" xfId="3" applyNumberFormat="1" applyFont="1" applyFill="1" applyBorder="1" applyAlignment="1">
      <alignment vertical="center"/>
    </xf>
    <xf numFmtId="0" fontId="0" fillId="3" borderId="3" xfId="0" applyFill="1" applyBorder="1" applyAlignment="1">
      <alignment horizontal="center" vertical="center"/>
    </xf>
    <xf numFmtId="10" fontId="0" fillId="0" borderId="3" xfId="3" applyNumberFormat="1" applyFont="1" applyBorder="1" applyAlignment="1">
      <alignment horizontal="center" vertical="center"/>
    </xf>
    <xf numFmtId="44" fontId="20" fillId="5" borderId="3" xfId="2" applyFont="1" applyFill="1" applyBorder="1" applyAlignment="1">
      <alignment vertical="center"/>
    </xf>
    <xf numFmtId="0" fontId="9" fillId="0" borderId="3" xfId="0" applyFont="1" applyBorder="1" applyAlignment="1">
      <alignment horizontal="center" vertical="center"/>
    </xf>
    <xf numFmtId="0" fontId="3" fillId="9" borderId="3" xfId="0" applyFont="1" applyFill="1" applyBorder="1" applyAlignment="1">
      <alignment horizontal="center" vertical="center" wrapText="1"/>
    </xf>
    <xf numFmtId="0" fontId="3" fillId="9" borderId="3"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Border="1" applyAlignment="1">
      <alignment horizontal="center" vertical="center"/>
    </xf>
    <xf numFmtId="0" fontId="9" fillId="0" borderId="3"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10" borderId="3" xfId="0" applyFont="1" applyFill="1" applyBorder="1" applyAlignment="1">
      <alignment horizontal="center" vertical="center"/>
    </xf>
    <xf numFmtId="0" fontId="22" fillId="0" borderId="3" xfId="0" applyFont="1" applyFill="1" applyBorder="1" applyAlignment="1">
      <alignment horizontal="center" vertical="center"/>
    </xf>
    <xf numFmtId="2" fontId="22" fillId="0" borderId="3" xfId="0" applyNumberFormat="1" applyFont="1" applyFill="1" applyBorder="1" applyAlignment="1">
      <alignment horizontal="center" vertical="center"/>
    </xf>
    <xf numFmtId="0" fontId="4" fillId="0" borderId="6" xfId="0" applyFont="1" applyBorder="1"/>
    <xf numFmtId="0" fontId="4" fillId="0" borderId="5" xfId="0" applyFont="1" applyBorder="1" applyAlignment="1"/>
    <xf numFmtId="0" fontId="4" fillId="0" borderId="5" xfId="0" applyFont="1" applyFill="1" applyBorder="1"/>
    <xf numFmtId="49" fontId="4" fillId="0" borderId="5" xfId="0" applyNumberFormat="1" applyFont="1" applyFill="1" applyBorder="1" applyAlignment="1">
      <alignment vertical="top"/>
    </xf>
    <xf numFmtId="0" fontId="4" fillId="0" borderId="5" xfId="0" applyNumberFormat="1" applyFont="1" applyBorder="1" applyAlignment="1">
      <alignment vertical="top"/>
    </xf>
    <xf numFmtId="0" fontId="8" fillId="0" borderId="0" xfId="0" applyNumberFormat="1" applyFont="1" applyBorder="1"/>
    <xf numFmtId="164" fontId="4" fillId="0" borderId="5" xfId="0" applyNumberFormat="1" applyFont="1" applyBorder="1" applyAlignment="1">
      <alignment horizontal="right" vertical="top"/>
    </xf>
    <xf numFmtId="164" fontId="4" fillId="0" borderId="6" xfId="0" applyNumberFormat="1" applyFont="1" applyBorder="1" applyAlignment="1">
      <alignment horizontal="right" vertical="top"/>
    </xf>
    <xf numFmtId="0" fontId="4" fillId="0" borderId="0" xfId="0" applyNumberFormat="1" applyFont="1" applyBorder="1"/>
    <xf numFmtId="44" fontId="3"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44" fontId="9" fillId="0" borderId="3" xfId="0" applyNumberFormat="1" applyFont="1" applyBorder="1"/>
    <xf numFmtId="0" fontId="3" fillId="10" borderId="3" xfId="0" applyFont="1" applyFill="1" applyBorder="1" applyAlignment="1">
      <alignment horizontal="center" vertical="center" wrapText="1"/>
    </xf>
    <xf numFmtId="17" fontId="3" fillId="10" borderId="3" xfId="2" applyNumberFormat="1" applyFont="1" applyFill="1" applyBorder="1" applyAlignment="1">
      <alignment horizontal="center" vertical="center"/>
    </xf>
    <xf numFmtId="0" fontId="3" fillId="10" borderId="5" xfId="0" applyFont="1" applyFill="1" applyBorder="1" applyAlignment="1">
      <alignment horizontal="center" vertical="center"/>
    </xf>
    <xf numFmtId="0" fontId="3" fillId="10" borderId="5" xfId="0" applyFont="1" applyFill="1" applyBorder="1" applyAlignment="1">
      <alignment horizontal="center" vertical="center" wrapText="1"/>
    </xf>
    <xf numFmtId="0" fontId="22" fillId="0" borderId="3" xfId="0" applyFont="1" applyBorder="1" applyAlignment="1">
      <alignment horizontal="center" vertical="center"/>
    </xf>
    <xf numFmtId="2" fontId="0" fillId="0" borderId="3" xfId="0" applyNumberFormat="1" applyFont="1" applyBorder="1" applyAlignment="1">
      <alignment horizontal="center" vertical="center"/>
    </xf>
    <xf numFmtId="44" fontId="9" fillId="0" borderId="3" xfId="2" applyFont="1" applyBorder="1" applyAlignment="1">
      <alignment horizontal="center" vertical="center"/>
    </xf>
    <xf numFmtId="17" fontId="3" fillId="10" borderId="3" xfId="2" applyNumberFormat="1" applyFont="1" applyFill="1" applyBorder="1" applyAlignment="1">
      <alignment horizontal="center" vertical="top"/>
    </xf>
    <xf numFmtId="9" fontId="11" fillId="0" borderId="3" xfId="3" applyFont="1" applyBorder="1" applyAlignment="1">
      <alignment vertical="center"/>
    </xf>
    <xf numFmtId="0" fontId="3" fillId="10" borderId="3" xfId="0" applyFont="1" applyFill="1" applyBorder="1" applyAlignment="1">
      <alignment horizontal="center" vertical="center"/>
    </xf>
    <xf numFmtId="0" fontId="0" fillId="0" borderId="3" xfId="0" applyBorder="1" applyAlignment="1">
      <alignment horizontal="center" vertical="center"/>
    </xf>
    <xf numFmtId="17" fontId="3" fillId="10" borderId="3" xfId="2" applyNumberFormat="1" applyFont="1" applyFill="1" applyBorder="1" applyAlignment="1">
      <alignment horizontal="center" vertical="top"/>
    </xf>
    <xf numFmtId="0" fontId="3" fillId="0" borderId="3" xfId="0" applyFont="1" applyBorder="1" applyAlignment="1">
      <alignment vertical="center"/>
    </xf>
    <xf numFmtId="0" fontId="2" fillId="7" borderId="3" xfId="0" applyFont="1" applyFill="1" applyBorder="1" applyAlignment="1">
      <alignment vertical="center"/>
    </xf>
    <xf numFmtId="0" fontId="3" fillId="0" borderId="3" xfId="0" applyFont="1" applyBorder="1" applyAlignment="1">
      <alignment horizontal="center" vertical="center"/>
    </xf>
    <xf numFmtId="44" fontId="2" fillId="0" borderId="0" xfId="2" applyFont="1" applyFill="1" applyBorder="1" applyAlignment="1">
      <alignment vertical="top"/>
    </xf>
    <xf numFmtId="0" fontId="11" fillId="0" borderId="0" xfId="0" applyFont="1"/>
    <xf numFmtId="2" fontId="11" fillId="0" borderId="3" xfId="2" applyNumberFormat="1" applyFont="1" applyBorder="1" applyAlignment="1">
      <alignment horizontal="right" vertical="center"/>
    </xf>
    <xf numFmtId="171" fontId="3" fillId="0" borderId="3" xfId="0" applyNumberFormat="1" applyFont="1" applyBorder="1" applyAlignment="1">
      <alignment horizontal="center" vertical="center"/>
    </xf>
    <xf numFmtId="44" fontId="3" fillId="0" borderId="3" xfId="2" applyFont="1" applyBorder="1" applyAlignment="1">
      <alignment vertical="center"/>
    </xf>
    <xf numFmtId="44" fontId="11" fillId="0" borderId="0" xfId="0" applyNumberFormat="1" applyFont="1"/>
    <xf numFmtId="44" fontId="11" fillId="0" borderId="0" xfId="2" applyFont="1"/>
    <xf numFmtId="17" fontId="3" fillId="10" borderId="3" xfId="2" applyNumberFormat="1" applyFont="1" applyFill="1" applyBorder="1" applyAlignment="1">
      <alignment horizontal="center" vertical="center" wrapText="1"/>
    </xf>
    <xf numFmtId="0" fontId="11" fillId="0" borderId="0" xfId="0" applyFont="1" applyFill="1" applyAlignment="1">
      <alignment horizontal="left" vertical="top"/>
    </xf>
    <xf numFmtId="0" fontId="3" fillId="10" borderId="3" xfId="0" applyFont="1" applyFill="1" applyBorder="1" applyAlignment="1">
      <alignment horizontal="center" vertical="center"/>
    </xf>
    <xf numFmtId="0" fontId="0" fillId="0" borderId="3" xfId="0" applyBorder="1" applyAlignment="1">
      <alignment horizontal="center" vertical="center"/>
    </xf>
    <xf numFmtId="0" fontId="16" fillId="10" borderId="3" xfId="0" applyFont="1" applyFill="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170" fontId="20" fillId="10" borderId="3" xfId="1" applyNumberFormat="1" applyFont="1" applyFill="1" applyBorder="1" applyAlignment="1">
      <alignment vertical="center"/>
    </xf>
    <xf numFmtId="0" fontId="0" fillId="0" borderId="1" xfId="0" applyBorder="1" applyAlignment="1">
      <alignment horizontal="center"/>
    </xf>
    <xf numFmtId="44" fontId="0" fillId="0" borderId="9" xfId="2" applyFont="1" applyBorder="1"/>
    <xf numFmtId="44" fontId="24" fillId="0" borderId="8" xfId="2" applyFont="1" applyBorder="1"/>
    <xf numFmtId="0" fontId="5" fillId="0" borderId="3" xfId="2" applyNumberFormat="1" applyFont="1" applyBorder="1" applyAlignment="1">
      <alignment horizontal="center" vertical="center"/>
    </xf>
    <xf numFmtId="0" fontId="4" fillId="0" borderId="4" xfId="2" applyNumberFormat="1"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4" fontId="0" fillId="0" borderId="3" xfId="0" applyNumberFormat="1" applyBorder="1"/>
    <xf numFmtId="173" fontId="0" fillId="0" borderId="3" xfId="0" applyNumberFormat="1" applyBorder="1" applyAlignment="1">
      <alignment horizontal="center" vertical="center"/>
    </xf>
    <xf numFmtId="14" fontId="0" fillId="0" borderId="3" xfId="0" applyNumberFormat="1" applyFont="1" applyFill="1" applyBorder="1" applyAlignment="1">
      <alignment horizontal="center" vertical="center"/>
    </xf>
    <xf numFmtId="4" fontId="0" fillId="0" borderId="3" xfId="0" applyNumberFormat="1" applyFill="1" applyBorder="1" applyAlignment="1">
      <alignment horizontal="center" vertical="center"/>
    </xf>
    <xf numFmtId="3" fontId="0" fillId="0" borderId="3" xfId="0" applyNumberFormat="1" applyFill="1" applyBorder="1" applyAlignment="1">
      <alignment horizontal="center" vertical="center"/>
    </xf>
    <xf numFmtId="0" fontId="2" fillId="4" borderId="3" xfId="0" applyFont="1" applyFill="1" applyBorder="1"/>
    <xf numFmtId="0" fontId="0" fillId="0" borderId="0" xfId="0" applyAlignment="1">
      <alignment horizontal="center"/>
    </xf>
    <xf numFmtId="0" fontId="9" fillId="0" borderId="3" xfId="0" applyFont="1" applyBorder="1" applyAlignment="1">
      <alignment horizontal="center"/>
    </xf>
    <xf numFmtId="0" fontId="19" fillId="4" borderId="3" xfId="0" applyFont="1" applyFill="1" applyBorder="1" applyAlignment="1">
      <alignment horizontal="center" vertical="center"/>
    </xf>
    <xf numFmtId="0" fontId="3" fillId="10" borderId="3" xfId="0" applyFont="1" applyFill="1" applyBorder="1" applyAlignment="1">
      <alignment horizontal="center" vertical="center"/>
    </xf>
    <xf numFmtId="0" fontId="0" fillId="0" borderId="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12" fillId="0" borderId="3" xfId="0" applyFont="1" applyBorder="1" applyAlignment="1">
      <alignment horizontal="left" vertical="top" wrapText="1"/>
    </xf>
    <xf numFmtId="0" fontId="12" fillId="0" borderId="18"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xf>
    <xf numFmtId="0" fontId="12" fillId="0" borderId="20" xfId="0" applyFont="1" applyBorder="1" applyAlignment="1">
      <alignment horizontal="left" vertical="top"/>
    </xf>
    <xf numFmtId="0" fontId="12" fillId="0" borderId="1" xfId="0" applyFont="1" applyBorder="1" applyAlignment="1">
      <alignment horizontal="left" vertical="top"/>
    </xf>
    <xf numFmtId="0" fontId="12" fillId="0" borderId="4" xfId="0" applyFont="1" applyBorder="1" applyAlignment="1">
      <alignment horizontal="left" vertical="top" wrapText="1"/>
    </xf>
    <xf numFmtId="0" fontId="12" fillId="0" borderId="16"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2" xfId="0" applyFont="1" applyFill="1" applyBorder="1" applyAlignment="1">
      <alignment horizontal="left" vertical="top" wrapText="1"/>
    </xf>
    <xf numFmtId="0" fontId="19" fillId="4" borderId="3"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19" fillId="4" borderId="4"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3" fillId="10" borderId="5"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9" xfId="0" applyFont="1" applyFill="1" applyBorder="1" applyAlignment="1">
      <alignment horizontal="center" vertical="center"/>
    </xf>
    <xf numFmtId="17" fontId="3" fillId="10" borderId="5" xfId="2" applyNumberFormat="1" applyFont="1" applyFill="1" applyBorder="1" applyAlignment="1">
      <alignment horizontal="center" vertical="center"/>
    </xf>
    <xf numFmtId="17" fontId="3" fillId="10" borderId="17" xfId="2" applyNumberFormat="1" applyFont="1" applyFill="1" applyBorder="1" applyAlignment="1">
      <alignment horizontal="center" vertical="center"/>
    </xf>
    <xf numFmtId="17" fontId="3" fillId="10" borderId="9" xfId="2" applyNumberFormat="1" applyFont="1" applyFill="1" applyBorder="1" applyAlignment="1">
      <alignment horizontal="center" vertical="center"/>
    </xf>
    <xf numFmtId="17" fontId="3" fillId="10" borderId="6" xfId="2" applyNumberFormat="1" applyFont="1" applyFill="1" applyBorder="1" applyAlignment="1">
      <alignment horizontal="center" vertical="center"/>
    </xf>
    <xf numFmtId="17" fontId="3" fillId="10" borderId="18" xfId="2" applyNumberFormat="1" applyFont="1" applyFill="1" applyBorder="1" applyAlignment="1">
      <alignment horizontal="center" vertical="center"/>
    </xf>
    <xf numFmtId="17" fontId="3" fillId="10" borderId="7" xfId="2" applyNumberFormat="1" applyFont="1" applyFill="1" applyBorder="1" applyAlignment="1">
      <alignment horizontal="center" vertical="center"/>
    </xf>
    <xf numFmtId="0" fontId="3" fillId="0" borderId="0"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12"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3" xfId="0" applyFont="1" applyFill="1" applyBorder="1" applyAlignment="1">
      <alignment horizontal="left" vertical="top" wrapText="1"/>
    </xf>
    <xf numFmtId="0" fontId="2" fillId="4" borderId="3" xfId="0" applyFont="1" applyFill="1" applyBorder="1" applyAlignment="1">
      <alignment horizontal="center" vertical="center" wrapText="1"/>
    </xf>
    <xf numFmtId="17" fontId="3" fillId="10" borderId="3" xfId="2" applyNumberFormat="1" applyFont="1" applyFill="1" applyBorder="1" applyAlignment="1">
      <alignment horizontal="center" vertical="top"/>
    </xf>
    <xf numFmtId="17" fontId="3" fillId="10" borderId="19" xfId="2" applyNumberFormat="1" applyFont="1" applyFill="1" applyBorder="1" applyAlignment="1">
      <alignment horizontal="center" vertical="top"/>
    </xf>
    <xf numFmtId="17" fontId="3" fillId="10" borderId="0" xfId="2" applyNumberFormat="1" applyFont="1" applyFill="1" applyBorder="1" applyAlignment="1">
      <alignment horizontal="center" vertical="top"/>
    </xf>
    <xf numFmtId="0" fontId="2" fillId="4" borderId="19"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 xfId="0" applyFont="1" applyFill="1" applyBorder="1" applyAlignment="1">
      <alignment horizontal="center" vertical="center" wrapText="1"/>
    </xf>
    <xf numFmtId="17" fontId="3" fillId="10" borderId="4" xfId="2" applyNumberFormat="1" applyFont="1" applyFill="1" applyBorder="1" applyAlignment="1">
      <alignment horizontal="center" vertical="top"/>
    </xf>
    <xf numFmtId="17" fontId="3" fillId="10" borderId="16" xfId="2" applyNumberFormat="1" applyFont="1" applyFill="1" applyBorder="1" applyAlignment="1">
      <alignment horizontal="center" vertical="top"/>
    </xf>
    <xf numFmtId="17" fontId="3" fillId="10" borderId="2" xfId="2" applyNumberFormat="1" applyFont="1" applyFill="1" applyBorder="1" applyAlignment="1">
      <alignment horizontal="center" vertical="top"/>
    </xf>
    <xf numFmtId="0" fontId="12" fillId="0" borderId="6"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3" xfId="0" applyFont="1" applyBorder="1" applyAlignment="1">
      <alignment horizontal="center" vertical="center"/>
    </xf>
    <xf numFmtId="0" fontId="19" fillId="4" borderId="3" xfId="0" applyFont="1" applyFill="1" applyBorder="1" applyAlignment="1">
      <alignment horizontal="center"/>
    </xf>
    <xf numFmtId="0" fontId="3" fillId="0" borderId="3" xfId="0" applyFont="1" applyBorder="1" applyAlignment="1">
      <alignment vertical="center" wrapText="1"/>
    </xf>
    <xf numFmtId="0" fontId="2" fillId="4" borderId="3" xfId="0" applyFont="1" applyFill="1" applyBorder="1" applyAlignment="1">
      <alignment vertical="center"/>
    </xf>
    <xf numFmtId="0" fontId="0" fillId="0" borderId="3" xfId="0" applyBorder="1" applyAlignment="1">
      <alignment horizontal="center" vertical="top"/>
    </xf>
    <xf numFmtId="0" fontId="3" fillId="0" borderId="3" xfId="0" applyFont="1" applyBorder="1" applyAlignment="1">
      <alignmen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44" fontId="0" fillId="0" borderId="3" xfId="2" applyFont="1" applyBorder="1" applyAlignment="1">
      <alignment vertical="center"/>
    </xf>
    <xf numFmtId="0" fontId="0" fillId="0" borderId="3" xfId="0" applyBorder="1" applyAlignment="1">
      <alignment vertical="center" wrapText="1"/>
    </xf>
    <xf numFmtId="0" fontId="0" fillId="8" borderId="3" xfId="0" applyFill="1" applyBorder="1" applyAlignment="1">
      <alignmen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10" borderId="3" xfId="0" applyFont="1" applyFill="1" applyBorder="1" applyAlignment="1">
      <alignment vertical="center"/>
    </xf>
    <xf numFmtId="0" fontId="3" fillId="0" borderId="3" xfId="0" applyFont="1" applyBorder="1" applyAlignment="1">
      <alignment horizontal="center" vertical="center"/>
    </xf>
    <xf numFmtId="0" fontId="17" fillId="0" borderId="3" xfId="0" applyFont="1" applyFill="1" applyBorder="1" applyAlignment="1">
      <alignment horizontal="left" wrapText="1"/>
    </xf>
    <xf numFmtId="0" fontId="17" fillId="0" borderId="3" xfId="0" applyFont="1" applyFill="1" applyBorder="1" applyAlignment="1">
      <alignment horizontal="left"/>
    </xf>
    <xf numFmtId="0" fontId="17" fillId="0" borderId="3" xfId="0" applyFont="1" applyFill="1" applyBorder="1" applyAlignment="1">
      <alignment horizontal="left" vertical="center" wrapText="1"/>
    </xf>
    <xf numFmtId="0" fontId="17" fillId="0" borderId="4" xfId="0" applyFont="1" applyFill="1" applyBorder="1" applyAlignment="1">
      <alignment horizontal="left" wrapText="1"/>
    </xf>
    <xf numFmtId="0" fontId="17" fillId="0" borderId="16" xfId="0" applyFont="1" applyFill="1" applyBorder="1" applyAlignment="1">
      <alignment horizontal="left" wrapText="1"/>
    </xf>
    <xf numFmtId="0" fontId="17" fillId="0" borderId="2" xfId="0" applyFont="1" applyFill="1" applyBorder="1" applyAlignment="1">
      <alignment horizontal="left" wrapText="1"/>
    </xf>
    <xf numFmtId="44" fontId="19" fillId="4" borderId="4" xfId="2" applyFont="1" applyFill="1" applyBorder="1" applyAlignment="1">
      <alignment horizontal="center" vertical="center" wrapText="1"/>
    </xf>
    <xf numFmtId="44" fontId="19" fillId="4" borderId="16" xfId="2" applyFont="1" applyFill="1" applyBorder="1" applyAlignment="1">
      <alignment horizontal="center" vertical="center" wrapText="1"/>
    </xf>
    <xf numFmtId="44" fontId="19" fillId="4" borderId="2" xfId="2" applyFont="1" applyFill="1" applyBorder="1" applyAlignment="1">
      <alignment horizontal="center" vertical="center" wrapText="1"/>
    </xf>
    <xf numFmtId="17" fontId="3" fillId="10" borderId="3" xfId="2"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5" borderId="3" xfId="0" applyFont="1" applyFill="1" applyBorder="1" applyAlignment="1">
      <alignment vertical="center"/>
    </xf>
    <xf numFmtId="0" fontId="16" fillId="5" borderId="4" xfId="0" applyFont="1" applyFill="1" applyBorder="1" applyAlignment="1">
      <alignment horizontal="left" vertical="center"/>
    </xf>
    <xf numFmtId="0" fontId="16" fillId="5" borderId="16" xfId="0" applyFont="1" applyFill="1" applyBorder="1" applyAlignment="1">
      <alignment horizontal="left" vertical="center"/>
    </xf>
    <xf numFmtId="0" fontId="16" fillId="5" borderId="2" xfId="0" applyFont="1" applyFill="1" applyBorder="1" applyAlignment="1">
      <alignment horizontal="left"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3" fillId="0" borderId="16" xfId="0" applyFont="1" applyBorder="1" applyAlignment="1">
      <alignment horizontal="center" vertical="center"/>
    </xf>
    <xf numFmtId="0" fontId="3" fillId="10" borderId="3" xfId="0" applyFont="1" applyFill="1" applyBorder="1" applyAlignment="1">
      <alignment horizontal="left" vertical="top" wrapText="1"/>
    </xf>
    <xf numFmtId="0" fontId="11" fillId="5" borderId="4" xfId="0" applyFont="1" applyFill="1" applyBorder="1" applyAlignment="1">
      <alignment horizontal="center"/>
    </xf>
    <xf numFmtId="0" fontId="11" fillId="5" borderId="16" xfId="0" applyFont="1" applyFill="1" applyBorder="1" applyAlignment="1">
      <alignment horizontal="center"/>
    </xf>
    <xf numFmtId="0" fontId="11" fillId="5" borderId="2" xfId="0" applyFont="1" applyFill="1" applyBorder="1" applyAlignment="1">
      <alignment horizontal="center"/>
    </xf>
    <xf numFmtId="0" fontId="3" fillId="10" borderId="3" xfId="0" applyFont="1" applyFill="1" applyBorder="1" applyAlignment="1">
      <alignment horizontal="left" vertical="top"/>
    </xf>
    <xf numFmtId="0" fontId="16" fillId="5" borderId="3" xfId="0" applyFont="1" applyFill="1" applyBorder="1" applyAlignment="1">
      <alignment horizontal="center" vertical="top"/>
    </xf>
    <xf numFmtId="0" fontId="23" fillId="0" borderId="3" xfId="0" applyFont="1" applyBorder="1" applyAlignment="1">
      <alignment horizontal="left" wrapText="1"/>
    </xf>
    <xf numFmtId="0" fontId="23" fillId="0" borderId="3" xfId="0" applyFont="1" applyBorder="1" applyAlignment="1">
      <alignment horizontal="left"/>
    </xf>
    <xf numFmtId="172" fontId="11" fillId="0" borderId="3" xfId="2" applyNumberFormat="1" applyFont="1" applyBorder="1" applyAlignment="1">
      <alignment horizontal="center" vertical="top"/>
    </xf>
    <xf numFmtId="0" fontId="11" fillId="0" borderId="3" xfId="0" applyFont="1" applyBorder="1" applyAlignment="1">
      <alignment horizontal="center"/>
    </xf>
    <xf numFmtId="0" fontId="3" fillId="0" borderId="3" xfId="0" applyFont="1" applyBorder="1" applyAlignment="1">
      <alignment horizontal="left" vertical="center" wrapText="1"/>
    </xf>
    <xf numFmtId="44" fontId="11" fillId="0" borderId="3" xfId="2" applyFont="1" applyBorder="1" applyAlignment="1">
      <alignment horizontal="center"/>
    </xf>
    <xf numFmtId="0" fontId="19" fillId="4" borderId="20" xfId="0" applyFont="1" applyFill="1" applyBorder="1" applyAlignment="1">
      <alignment horizontal="center" vertical="center"/>
    </xf>
    <xf numFmtId="0" fontId="0" fillId="0" borderId="3" xfId="0" applyBorder="1" applyAlignment="1">
      <alignment horizontal="center"/>
    </xf>
    <xf numFmtId="0" fontId="26" fillId="10" borderId="3"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2">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scheme val="minor"/>
      </font>
      <alignment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textRotation="0" wrapText="0" indent="0" justifyLastLine="0" shrinkToFit="0" readingOrder="0"/>
    </dxf>
    <dxf>
      <border>
        <bottom style="thin">
          <color indexed="64"/>
        </bottom>
      </border>
    </dxf>
    <dxf>
      <font>
        <b/>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numFmt numFmtId="0" formatCode="General"/>
      <border diagonalUp="0" diagonalDown="0" outline="0">
        <left/>
        <right/>
        <top/>
        <bottom/>
      </border>
    </dxf>
    <dxf>
      <font>
        <b val="0"/>
        <i val="0"/>
        <strike val="0"/>
        <condense val="0"/>
        <extend val="0"/>
        <outline val="0"/>
        <shadow val="0"/>
        <u val="none"/>
        <vertAlign val="baseline"/>
        <sz val="10"/>
        <color theme="1"/>
        <name val="Calibri"/>
        <scheme val="minor"/>
      </font>
      <numFmt numFmtId="0" formatCode="General"/>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6" formatCode="dd/mm/yy"/>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166" formatCode="dd/mm/yy"/>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3" tint="-0.249977111117893"/>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Calibri"/>
        <scheme val="minor"/>
      </font>
      <numFmt numFmtId="0" formatCode="General"/>
      <border diagonalUp="0" diagonalDown="0" outline="0">
        <left/>
        <right/>
        <top/>
        <bottom/>
      </border>
    </dxf>
    <dxf>
      <font>
        <b val="0"/>
        <i val="0"/>
        <strike val="0"/>
        <condense val="0"/>
        <extend val="0"/>
        <outline val="0"/>
        <shadow val="0"/>
        <u val="none"/>
        <vertAlign val="baseline"/>
        <sz val="10"/>
        <color rgb="FF000000"/>
        <name val="Calibri"/>
        <scheme val="minor"/>
      </font>
      <numFmt numFmtId="0" formatCode="General"/>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relative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164" formatCode="_(* #,##0_);_(* \(#,##0\);_(* &quot;-&quot;??_);_(@_)"/>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6" formatCode="dd/mm/yy"/>
      <alignment horizontal="righ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166" formatCode="dd/mm/yy"/>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scheme val="minor"/>
      </font>
    </dxf>
    <dxf>
      <border outline="0">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3" tint="-0.249977111117893"/>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border diagonalUp="0" diagonalDown="0" outline="0">
        <left style="thin">
          <color indexed="64"/>
        </left>
        <right/>
        <top style="thin">
          <color indexed="64"/>
        </top>
        <bottom/>
      </border>
    </dxf>
    <dxf>
      <font>
        <strike val="0"/>
        <outline val="0"/>
        <shadow val="0"/>
        <u val="none"/>
        <vertAlign val="baseline"/>
        <sz val="10"/>
        <color theme="1"/>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style="thin">
          <color indexed="64"/>
        </left>
        <right style="thin">
          <color indexed="64"/>
        </right>
        <top style="thin">
          <color indexed="64"/>
        </top>
        <bottom/>
      </border>
    </dxf>
    <dxf>
      <font>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border diagonalUp="0" diagonalDown="0" outline="0">
        <left/>
        <right style="thin">
          <color indexed="64"/>
        </right>
        <top style="thin">
          <color indexed="64"/>
        </top>
        <bottom/>
      </border>
    </dxf>
    <dxf>
      <font>
        <strike val="0"/>
        <outline val="0"/>
        <shadow val="0"/>
        <u val="none"/>
        <vertAlign val="baseline"/>
        <sz val="10"/>
        <color theme="1"/>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3" tint="-0.249977111117893"/>
        </patternFill>
      </fill>
      <alignment horizontal="general" vertical="top" textRotation="0" wrapText="1" indent="0" justifyLastLine="0" shrinkToFit="0" readingOrder="0"/>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jeshwar.aheria/AppData/Local/Microsoft/Windows/INetCache/Content.Outlook/SPFOC5X5/Inventory%20data%20As%20on%2031.12.2019%20of%20Project%20The%20Essentia(Bhiwad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se I (S&amp;C)"/>
      <sheetName val="Phase II (O&amp;W) "/>
      <sheetName val="Phase III (L,A&amp;Eden) "/>
      <sheetName val="Commercial"/>
      <sheetName val="Inventory data As on 31.12"/>
    </sheetNames>
    <sheetDataSet>
      <sheetData sheetId="0"/>
      <sheetData sheetId="1"/>
      <sheetData sheetId="2"/>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CD7A99F-1C58-4077-AA1A-E83DF371E0C2}" name="Table4" displayName="Table4" ref="C5:E12" totalsRowShown="0" headerRowDxfId="141" dataDxfId="139" headerRowBorderDxfId="140" tableBorderDxfId="138" totalsRowBorderDxfId="137">
  <autoFilter ref="C5:E12" xr:uid="{BCD7A99F-1C58-4077-AA1A-E83DF371E0C2}"/>
  <tableColumns count="3">
    <tableColumn id="1" xr3:uid="{F122E46C-B0ED-4A3C-9D7D-BC4D393E9E27}" name="Tower" dataDxfId="136"/>
    <tableColumn id="2" xr3:uid="{CE69D3A1-6FAB-4A04-A095-BD463C9C4E5A}" name="Units acc. to Approved Map" dataDxfId="135"/>
    <tableColumn id="3" xr3:uid="{8EECEAA9-BAED-4FD7-B72D-02B5D2D48128}" name="Units acc. to Inventory" dataDxfId="13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9" displayName="Table39" ref="B2:O443" totalsRowCount="1" headerRowDxfId="133" dataDxfId="131" headerRowBorderDxfId="132" tableBorderDxfId="130" totalsRowBorderDxfId="129">
  <autoFilter ref="B2:O442" xr:uid="{00000000-0009-0000-0100-000001000000}"/>
  <sortState xmlns:xlrd2="http://schemas.microsoft.com/office/spreadsheetml/2017/richdata2" ref="B3:O442">
    <sortCondition ref="B2:B442"/>
  </sortState>
  <tableColumns count="14">
    <tableColumn id="1" xr3:uid="{00000000-0010-0000-0000-000001000000}" name="SL.NO." dataDxfId="128" totalsRowDxfId="127"/>
    <tableColumn id="2" xr3:uid="{00000000-0010-0000-0000-000002000000}" name="CUSTOMER NAME" dataDxfId="126" totalsRowDxfId="125"/>
    <tableColumn id="3" xr3:uid="{00000000-0010-0000-0000-000003000000}" name="BLOCK/Tower No." dataDxfId="124" totalsRowDxfId="123"/>
    <tableColumn id="4" xr3:uid="{00000000-0010-0000-0000-000004000000}" name="UNIT NO." dataDxfId="122" totalsRowDxfId="121"/>
    <tableColumn id="5" xr3:uid="{00000000-0010-0000-0000-000005000000}" name="UNIT AREA (SQ. FT)" dataDxfId="120" totalsRowDxfId="119"/>
    <tableColumn id="6" xr3:uid="{00000000-0010-0000-0000-000006000000}" name="Application/ Sold/ Unsold" dataDxfId="118" totalsRowDxfId="117"/>
    <tableColumn id="12" xr3:uid="{00000000-0010-0000-0000-00000C000000}" name="Eligible for NOC Charges (Y/N)" dataDxfId="116" totalsRowDxfId="115"/>
    <tableColumn id="13" xr3:uid="{00000000-0010-0000-0000-00000D000000}" name="NOC Charges Y, them amount to be received " dataDxfId="114" totalsRowDxfId="113"/>
    <tableColumn id="14" xr3:uid="{00000000-0010-0000-0000-00000E000000}" name="NOC Charges received (Y/N)" dataDxfId="112" totalsRowDxfId="111"/>
    <tableColumn id="7" xr3:uid="{00000000-0010-0000-0000-000007000000}" name="DATE OF BOOKING/ SALE AGREEMENT" dataDxfId="110" totalsRowDxfId="109"/>
    <tableColumn id="8" xr3:uid="{00000000-0010-0000-0000-000008000000}" name="AGREEMENT VALUE OF UNIT" totalsRowFunction="custom" dataDxfId="108" totalsRowDxfId="107">
      <totalsRowFormula>SUM(Table39[AGREEMENT VALUE OF UNIT])</totalsRowFormula>
    </tableColumn>
    <tableColumn id="9" xr3:uid="{00000000-0010-0000-0000-000009000000}" name="AMOUNT RECEIVED TILL DATE" totalsRowFunction="custom" dataDxfId="106" totalsRowDxfId="105">
      <totalsRowFormula>SUM(Table39[AMOUNT RECEIVED TILL DATE])</totalsRowFormula>
    </tableColumn>
    <tableColumn id="10" xr3:uid="{00000000-0010-0000-0000-00000A000000}" name="NAME OF FINANCIAL INSTITUTION FOR HOME LOAN" dataDxfId="104" totalsRowDxfId="103"/>
    <tableColumn id="15" xr3:uid="{00000000-0010-0000-0000-00000F000000}" name="DATE OF NOC" dataDxfId="102" totalsRowDxfId="10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11" displayName="Table311" ref="B3:P814" totalsRowCount="1" headerRowDxfId="100" dataDxfId="98" headerRowBorderDxfId="99" tableBorderDxfId="97" totalsRowBorderDxfId="96">
  <autoFilter ref="B3:P813" xr:uid="{00000000-0009-0000-0100-000002000000}"/>
  <tableColumns count="15">
    <tableColumn id="1" xr3:uid="{00000000-0010-0000-0100-000001000000}" name="SL.NO." dataDxfId="95" totalsRowDxfId="94"/>
    <tableColumn id="2" xr3:uid="{00000000-0010-0000-0100-000002000000}" name="CUSTOMER NAME" dataDxfId="93" totalsRowDxfId="92"/>
    <tableColumn id="3" xr3:uid="{00000000-0010-0000-0100-000003000000}" name="BLOCK/Tower No." dataDxfId="91" totalsRowDxfId="90"/>
    <tableColumn id="4" xr3:uid="{00000000-0010-0000-0100-000004000000}" name="UNIT NO." dataDxfId="89" totalsRowDxfId="88"/>
    <tableColumn id="5" xr3:uid="{00000000-0010-0000-0100-000005000000}" name="UNIT AREA (SQ. FT)" dataDxfId="87" totalsRowDxfId="86"/>
    <tableColumn id="6" xr3:uid="{00000000-0010-0000-0100-000006000000}" name="Application/Sold/ Unsold" dataDxfId="85" totalsRowDxfId="84"/>
    <tableColumn id="12" xr3:uid="{00000000-0010-0000-0100-00000C000000}" name="Eligible for NOC Charges (Y/N)" dataDxfId="83" totalsRowDxfId="82"/>
    <tableColumn id="13" xr3:uid="{00000000-0010-0000-0100-00000D000000}" name="NOC Charges Y, them amount to be received " dataDxfId="81" totalsRowDxfId="80"/>
    <tableColumn id="14" xr3:uid="{00000000-0010-0000-0100-00000E000000}" name="NOC Charges received (Y/N)" dataDxfId="79" totalsRowDxfId="78"/>
    <tableColumn id="7" xr3:uid="{00000000-0010-0000-0100-000007000000}" name="DATE OF BOOKING/ SALE AGREEMENT" dataDxfId="77" totalsRowDxfId="76"/>
    <tableColumn id="8" xr3:uid="{00000000-0010-0000-0100-000008000000}" name="AGREEMENT VALUE OF UNIT" totalsRowFunction="custom" dataDxfId="75" totalsRowDxfId="74" dataCellStyle="Comma">
      <totalsRowFormula>SUM(Table311[AGREEMENT VALUE OF UNIT])</totalsRowFormula>
    </tableColumn>
    <tableColumn id="9" xr3:uid="{00000000-0010-0000-0100-000009000000}" name="AMOUNT RECEIVED TILL DATE" totalsRowFunction="custom" dataDxfId="73" totalsRowDxfId="72" dataCellStyle="Comma">
      <totalsRowFormula>SUM(Table311[AMOUNT RECEIVED TILL DATE])</totalsRowFormula>
    </tableColumn>
    <tableColumn id="10" xr3:uid="{00000000-0010-0000-0100-00000A000000}" name="NAME OF FINANCIAL INSTITUTION FOR HOME LOAN" dataDxfId="71" totalsRowDxfId="70" dataCellStyle="Comma"/>
    <tableColumn id="15" xr3:uid="{00000000-0010-0000-0100-00000F000000}" name="DATE OF NOC" dataDxfId="69" totalsRowDxfId="68"/>
    <tableColumn id="11" xr3:uid="{00000000-0010-0000-0100-00000B000000}" name="Column1" dataDxfId="67" totalsRowDxfId="66">
      <calculatedColumnFormula>VLOOKUP(Table311[[#This Row],[UNIT NO.]],[1]!Table35711[[#Headers],[#Data],[Unit '#]:[Application/Sold/ Unsold]],7,0)</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3" displayName="Table3" ref="B3:P434" totalsRowCount="1" headerRowDxfId="65" dataDxfId="63" headerRowBorderDxfId="64" tableBorderDxfId="62" totalsRowBorderDxfId="61">
  <autoFilter ref="B3:P433" xr:uid="{00000000-0009-0000-0100-000005000000}"/>
  <tableColumns count="15">
    <tableColumn id="1" xr3:uid="{00000000-0010-0000-0200-000001000000}" name="SL.NO." dataDxfId="60" totalsRowDxfId="59"/>
    <tableColumn id="2" xr3:uid="{00000000-0010-0000-0200-000002000000}" name="CUSTOMER NAME" dataDxfId="58" totalsRowDxfId="57"/>
    <tableColumn id="3" xr3:uid="{00000000-0010-0000-0200-000003000000}" name="BLOCK/Tower No." dataDxfId="56" totalsRowDxfId="55"/>
    <tableColumn id="4" xr3:uid="{00000000-0010-0000-0200-000004000000}" name="UNIT NO." dataDxfId="54" totalsRowDxfId="53"/>
    <tableColumn id="5" xr3:uid="{00000000-0010-0000-0200-000005000000}" name="UNIT AREA (SQ. FT)" dataDxfId="52" totalsRowDxfId="51"/>
    <tableColumn id="6" xr3:uid="{00000000-0010-0000-0200-000006000000}" name="Application/Sold/ Unsold" dataDxfId="50" totalsRowDxfId="49"/>
    <tableColumn id="12" xr3:uid="{00000000-0010-0000-0200-00000C000000}" name="Eligible for NOC Charges (Y/N)" dataDxfId="48" totalsRowDxfId="47"/>
    <tableColumn id="13" xr3:uid="{00000000-0010-0000-0200-00000D000000}" name="NOC Charges Y, them amount to be received " dataDxfId="46" totalsRowDxfId="45"/>
    <tableColumn id="14" xr3:uid="{00000000-0010-0000-0200-00000E000000}" name="NOC Charges received (Y/N)" dataDxfId="44" totalsRowDxfId="43"/>
    <tableColumn id="7" xr3:uid="{00000000-0010-0000-0200-000007000000}" name="DATE OF BOOKING/ SALE AGREEMENT" dataDxfId="42" totalsRowDxfId="41"/>
    <tableColumn id="8" xr3:uid="{00000000-0010-0000-0200-000008000000}" name="AGREEMENT VALUE OF UNIT" totalsRowFunction="custom" dataDxfId="40" totalsRowDxfId="39" dataCellStyle="Comma">
      <totalsRowFormula>SUM(Table3[AGREEMENT VALUE OF UNIT])</totalsRowFormula>
    </tableColumn>
    <tableColumn id="9" xr3:uid="{00000000-0010-0000-0200-000009000000}" name="AMOUNT RECEIVED TILL DATE" totalsRowFunction="custom" dataDxfId="38" totalsRowDxfId="37" dataCellStyle="Comma">
      <totalsRowFormula>SUM(Table3[AMOUNT RECEIVED TILL DATE])</totalsRowFormula>
    </tableColumn>
    <tableColumn id="10" xr3:uid="{00000000-0010-0000-0200-00000A000000}" name="NAME OF FINANCIAL INSTITUTION FOR HOME LOAN" dataDxfId="36" totalsRowDxfId="35" dataCellStyle="Comma"/>
    <tableColumn id="15" xr3:uid="{00000000-0010-0000-0200-00000F000000}" name="DATE OF NOC" dataDxfId="34" totalsRowDxfId="33"/>
    <tableColumn id="11" xr3:uid="{00000000-0010-0000-0200-00000B000000}" name="Column1" dataDxfId="32" totalsRowDxfId="31">
      <calculatedColumnFormula>VLOOKUP(Table3[[#This Row],[UNIT NO.]],[1]!Table357[[#Headers],[#Data],[Unit '#]:[Application/Sold/ Unsold]],7,0)</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56" displayName="Table1356" ref="B1:D6" totalsRowShown="0" headerRowDxfId="30" dataDxfId="28" headerRowBorderDxfId="29" tableBorderDxfId="27" totalsRowBorderDxfId="26">
  <autoFilter ref="B1:D6" xr:uid="{00000000-0009-0000-0100-000003000000}"/>
  <tableColumns count="3">
    <tableColumn id="1" xr3:uid="{00000000-0010-0000-0300-000001000000}" name="Summary" dataDxfId="25"/>
    <tableColumn id="2" xr3:uid="{00000000-0010-0000-0300-000002000000}" name="Number" dataDxfId="24"/>
    <tableColumn id="3" xr3:uid="{00000000-0010-0000-0300-000003000000}" name="Area" dataDxfId="2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F12"/>
  <sheetViews>
    <sheetView workbookViewId="0">
      <selection activeCell="E10" sqref="E10"/>
    </sheetView>
  </sheetViews>
  <sheetFormatPr defaultRowHeight="15" x14ac:dyDescent="0.25"/>
  <cols>
    <col min="3" max="3" width="10.85546875" customWidth="1"/>
    <col min="4" max="4" width="28" customWidth="1"/>
    <col min="5" max="5" width="24.28515625" bestFit="1" customWidth="1"/>
    <col min="6" max="6" width="21" bestFit="1" customWidth="1"/>
  </cols>
  <sheetData>
    <row r="4" spans="2:6" x14ac:dyDescent="0.25">
      <c r="B4" t="s">
        <v>0</v>
      </c>
      <c r="C4" s="3"/>
      <c r="D4" s="3"/>
    </row>
    <row r="5" spans="2:6" x14ac:dyDescent="0.25">
      <c r="C5" s="177" t="s">
        <v>1</v>
      </c>
      <c r="D5" s="178" t="s">
        <v>3099</v>
      </c>
      <c r="E5" s="179" t="s">
        <v>3100</v>
      </c>
      <c r="F5" s="2"/>
    </row>
    <row r="6" spans="2:6" x14ac:dyDescent="0.25">
      <c r="C6" s="175" t="s">
        <v>2</v>
      </c>
      <c r="D6" s="180">
        <v>432</v>
      </c>
      <c r="E6" s="181">
        <v>431</v>
      </c>
      <c r="F6" s="2"/>
    </row>
    <row r="7" spans="2:6" x14ac:dyDescent="0.25">
      <c r="C7" s="175" t="s">
        <v>3</v>
      </c>
      <c r="D7" s="172">
        <v>360</v>
      </c>
      <c r="E7" s="174">
        <v>360</v>
      </c>
    </row>
    <row r="8" spans="2:6" x14ac:dyDescent="0.25">
      <c r="C8" s="175" t="s">
        <v>4</v>
      </c>
      <c r="D8" s="172">
        <v>115</v>
      </c>
      <c r="E8" s="174">
        <v>115</v>
      </c>
    </row>
    <row r="9" spans="2:6" x14ac:dyDescent="0.25">
      <c r="C9" s="175" t="s">
        <v>5</v>
      </c>
      <c r="D9" s="172">
        <v>80</v>
      </c>
      <c r="E9" s="174">
        <v>80</v>
      </c>
    </row>
    <row r="10" spans="2:6" x14ac:dyDescent="0.25">
      <c r="C10" s="175" t="s">
        <v>6</v>
      </c>
      <c r="D10" s="172">
        <v>195</v>
      </c>
      <c r="E10" s="174">
        <v>116</v>
      </c>
    </row>
    <row r="11" spans="2:6" x14ac:dyDescent="0.25">
      <c r="C11" s="175" t="s">
        <v>7</v>
      </c>
      <c r="D11" s="172">
        <v>380</v>
      </c>
      <c r="E11" s="174">
        <v>379</v>
      </c>
    </row>
    <row r="12" spans="2:6" x14ac:dyDescent="0.25">
      <c r="C12" s="182" t="s">
        <v>8</v>
      </c>
      <c r="D12" s="183">
        <v>199</v>
      </c>
      <c r="E12" s="184">
        <v>199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D6:AC26"/>
  <sheetViews>
    <sheetView tabSelected="1" topLeftCell="I1" workbookViewId="0">
      <selection activeCell="T12" sqref="T12"/>
    </sheetView>
  </sheetViews>
  <sheetFormatPr defaultRowHeight="15" x14ac:dyDescent="0.25"/>
  <cols>
    <col min="1" max="3" width="9.140625" style="75"/>
    <col min="4" max="4" width="30.140625" style="75" customWidth="1"/>
    <col min="5" max="5" width="18.5703125" style="75" customWidth="1"/>
    <col min="6" max="6" width="17.28515625" style="75" customWidth="1"/>
    <col min="7" max="7" width="16" style="75" customWidth="1"/>
    <col min="8" max="8" width="15.5703125" style="75" customWidth="1"/>
    <col min="9" max="9" width="9.140625" style="75"/>
    <col min="10" max="10" width="29.85546875" style="75" customWidth="1"/>
    <col min="11" max="11" width="18.5703125" style="75" customWidth="1"/>
    <col min="12" max="12" width="17.28515625" style="75" customWidth="1"/>
    <col min="13" max="13" width="16" style="75" customWidth="1"/>
    <col min="14" max="14" width="15.5703125" style="75" customWidth="1"/>
    <col min="15" max="15" width="9.140625" style="75"/>
    <col min="16" max="16" width="28.42578125" style="75" customWidth="1"/>
    <col min="17" max="17" width="18.5703125" style="75" customWidth="1"/>
    <col min="18" max="18" width="17.28515625" style="75" customWidth="1"/>
    <col min="19" max="19" width="16" style="75" customWidth="1"/>
    <col min="20" max="20" width="16.85546875" style="75" bestFit="1" customWidth="1"/>
    <col min="21" max="23" width="16.85546875" style="75" customWidth="1"/>
    <col min="24" max="24" width="9.140625" style="75"/>
    <col min="25" max="25" width="28.42578125" style="75" customWidth="1"/>
    <col min="26" max="26" width="18.5703125" style="75" customWidth="1"/>
    <col min="27" max="27" width="17.28515625" style="75" customWidth="1"/>
    <col min="28" max="28" width="16" style="75" customWidth="1"/>
    <col min="29" max="29" width="16.85546875" style="75" bestFit="1" customWidth="1"/>
    <col min="30" max="16384" width="9.140625" style="75"/>
  </cols>
  <sheetData>
    <row r="6" spans="4:29" ht="15" customHeight="1" x14ac:dyDescent="0.25">
      <c r="D6" s="239" t="s">
        <v>2806</v>
      </c>
      <c r="E6" s="240"/>
      <c r="F6" s="240"/>
      <c r="G6" s="240"/>
      <c r="H6" s="241"/>
      <c r="J6" s="239" t="s">
        <v>3112</v>
      </c>
      <c r="K6" s="240"/>
      <c r="L6" s="240"/>
      <c r="M6" s="240"/>
      <c r="N6" s="241"/>
      <c r="P6" s="237" t="s">
        <v>3111</v>
      </c>
      <c r="Q6" s="238"/>
      <c r="R6" s="238"/>
      <c r="S6" s="238"/>
      <c r="T6" s="238"/>
      <c r="U6" s="238"/>
      <c r="V6" s="238"/>
      <c r="W6" s="238"/>
      <c r="Y6" s="233" t="s">
        <v>3110</v>
      </c>
      <c r="Z6" s="233"/>
      <c r="AA6" s="233"/>
      <c r="AB6" s="233"/>
      <c r="AC6" s="233"/>
    </row>
    <row r="7" spans="4:29" x14ac:dyDescent="0.25">
      <c r="D7" s="216" t="s">
        <v>899</v>
      </c>
      <c r="E7" s="242" t="s">
        <v>900</v>
      </c>
      <c r="F7" s="243"/>
      <c r="G7" s="243"/>
      <c r="H7" s="244"/>
      <c r="J7" s="216" t="s">
        <v>899</v>
      </c>
      <c r="K7" s="242" t="s">
        <v>900</v>
      </c>
      <c r="L7" s="243"/>
      <c r="M7" s="243"/>
      <c r="N7" s="244"/>
      <c r="P7" s="194" t="s">
        <v>899</v>
      </c>
      <c r="Q7" s="235" t="s">
        <v>900</v>
      </c>
      <c r="R7" s="236"/>
      <c r="S7" s="236"/>
      <c r="T7" s="236"/>
      <c r="U7" s="236"/>
      <c r="V7" s="236"/>
      <c r="W7" s="236"/>
      <c r="Y7" s="194" t="s">
        <v>899</v>
      </c>
      <c r="Z7" s="234" t="s">
        <v>900</v>
      </c>
      <c r="AA7" s="234"/>
      <c r="AB7" s="234"/>
      <c r="AC7" s="234"/>
    </row>
    <row r="8" spans="4:29" x14ac:dyDescent="0.25">
      <c r="D8" s="217"/>
      <c r="E8" s="154">
        <v>44460</v>
      </c>
      <c r="F8" s="154">
        <f>EDATE(E8,12)</f>
        <v>44825</v>
      </c>
      <c r="G8" s="154">
        <f>EDATE(F8,12)</f>
        <v>45190</v>
      </c>
      <c r="H8" s="154">
        <f>EDATE(G8,12)</f>
        <v>45556</v>
      </c>
      <c r="J8" s="217"/>
      <c r="K8" s="154">
        <v>44460</v>
      </c>
      <c r="L8" s="154">
        <f>EDATE(K8,12)</f>
        <v>44825</v>
      </c>
      <c r="M8" s="154">
        <f>EDATE(L8,12)</f>
        <v>45190</v>
      </c>
      <c r="N8" s="154">
        <f>EDATE(M8,12)</f>
        <v>45556</v>
      </c>
      <c r="P8" s="194"/>
      <c r="Q8" s="154">
        <v>44460</v>
      </c>
      <c r="R8" s="154">
        <f>EDATE(Q8,12)</f>
        <v>44825</v>
      </c>
      <c r="S8" s="154">
        <f>EDATE(R8,12)</f>
        <v>45190</v>
      </c>
      <c r="T8" s="154">
        <f>EDATE(S8,12)</f>
        <v>45556</v>
      </c>
      <c r="U8" s="158">
        <f t="shared" ref="U8:W8" si="0">EDATE(T8,12)</f>
        <v>45921</v>
      </c>
      <c r="V8" s="158">
        <f t="shared" si="0"/>
        <v>46286</v>
      </c>
      <c r="W8" s="158">
        <f t="shared" si="0"/>
        <v>46651</v>
      </c>
      <c r="Y8" s="194"/>
      <c r="Z8" s="154">
        <v>44460</v>
      </c>
      <c r="AA8" s="154">
        <f>EDATE(Z8,12)</f>
        <v>44825</v>
      </c>
      <c r="AB8" s="154">
        <f>EDATE(AA8,12)</f>
        <v>45190</v>
      </c>
      <c r="AC8" s="154">
        <f>EDATE(AB8,12)</f>
        <v>45556</v>
      </c>
    </row>
    <row r="9" spans="4:29" x14ac:dyDescent="0.25">
      <c r="D9" s="218"/>
      <c r="E9" s="154">
        <f>EDATE(E8,12)-1</f>
        <v>44824</v>
      </c>
      <c r="F9" s="154">
        <f>EDATE(F8,12)-1</f>
        <v>45189</v>
      </c>
      <c r="G9" s="154">
        <f>EDATE(G8,12)-1</f>
        <v>45555</v>
      </c>
      <c r="H9" s="154">
        <f>EDATE(H8,12)-1</f>
        <v>45920</v>
      </c>
      <c r="J9" s="218"/>
      <c r="K9" s="154">
        <f>EDATE(K8,12)-1</f>
        <v>44824</v>
      </c>
      <c r="L9" s="154">
        <f>EDATE(L8,12)-1</f>
        <v>45189</v>
      </c>
      <c r="M9" s="154">
        <f>EDATE(M8,12)-1</f>
        <v>45555</v>
      </c>
      <c r="N9" s="154">
        <f>EDATE(N8,12)-1</f>
        <v>45920</v>
      </c>
      <c r="P9" s="194"/>
      <c r="Q9" s="154">
        <f>EDATE(Q8,12)-1</f>
        <v>44824</v>
      </c>
      <c r="R9" s="154">
        <f>EDATE(R8,12)-1</f>
        <v>45189</v>
      </c>
      <c r="S9" s="154">
        <f>EDATE(S8,12)-1</f>
        <v>45555</v>
      </c>
      <c r="T9" s="154">
        <f>EDATE(T8,12)-1</f>
        <v>45920</v>
      </c>
      <c r="U9" s="158">
        <f t="shared" ref="U9:W9" si="1">EDATE(U8,12)-1</f>
        <v>46285</v>
      </c>
      <c r="V9" s="158">
        <f t="shared" si="1"/>
        <v>46650</v>
      </c>
      <c r="W9" s="158">
        <f t="shared" si="1"/>
        <v>47016</v>
      </c>
      <c r="Y9" s="194"/>
      <c r="Z9" s="154">
        <f>EDATE(Z8,12)-1</f>
        <v>44824</v>
      </c>
      <c r="AA9" s="154">
        <f>EDATE(AA8,12)-1</f>
        <v>45189</v>
      </c>
      <c r="AB9" s="154">
        <f>EDATE(AB8,12)-1</f>
        <v>45555</v>
      </c>
      <c r="AC9" s="154">
        <f>EDATE(AC8,12)-1</f>
        <v>45920</v>
      </c>
    </row>
    <row r="10" spans="4:29" ht="30" x14ac:dyDescent="0.25">
      <c r="D10" s="68" t="s">
        <v>2809</v>
      </c>
      <c r="E10" s="76">
        <f>'Absorption Rate'!D7</f>
        <v>27</v>
      </c>
      <c r="F10" s="76">
        <f>'Absorption Rate'!E7</f>
        <v>0</v>
      </c>
      <c r="G10" s="76">
        <f>'Absorption Rate'!F7</f>
        <v>0</v>
      </c>
      <c r="H10" s="76">
        <f>'Absorption Rate'!G7</f>
        <v>0</v>
      </c>
      <c r="J10" s="68" t="s">
        <v>2987</v>
      </c>
      <c r="K10" s="24">
        <f>'Absorption Rate'!D8</f>
        <v>40.5</v>
      </c>
      <c r="L10" s="24">
        <f>'Absorption Rate'!E8</f>
        <v>48.6</v>
      </c>
      <c r="M10" s="24">
        <f>'Absorption Rate'!F8</f>
        <v>48.6</v>
      </c>
      <c r="N10" s="24">
        <f>'Absorption Rate'!G8</f>
        <v>24.3</v>
      </c>
      <c r="O10" s="128"/>
      <c r="P10" s="68" t="s">
        <v>2989</v>
      </c>
      <c r="Q10" s="24">
        <f>'Absorption Rate'!D9</f>
        <v>0</v>
      </c>
      <c r="R10" s="24">
        <f>'Absorption Rate'!E9</f>
        <v>38.1</v>
      </c>
      <c r="S10" s="24">
        <f>'Absorption Rate'!F9</f>
        <v>38.1</v>
      </c>
      <c r="T10" s="24">
        <f>'Absorption Rate'!G9</f>
        <v>76.2</v>
      </c>
      <c r="U10" s="24">
        <f>'Absorption Rate'!H9</f>
        <v>76.2</v>
      </c>
      <c r="V10" s="24">
        <f>'Absorption Rate'!I9</f>
        <v>76.2</v>
      </c>
      <c r="W10" s="24">
        <f>'Absorption Rate'!J9</f>
        <v>76.2</v>
      </c>
      <c r="X10" s="71"/>
      <c r="Y10" s="68" t="s">
        <v>3027</v>
      </c>
      <c r="Z10" s="24">
        <f>'Absorption Rate'!D10</f>
        <v>36.5</v>
      </c>
      <c r="AA10" s="24">
        <f>'Absorption Rate'!E10</f>
        <v>36.5</v>
      </c>
      <c r="AB10" s="24">
        <f>'Absorption Rate'!F10</f>
        <v>36.5</v>
      </c>
      <c r="AC10" s="24">
        <f>'Absorption Rate'!G10</f>
        <v>36.5</v>
      </c>
    </row>
    <row r="11" spans="4:29" ht="30" x14ac:dyDescent="0.25">
      <c r="D11" s="68" t="s">
        <v>3064</v>
      </c>
      <c r="E11" s="155">
        <f>E10/'Absorption Rate'!$K$7</f>
        <v>1</v>
      </c>
      <c r="F11" s="155">
        <f>F10/'Absorption Rate'!$K$7</f>
        <v>0</v>
      </c>
      <c r="G11" s="155">
        <f>G10/'Absorption Rate'!$K$7</f>
        <v>0</v>
      </c>
      <c r="H11" s="155">
        <f>H10/'Absorption Rate'!$K$7</f>
        <v>0</v>
      </c>
      <c r="J11" s="68" t="s">
        <v>3065</v>
      </c>
      <c r="K11" s="77">
        <f>K10/'Absorption Rate'!$K$8</f>
        <v>0.25</v>
      </c>
      <c r="L11" s="77">
        <f>L10/'Absorption Rate'!$K$8</f>
        <v>0.3</v>
      </c>
      <c r="M11" s="77">
        <f>M10/'Absorption Rate'!$K$8</f>
        <v>0.3</v>
      </c>
      <c r="N11" s="77">
        <f>N10/'Absorption Rate'!$K$8</f>
        <v>0.15</v>
      </c>
      <c r="P11" s="68" t="s">
        <v>2990</v>
      </c>
      <c r="Q11" s="77">
        <f>Q10/'Absorption Rate'!$K$9</f>
        <v>0</v>
      </c>
      <c r="R11" s="77">
        <f>R10/'Absorption Rate'!$K$9</f>
        <v>0.1</v>
      </c>
      <c r="S11" s="77">
        <f>S10/'Absorption Rate'!$K$9</f>
        <v>0.1</v>
      </c>
      <c r="T11" s="77">
        <f>T10/'Absorption Rate'!$K$9</f>
        <v>0.2</v>
      </c>
      <c r="U11" s="77">
        <f>U10/'Absorption Rate'!$K$9</f>
        <v>0.2</v>
      </c>
      <c r="V11" s="77">
        <f>V10/'Absorption Rate'!$K$9</f>
        <v>0.2</v>
      </c>
      <c r="W11" s="77">
        <f>W10/'Absorption Rate'!$K$9</f>
        <v>0.2</v>
      </c>
      <c r="Y11" s="68" t="s">
        <v>3028</v>
      </c>
      <c r="Z11" s="77">
        <f>Z10/'Absorption Rate'!$K$10</f>
        <v>0.25</v>
      </c>
      <c r="AA11" s="77">
        <f>AA10/'Absorption Rate'!$K$10</f>
        <v>0.25</v>
      </c>
      <c r="AB11" s="77">
        <f>AB10/'Absorption Rate'!$K$10</f>
        <v>0.25</v>
      </c>
      <c r="AC11" s="77">
        <f>AC10/'Absorption Rate'!$K$10</f>
        <v>0.25</v>
      </c>
    </row>
    <row r="12" spans="4:29" x14ac:dyDescent="0.25">
      <c r="D12" s="68" t="s">
        <v>2807</v>
      </c>
      <c r="E12" s="77">
        <v>0</v>
      </c>
      <c r="F12" s="77">
        <v>0</v>
      </c>
      <c r="G12" s="77">
        <v>0</v>
      </c>
      <c r="H12" s="77">
        <v>0</v>
      </c>
      <c r="J12" s="68" t="s">
        <v>2807</v>
      </c>
      <c r="K12" s="77">
        <v>0</v>
      </c>
      <c r="L12" s="77">
        <v>0.05</v>
      </c>
      <c r="M12" s="77">
        <v>0</v>
      </c>
      <c r="N12" s="77">
        <v>0</v>
      </c>
      <c r="P12" s="68" t="s">
        <v>2807</v>
      </c>
      <c r="Q12" s="77">
        <v>0</v>
      </c>
      <c r="R12" s="77">
        <v>2.5000000000000001E-2</v>
      </c>
      <c r="S12" s="77">
        <v>2.5000000000000001E-2</v>
      </c>
      <c r="T12" s="77">
        <v>2.5000000000000001E-2</v>
      </c>
      <c r="U12" s="77">
        <v>2.5000000000000001E-2</v>
      </c>
      <c r="V12" s="77">
        <v>2.5000000000000001E-2</v>
      </c>
      <c r="W12" s="77">
        <v>2.5000000000000001E-2</v>
      </c>
      <c r="Y12" s="68" t="s">
        <v>2807</v>
      </c>
      <c r="Z12" s="77">
        <v>0</v>
      </c>
      <c r="AA12" s="77">
        <v>2.5000000000000001E-2</v>
      </c>
      <c r="AB12" s="77">
        <v>2.5000000000000001E-2</v>
      </c>
      <c r="AC12" s="77">
        <v>0.05</v>
      </c>
    </row>
    <row r="13" spans="4:29" ht="30" x14ac:dyDescent="0.25">
      <c r="D13" s="68" t="s">
        <v>2986</v>
      </c>
      <c r="E13" s="101">
        <f>('Residential &amp; Commercial Inflow'!$J$4/10^6)*E11*(1+E12)</f>
        <v>56.16</v>
      </c>
      <c r="F13" s="101">
        <f>('Residential &amp; Commercial Inflow'!$J$4/10^6)*F11*(1+F12)</f>
        <v>0</v>
      </c>
      <c r="G13" s="101">
        <f>('Residential &amp; Commercial Inflow'!$J$4/10^6)*G11*(1+G12)</f>
        <v>0</v>
      </c>
      <c r="H13" s="101">
        <f>('Residential &amp; Commercial Inflow'!$J$4/10^6)*H11*(1+H12)</f>
        <v>0</v>
      </c>
      <c r="J13" s="68" t="s">
        <v>2988</v>
      </c>
      <c r="K13" s="102">
        <f>('Residential &amp; Commercial Inflow'!$J$5/10^6)*K11*(1+K12)</f>
        <v>103.82174999999999</v>
      </c>
      <c r="L13" s="102">
        <f>('Residential &amp; Commercial Inflow'!$J$5/10^6)*L11*(1+L12)</f>
        <v>130.815405</v>
      </c>
      <c r="M13" s="102">
        <f>('Residential &amp; Commercial Inflow'!$J$5/10^6)*M11*(1+M12)</f>
        <v>124.58609999999999</v>
      </c>
      <c r="N13" s="102">
        <f>('Residential &amp; Commercial Inflow'!$J$5/10^6)*N11*(1+N12)</f>
        <v>62.293049999999994</v>
      </c>
      <c r="P13" s="68" t="s">
        <v>3030</v>
      </c>
      <c r="Q13" s="102">
        <f>('Residential &amp; Commercial Inflow'!$J$6/10^6)*Q11*(1+Q12)</f>
        <v>0</v>
      </c>
      <c r="R13" s="102">
        <f>('Residential &amp; Commercial Inflow'!$J$6/10^6)*R11*(1+R12)</f>
        <v>78.386875000000003</v>
      </c>
      <c r="S13" s="102">
        <f>('Residential &amp; Commercial Inflow'!$J$6/10^6)*S11*(1+S12)</f>
        <v>78.386875000000003</v>
      </c>
      <c r="T13" s="102">
        <f>('Residential &amp; Commercial Inflow'!$J$6/10^6)*T11*(1+T12)</f>
        <v>156.77375000000001</v>
      </c>
      <c r="U13" s="102">
        <f>('Residential &amp; Commercial Inflow'!$J$6/10^6)*U11*(1+U12)</f>
        <v>156.77375000000001</v>
      </c>
      <c r="V13" s="102">
        <f>('Residential &amp; Commercial Inflow'!$J$6/10^6)*V11*(1+V12)</f>
        <v>156.77375000000001</v>
      </c>
      <c r="W13" s="102">
        <f>('Residential &amp; Commercial Inflow'!$J$6/10^6)*W11*(1+W12)</f>
        <v>156.77375000000001</v>
      </c>
      <c r="Y13" s="68" t="s">
        <v>3029</v>
      </c>
      <c r="Z13" s="102">
        <f>('Residential &amp; Commercial Inflow'!$J$7/10^6)*Z11*(1+Z12)</f>
        <v>56.409350000000003</v>
      </c>
      <c r="AA13" s="102">
        <f>('Residential &amp; Commercial Inflow'!$J$7/10^6)*AA11*(1+AA12)</f>
        <v>57.81958375</v>
      </c>
      <c r="AB13" s="102">
        <f>('Residential &amp; Commercial Inflow'!$J$7/10^6)*AB11*(1+AB12)</f>
        <v>57.81958375</v>
      </c>
      <c r="AC13" s="102">
        <f>('Residential &amp; Commercial Inflow'!$J$7/10^6)*AC11*(1+AC12)</f>
        <v>59.229817500000003</v>
      </c>
    </row>
    <row r="14" spans="4:29" s="170" customFormat="1" x14ac:dyDescent="0.25">
      <c r="D14" s="230"/>
      <c r="E14" s="230"/>
      <c r="F14" s="230"/>
      <c r="G14" s="230"/>
      <c r="H14" s="230"/>
      <c r="J14" s="230"/>
      <c r="K14" s="230"/>
      <c r="L14" s="230"/>
      <c r="M14" s="230"/>
      <c r="N14" s="230"/>
      <c r="P14" s="230"/>
      <c r="Q14" s="230"/>
      <c r="R14" s="230"/>
      <c r="S14" s="230"/>
      <c r="T14" s="230"/>
      <c r="U14" s="230"/>
      <c r="V14" s="230"/>
      <c r="W14" s="230"/>
      <c r="Y14" s="230"/>
      <c r="Z14" s="230"/>
      <c r="AA14" s="230"/>
      <c r="AB14" s="230"/>
      <c r="AC14" s="230"/>
    </row>
    <row r="15" spans="4:29" s="170" customFormat="1" x14ac:dyDescent="0.25">
      <c r="D15" s="231" t="s">
        <v>896</v>
      </c>
      <c r="E15" s="231"/>
      <c r="F15" s="231"/>
      <c r="G15" s="231"/>
      <c r="H15" s="231"/>
      <c r="J15" s="231" t="s">
        <v>896</v>
      </c>
      <c r="K15" s="231"/>
      <c r="L15" s="231"/>
      <c r="M15" s="231"/>
      <c r="N15" s="231"/>
      <c r="P15" s="231" t="s">
        <v>896</v>
      </c>
      <c r="Q15" s="231"/>
      <c r="R15" s="231"/>
      <c r="S15" s="231"/>
      <c r="T15" s="231"/>
      <c r="U15" s="231"/>
      <c r="V15" s="231"/>
      <c r="W15" s="231"/>
      <c r="Y15" s="231" t="s">
        <v>896</v>
      </c>
      <c r="Z15" s="231"/>
      <c r="AA15" s="231"/>
      <c r="AB15" s="231"/>
      <c r="AC15" s="231"/>
    </row>
    <row r="16" spans="4:29" s="170" customFormat="1" ht="48" customHeight="1" x14ac:dyDescent="0.25">
      <c r="D16" s="229" t="s">
        <v>2985</v>
      </c>
      <c r="E16" s="229"/>
      <c r="F16" s="229"/>
      <c r="G16" s="229"/>
      <c r="H16" s="229"/>
      <c r="J16" s="229" t="s">
        <v>3075</v>
      </c>
      <c r="K16" s="229"/>
      <c r="L16" s="229"/>
      <c r="M16" s="229"/>
      <c r="N16" s="229"/>
      <c r="P16" s="229" t="s">
        <v>3081</v>
      </c>
      <c r="Q16" s="229"/>
      <c r="R16" s="229"/>
      <c r="S16" s="229"/>
      <c r="T16" s="229"/>
      <c r="U16" s="229"/>
      <c r="V16" s="229"/>
      <c r="W16" s="229"/>
      <c r="Y16" s="229" t="s">
        <v>3077</v>
      </c>
      <c r="Z16" s="229"/>
      <c r="AA16" s="229"/>
      <c r="AB16" s="229"/>
      <c r="AC16" s="229"/>
    </row>
    <row r="17" spans="4:29" s="170" customFormat="1" ht="75" customHeight="1" x14ac:dyDescent="0.25">
      <c r="D17" s="229" t="s">
        <v>3096</v>
      </c>
      <c r="E17" s="229"/>
      <c r="F17" s="229"/>
      <c r="G17" s="229"/>
      <c r="H17" s="229"/>
      <c r="J17" s="229" t="s">
        <v>3084</v>
      </c>
      <c r="K17" s="229"/>
      <c r="L17" s="229"/>
      <c r="M17" s="229"/>
      <c r="N17" s="229"/>
      <c r="P17" s="232" t="s">
        <v>3082</v>
      </c>
      <c r="Q17" s="232"/>
      <c r="R17" s="232"/>
      <c r="S17" s="232"/>
      <c r="T17" s="232"/>
      <c r="U17" s="232"/>
      <c r="V17" s="232"/>
      <c r="W17" s="232"/>
      <c r="Y17" s="229" t="s">
        <v>3078</v>
      </c>
      <c r="Z17" s="229"/>
      <c r="AA17" s="229"/>
      <c r="AB17" s="229"/>
      <c r="AC17" s="229"/>
    </row>
    <row r="18" spans="4:29" s="170" customFormat="1" ht="48" customHeight="1" x14ac:dyDescent="0.25">
      <c r="D18" s="245" t="s">
        <v>3097</v>
      </c>
      <c r="E18" s="246"/>
      <c r="F18" s="246"/>
      <c r="G18" s="246"/>
      <c r="H18" s="247"/>
      <c r="J18" s="229" t="s">
        <v>3085</v>
      </c>
      <c r="K18" s="229"/>
      <c r="L18" s="229"/>
      <c r="M18" s="229"/>
      <c r="N18" s="229"/>
      <c r="P18" s="232" t="s">
        <v>3083</v>
      </c>
      <c r="Q18" s="232"/>
      <c r="R18" s="232"/>
      <c r="S18" s="232"/>
      <c r="T18" s="232"/>
      <c r="U18" s="232"/>
      <c r="V18" s="232"/>
      <c r="W18" s="232"/>
      <c r="Y18" s="229" t="s">
        <v>3079</v>
      </c>
      <c r="Z18" s="229"/>
      <c r="AA18" s="229"/>
      <c r="AB18" s="229"/>
      <c r="AC18" s="229"/>
    </row>
    <row r="19" spans="4:29" s="170" customFormat="1" ht="16.5" customHeight="1" x14ac:dyDescent="0.25">
      <c r="D19" s="248"/>
      <c r="E19" s="249"/>
      <c r="F19" s="249"/>
      <c r="G19" s="249"/>
      <c r="H19" s="250"/>
      <c r="J19" s="229" t="s">
        <v>2808</v>
      </c>
      <c r="K19" s="229"/>
      <c r="L19" s="229"/>
      <c r="M19" s="229"/>
      <c r="N19" s="229"/>
      <c r="P19" s="229" t="s">
        <v>2808</v>
      </c>
      <c r="Q19" s="229"/>
      <c r="R19" s="229"/>
      <c r="S19" s="229"/>
      <c r="T19" s="229"/>
      <c r="U19" s="229"/>
      <c r="V19" s="229"/>
      <c r="W19" s="229"/>
      <c r="Y19" s="229" t="s">
        <v>3080</v>
      </c>
      <c r="Z19" s="229"/>
      <c r="AA19" s="229"/>
      <c r="AB19" s="229"/>
      <c r="AC19" s="229"/>
    </row>
    <row r="26" spans="4:29" x14ac:dyDescent="0.25">
      <c r="F26" s="79"/>
    </row>
  </sheetData>
  <mergeCells count="35">
    <mergeCell ref="J17:N17"/>
    <mergeCell ref="J18:N18"/>
    <mergeCell ref="J19:N19"/>
    <mergeCell ref="D18:H19"/>
    <mergeCell ref="J15:N15"/>
    <mergeCell ref="Q7:W7"/>
    <mergeCell ref="P6:W6"/>
    <mergeCell ref="D17:H17"/>
    <mergeCell ref="D6:H6"/>
    <mergeCell ref="D7:D9"/>
    <mergeCell ref="E7:H7"/>
    <mergeCell ref="D14:H14"/>
    <mergeCell ref="D15:H15"/>
    <mergeCell ref="J6:N6"/>
    <mergeCell ref="J7:J9"/>
    <mergeCell ref="K7:N7"/>
    <mergeCell ref="P7:P9"/>
    <mergeCell ref="J14:N14"/>
    <mergeCell ref="D16:H16"/>
    <mergeCell ref="J16:N16"/>
    <mergeCell ref="Y16:AC16"/>
    <mergeCell ref="Y17:AC17"/>
    <mergeCell ref="Y18:AC18"/>
    <mergeCell ref="Y19:AC19"/>
    <mergeCell ref="Y6:AC6"/>
    <mergeCell ref="Y7:Y9"/>
    <mergeCell ref="Z7:AC7"/>
    <mergeCell ref="Y14:AC14"/>
    <mergeCell ref="Y15:AC15"/>
    <mergeCell ref="P19:W19"/>
    <mergeCell ref="P14:W14"/>
    <mergeCell ref="P15:W15"/>
    <mergeCell ref="P16:W16"/>
    <mergeCell ref="P17:W17"/>
    <mergeCell ref="P18:W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22"/>
  <sheetViews>
    <sheetView workbookViewId="0">
      <selection activeCell="M23" sqref="M23"/>
    </sheetView>
  </sheetViews>
  <sheetFormatPr defaultRowHeight="15" x14ac:dyDescent="0.25"/>
  <cols>
    <col min="2" max="3" width="14.7109375" bestFit="1" customWidth="1"/>
    <col min="4" max="4" width="14.140625" bestFit="1" customWidth="1"/>
    <col min="5" max="5" width="16.85546875" bestFit="1" customWidth="1"/>
    <col min="6" max="6" width="16" bestFit="1" customWidth="1"/>
    <col min="7" max="7" width="19.42578125" bestFit="1" customWidth="1"/>
    <col min="8" max="8" width="20.28515625" bestFit="1" customWidth="1"/>
    <col min="9" max="9" width="11.140625" bestFit="1" customWidth="1"/>
  </cols>
  <sheetData>
    <row r="2" spans="2:9" ht="15.75" x14ac:dyDescent="0.25">
      <c r="B2" s="193" t="s">
        <v>3051</v>
      </c>
      <c r="C2" s="193"/>
      <c r="D2" s="193"/>
      <c r="E2" s="193"/>
      <c r="F2" s="193"/>
      <c r="G2" s="193"/>
      <c r="H2" s="193"/>
      <c r="I2" s="193"/>
    </row>
    <row r="3" spans="2:9" ht="27.75" x14ac:dyDescent="0.25">
      <c r="B3" s="124" t="s">
        <v>3050</v>
      </c>
      <c r="C3" s="124" t="s">
        <v>3049</v>
      </c>
      <c r="D3" s="125" t="s">
        <v>882</v>
      </c>
      <c r="E3" s="125" t="s">
        <v>883</v>
      </c>
      <c r="F3" s="125" t="s">
        <v>3053</v>
      </c>
      <c r="G3" s="125" t="s">
        <v>884</v>
      </c>
      <c r="H3" s="125" t="s">
        <v>885</v>
      </c>
      <c r="I3" s="125" t="s">
        <v>886</v>
      </c>
    </row>
    <row r="4" spans="2:9" ht="15.75" customHeight="1" x14ac:dyDescent="0.25">
      <c r="B4" s="194" t="s">
        <v>880</v>
      </c>
      <c r="C4" s="194"/>
      <c r="D4" s="194"/>
      <c r="E4" s="194"/>
      <c r="F4" s="194"/>
      <c r="G4" s="194"/>
      <c r="H4" s="194"/>
      <c r="I4" s="194"/>
    </row>
    <row r="5" spans="2:9" x14ac:dyDescent="0.25">
      <c r="B5" s="65" t="s">
        <v>5</v>
      </c>
      <c r="C5" s="65" t="s">
        <v>24</v>
      </c>
      <c r="D5" s="65">
        <f>F5-E5</f>
        <v>74</v>
      </c>
      <c r="E5" s="65">
        <v>6</v>
      </c>
      <c r="F5" s="65">
        <v>80</v>
      </c>
      <c r="G5" s="65">
        <f>I5-H5</f>
        <v>76900</v>
      </c>
      <c r="H5" s="65">
        <v>7100</v>
      </c>
      <c r="I5" s="65">
        <v>84000</v>
      </c>
    </row>
    <row r="6" spans="2:9" x14ac:dyDescent="0.25">
      <c r="B6" s="126" t="s">
        <v>3</v>
      </c>
      <c r="C6" s="126" t="s">
        <v>191</v>
      </c>
      <c r="D6" s="126">
        <f>F6-E6</f>
        <v>339</v>
      </c>
      <c r="E6" s="126">
        <v>21</v>
      </c>
      <c r="F6" s="126">
        <v>360</v>
      </c>
      <c r="G6" s="65">
        <f>I6-H6</f>
        <v>231800</v>
      </c>
      <c r="H6" s="126">
        <v>13700</v>
      </c>
      <c r="I6" s="126">
        <v>245500</v>
      </c>
    </row>
    <row r="7" spans="2:9" x14ac:dyDescent="0.25">
      <c r="B7" s="126"/>
      <c r="C7" s="131" t="s">
        <v>881</v>
      </c>
      <c r="D7" s="131">
        <f t="shared" ref="D7:I7" si="0">SUM(D5:D6)</f>
        <v>413</v>
      </c>
      <c r="E7" s="131">
        <f t="shared" si="0"/>
        <v>27</v>
      </c>
      <c r="F7" s="131">
        <f t="shared" si="0"/>
        <v>440</v>
      </c>
      <c r="G7" s="131">
        <f t="shared" si="0"/>
        <v>308700</v>
      </c>
      <c r="H7" s="131">
        <f t="shared" si="0"/>
        <v>20800</v>
      </c>
      <c r="I7" s="131">
        <f t="shared" si="0"/>
        <v>329500</v>
      </c>
    </row>
    <row r="8" spans="2:9" x14ac:dyDescent="0.25">
      <c r="B8" s="194" t="s">
        <v>904</v>
      </c>
      <c r="C8" s="194"/>
      <c r="D8" s="194"/>
      <c r="E8" s="194"/>
      <c r="F8" s="194"/>
      <c r="G8" s="194"/>
      <c r="H8" s="194"/>
      <c r="I8" s="194"/>
    </row>
    <row r="9" spans="2:9" x14ac:dyDescent="0.25">
      <c r="B9" s="126" t="s">
        <v>2</v>
      </c>
      <c r="C9" s="126" t="s">
        <v>902</v>
      </c>
      <c r="D9" s="126">
        <f>F9-E9</f>
        <v>383</v>
      </c>
      <c r="E9" s="126">
        <v>48</v>
      </c>
      <c r="F9" s="126">
        <v>431</v>
      </c>
      <c r="G9" s="126">
        <f>I9-H9</f>
        <v>359900</v>
      </c>
      <c r="H9" s="126">
        <v>49500</v>
      </c>
      <c r="I9" s="126">
        <v>409400</v>
      </c>
    </row>
    <row r="10" spans="2:9" x14ac:dyDescent="0.25">
      <c r="B10" s="126" t="s">
        <v>3054</v>
      </c>
      <c r="C10" s="126" t="s">
        <v>903</v>
      </c>
      <c r="D10" s="126">
        <f>F10-E10</f>
        <v>265</v>
      </c>
      <c r="E10" s="126">
        <v>114</v>
      </c>
      <c r="F10" s="126">
        <v>379</v>
      </c>
      <c r="G10" s="126">
        <f>I10-H10</f>
        <v>240860</v>
      </c>
      <c r="H10" s="126">
        <v>104310</v>
      </c>
      <c r="I10" s="133">
        <v>345170</v>
      </c>
    </row>
    <row r="11" spans="2:9" x14ac:dyDescent="0.25">
      <c r="B11" s="126"/>
      <c r="C11" s="127" t="s">
        <v>881</v>
      </c>
      <c r="D11" s="127">
        <f t="shared" ref="D11:I11" si="1">SUM(D9:D10)</f>
        <v>648</v>
      </c>
      <c r="E11" s="127">
        <f t="shared" si="1"/>
        <v>162</v>
      </c>
      <c r="F11" s="127">
        <f t="shared" si="1"/>
        <v>810</v>
      </c>
      <c r="G11" s="127">
        <f t="shared" si="1"/>
        <v>600760</v>
      </c>
      <c r="H11" s="127">
        <f t="shared" si="1"/>
        <v>153810</v>
      </c>
      <c r="I11" s="127">
        <f t="shared" si="1"/>
        <v>754570</v>
      </c>
    </row>
    <row r="12" spans="2:9" x14ac:dyDescent="0.25">
      <c r="B12" s="194" t="s">
        <v>2323</v>
      </c>
      <c r="C12" s="194"/>
      <c r="D12" s="194"/>
      <c r="E12" s="194"/>
      <c r="F12" s="194"/>
      <c r="G12" s="194"/>
      <c r="H12" s="194"/>
      <c r="I12" s="194"/>
    </row>
    <row r="13" spans="2:9" x14ac:dyDescent="0.25">
      <c r="B13" s="126" t="s">
        <v>4</v>
      </c>
      <c r="C13" s="126" t="s">
        <v>2324</v>
      </c>
      <c r="D13" s="126">
        <f>F13-E13</f>
        <v>0</v>
      </c>
      <c r="E13" s="126">
        <v>115</v>
      </c>
      <c r="F13" s="126">
        <v>115</v>
      </c>
      <c r="G13" s="126">
        <f>I13-H13</f>
        <v>0</v>
      </c>
      <c r="H13" s="126">
        <v>92000</v>
      </c>
      <c r="I13" s="126">
        <v>92000</v>
      </c>
    </row>
    <row r="14" spans="2:9" x14ac:dyDescent="0.25">
      <c r="B14" s="126" t="s">
        <v>6</v>
      </c>
      <c r="C14" s="126" t="s">
        <v>2325</v>
      </c>
      <c r="D14" s="126">
        <f>F14-E14</f>
        <v>0</v>
      </c>
      <c r="E14" s="126">
        <v>116</v>
      </c>
      <c r="F14" s="126">
        <v>116</v>
      </c>
      <c r="G14" s="126">
        <f>I14-H14</f>
        <v>0</v>
      </c>
      <c r="H14" s="126">
        <v>116000</v>
      </c>
      <c r="I14" s="126">
        <v>116000</v>
      </c>
    </row>
    <row r="15" spans="2:9" x14ac:dyDescent="0.25">
      <c r="B15" s="126" t="s">
        <v>8</v>
      </c>
      <c r="C15" s="126" t="s">
        <v>2326</v>
      </c>
      <c r="D15" s="126">
        <f>F15-E15</f>
        <v>49</v>
      </c>
      <c r="E15" s="126">
        <v>150</v>
      </c>
      <c r="F15" s="126">
        <v>199</v>
      </c>
      <c r="G15" s="126">
        <f>I15-H15</f>
        <v>40670</v>
      </c>
      <c r="H15" s="126">
        <v>124500</v>
      </c>
      <c r="I15" s="126">
        <v>165170</v>
      </c>
    </row>
    <row r="16" spans="2:9" x14ac:dyDescent="0.25">
      <c r="B16" s="126"/>
      <c r="C16" s="131" t="s">
        <v>881</v>
      </c>
      <c r="D16" s="131">
        <f t="shared" ref="D16:I16" si="2">SUM(D13:D15)</f>
        <v>49</v>
      </c>
      <c r="E16" s="131">
        <f t="shared" si="2"/>
        <v>381</v>
      </c>
      <c r="F16" s="131">
        <f t="shared" si="2"/>
        <v>430</v>
      </c>
      <c r="G16" s="131">
        <f t="shared" si="2"/>
        <v>40670</v>
      </c>
      <c r="H16" s="131">
        <f t="shared" si="2"/>
        <v>332500</v>
      </c>
      <c r="I16" s="131">
        <f t="shared" si="2"/>
        <v>373170</v>
      </c>
    </row>
    <row r="17" spans="2:9" x14ac:dyDescent="0.25">
      <c r="B17" s="194" t="s">
        <v>2976</v>
      </c>
      <c r="C17" s="194"/>
      <c r="D17" s="194"/>
      <c r="E17" s="194"/>
      <c r="F17" s="194"/>
      <c r="G17" s="194"/>
      <c r="H17" s="194"/>
      <c r="I17" s="194"/>
    </row>
    <row r="18" spans="2:9" x14ac:dyDescent="0.25">
      <c r="B18" s="126" t="s">
        <v>3055</v>
      </c>
      <c r="C18" s="126" t="s">
        <v>2977</v>
      </c>
      <c r="D18" s="126">
        <v>0</v>
      </c>
      <c r="E18" s="126">
        <v>31</v>
      </c>
      <c r="F18" s="126">
        <v>31</v>
      </c>
      <c r="G18" s="126">
        <v>0</v>
      </c>
      <c r="H18" s="133">
        <v>17347</v>
      </c>
      <c r="I18" s="133">
        <v>17347</v>
      </c>
    </row>
    <row r="19" spans="2:9" x14ac:dyDescent="0.25">
      <c r="B19" s="126" t="s">
        <v>3055</v>
      </c>
      <c r="C19" s="126" t="s">
        <v>2859</v>
      </c>
      <c r="D19" s="126">
        <v>0</v>
      </c>
      <c r="E19" s="126">
        <v>115</v>
      </c>
      <c r="F19" s="126">
        <v>115</v>
      </c>
      <c r="G19" s="126">
        <v>0</v>
      </c>
      <c r="H19" s="134">
        <v>21556</v>
      </c>
      <c r="I19" s="134">
        <v>21556</v>
      </c>
    </row>
    <row r="20" spans="2:9" x14ac:dyDescent="0.25">
      <c r="B20" s="126"/>
      <c r="C20" s="127" t="s">
        <v>881</v>
      </c>
      <c r="D20" s="127">
        <f>SUM(D18:D19)</f>
        <v>0</v>
      </c>
      <c r="E20" s="127">
        <f t="shared" ref="E20:I20" si="3">SUM(E18:E19)</f>
        <v>146</v>
      </c>
      <c r="F20" s="127">
        <f t="shared" si="3"/>
        <v>146</v>
      </c>
      <c r="G20" s="127">
        <f t="shared" si="3"/>
        <v>0</v>
      </c>
      <c r="H20" s="127">
        <f t="shared" si="3"/>
        <v>38903</v>
      </c>
      <c r="I20" s="127">
        <f t="shared" si="3"/>
        <v>38903</v>
      </c>
    </row>
    <row r="21" spans="2:9" ht="15.75" customHeight="1" x14ac:dyDescent="0.25">
      <c r="B21" s="211"/>
      <c r="C21" s="211"/>
      <c r="D21" s="211"/>
      <c r="E21" s="211"/>
      <c r="F21" s="211"/>
      <c r="G21" s="211"/>
      <c r="H21" s="211"/>
      <c r="I21" s="211"/>
    </row>
    <row r="22" spans="2:9" ht="15.75" x14ac:dyDescent="0.25">
      <c r="B22" s="251" t="s">
        <v>3052</v>
      </c>
      <c r="C22" s="251"/>
      <c r="D22" s="123">
        <f>SUM(D7+D11+D16+D20)</f>
        <v>1110</v>
      </c>
      <c r="E22" s="123">
        <f t="shared" ref="E22:I22" si="4">SUM(E7+E11+E16+E20)</f>
        <v>716</v>
      </c>
      <c r="F22" s="123">
        <f t="shared" si="4"/>
        <v>1826</v>
      </c>
      <c r="G22" s="123">
        <f t="shared" si="4"/>
        <v>950130</v>
      </c>
      <c r="H22" s="123">
        <f t="shared" si="4"/>
        <v>546013</v>
      </c>
      <c r="I22" s="123">
        <f t="shared" si="4"/>
        <v>1496143</v>
      </c>
    </row>
  </sheetData>
  <mergeCells count="7">
    <mergeCell ref="B22:C22"/>
    <mergeCell ref="B21:I21"/>
    <mergeCell ref="B2:I2"/>
    <mergeCell ref="B8:I8"/>
    <mergeCell ref="B12:I12"/>
    <mergeCell ref="B17:I17"/>
    <mergeCell ref="B4:I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D6:X50"/>
  <sheetViews>
    <sheetView topLeftCell="A4" workbookViewId="0">
      <selection activeCell="D6" sqref="D6:H6"/>
    </sheetView>
  </sheetViews>
  <sheetFormatPr defaultRowHeight="15" x14ac:dyDescent="0.25"/>
  <cols>
    <col min="4" max="4" width="19" bestFit="1" customWidth="1"/>
    <col min="5" max="5" width="23.140625" bestFit="1" customWidth="1"/>
    <col min="6" max="7" width="21.28515625" customWidth="1"/>
    <col min="8" max="8" width="18.5703125" bestFit="1" customWidth="1"/>
    <col min="12" max="12" width="18.5703125" bestFit="1" customWidth="1"/>
    <col min="13" max="13" width="29.5703125" customWidth="1"/>
    <col min="14" max="14" width="24.140625" customWidth="1"/>
    <col min="15" max="15" width="13.42578125" customWidth="1"/>
    <col min="16" max="16" width="22.85546875" customWidth="1"/>
    <col min="19" max="19" width="12.42578125" customWidth="1"/>
    <col min="21" max="21" width="21" customWidth="1"/>
    <col min="22" max="22" width="21.28515625" customWidth="1"/>
    <col min="23" max="23" width="24" customWidth="1"/>
    <col min="24" max="24" width="15" customWidth="1"/>
  </cols>
  <sheetData>
    <row r="6" spans="4:14" ht="25.5" customHeight="1" x14ac:dyDescent="0.25">
      <c r="D6" s="252" t="s">
        <v>880</v>
      </c>
      <c r="E6" s="252"/>
      <c r="F6" s="252"/>
      <c r="G6" s="252"/>
      <c r="H6" s="252"/>
      <c r="M6" s="103"/>
      <c r="N6" s="103"/>
    </row>
    <row r="7" spans="4:14" ht="30" x14ac:dyDescent="0.25">
      <c r="D7" s="173" t="s">
        <v>2991</v>
      </c>
      <c r="E7" s="173" t="s">
        <v>3066</v>
      </c>
      <c r="F7" s="173" t="s">
        <v>3003</v>
      </c>
      <c r="G7" s="173" t="s">
        <v>3007</v>
      </c>
      <c r="H7" s="173" t="s">
        <v>2992</v>
      </c>
      <c r="M7" s="16"/>
      <c r="N7" s="16"/>
    </row>
    <row r="8" spans="4:14" x14ac:dyDescent="0.25">
      <c r="D8" s="16"/>
      <c r="E8" s="16"/>
      <c r="F8" s="16"/>
      <c r="G8" s="16"/>
      <c r="H8" s="16"/>
    </row>
    <row r="9" spans="4:14" x14ac:dyDescent="0.25">
      <c r="D9" s="104" t="s">
        <v>2993</v>
      </c>
      <c r="E9" s="17">
        <f>157.05*10000000</f>
        <v>1570500000</v>
      </c>
      <c r="F9" s="17">
        <f t="shared" ref="F9:F14" si="0">22%*E9</f>
        <v>345510000</v>
      </c>
      <c r="G9" s="17">
        <v>345510000</v>
      </c>
      <c r="H9" s="17">
        <f>F9-G9</f>
        <v>0</v>
      </c>
    </row>
    <row r="10" spans="4:14" x14ac:dyDescent="0.25">
      <c r="D10" s="104" t="s">
        <v>2994</v>
      </c>
      <c r="E10" s="17">
        <f>33*10000000</f>
        <v>330000000</v>
      </c>
      <c r="F10" s="17">
        <f t="shared" si="0"/>
        <v>72600000</v>
      </c>
      <c r="G10" s="17">
        <v>72600000</v>
      </c>
      <c r="H10" s="17">
        <f t="shared" ref="H10:H14" si="1">F10-G10</f>
        <v>0</v>
      </c>
    </row>
    <row r="11" spans="4:14" x14ac:dyDescent="0.25">
      <c r="D11" s="104" t="s">
        <v>2995</v>
      </c>
      <c r="E11" s="17">
        <f>1.5*10000000</f>
        <v>15000000</v>
      </c>
      <c r="F11" s="17">
        <f t="shared" si="0"/>
        <v>3300000</v>
      </c>
      <c r="G11" s="17">
        <v>3300000</v>
      </c>
      <c r="H11" s="17">
        <f t="shared" si="1"/>
        <v>0</v>
      </c>
    </row>
    <row r="12" spans="4:14" x14ac:dyDescent="0.25">
      <c r="D12" s="104" t="s">
        <v>2996</v>
      </c>
      <c r="E12" s="17">
        <f>8.36*10000000</f>
        <v>83600000</v>
      </c>
      <c r="F12" s="17">
        <f t="shared" si="0"/>
        <v>18392000</v>
      </c>
      <c r="G12" s="17">
        <v>18392000</v>
      </c>
      <c r="H12" s="17">
        <f t="shared" si="1"/>
        <v>0</v>
      </c>
    </row>
    <row r="13" spans="4:14" ht="30" x14ac:dyDescent="0.25">
      <c r="D13" s="104" t="s">
        <v>3002</v>
      </c>
      <c r="E13" s="17">
        <f>3.47*10000000</f>
        <v>34700000</v>
      </c>
      <c r="F13" s="17">
        <f t="shared" si="0"/>
        <v>7634000</v>
      </c>
      <c r="G13" s="17">
        <v>7634000</v>
      </c>
      <c r="H13" s="17">
        <f t="shared" si="1"/>
        <v>0</v>
      </c>
    </row>
    <row r="14" spans="4:14" x14ac:dyDescent="0.25">
      <c r="D14" s="16" t="s">
        <v>881</v>
      </c>
      <c r="E14" s="17">
        <f>SUM(E9:E13)</f>
        <v>2033800000</v>
      </c>
      <c r="F14" s="17">
        <f t="shared" si="0"/>
        <v>447436000</v>
      </c>
      <c r="G14" s="17">
        <v>447436000</v>
      </c>
      <c r="H14" s="17">
        <f t="shared" si="1"/>
        <v>0</v>
      </c>
    </row>
    <row r="15" spans="4:14" x14ac:dyDescent="0.25">
      <c r="D15" s="16"/>
      <c r="E15" s="16"/>
      <c r="F15" s="16"/>
      <c r="G15" s="16"/>
      <c r="H15" s="16"/>
    </row>
    <row r="16" spans="4:14" x14ac:dyDescent="0.25">
      <c r="E16" s="18"/>
    </row>
    <row r="18" spans="4:24" x14ac:dyDescent="0.25">
      <c r="D18" s="191"/>
      <c r="E18" s="191"/>
      <c r="F18" s="191"/>
      <c r="G18" s="191"/>
      <c r="H18" s="191"/>
    </row>
    <row r="19" spans="4:24" ht="15.75" x14ac:dyDescent="0.25">
      <c r="D19" s="252" t="s">
        <v>904</v>
      </c>
      <c r="E19" s="252"/>
      <c r="F19" s="252"/>
      <c r="G19" s="252"/>
      <c r="H19" s="252"/>
      <c r="P19" s="105"/>
    </row>
    <row r="20" spans="4:24" ht="34.5" customHeight="1" x14ac:dyDescent="0.25">
      <c r="D20" s="173" t="s">
        <v>2991</v>
      </c>
      <c r="E20" s="173" t="s">
        <v>3066</v>
      </c>
      <c r="F20" s="173" t="s">
        <v>3004</v>
      </c>
      <c r="G20" s="173" t="s">
        <v>3007</v>
      </c>
      <c r="H20" s="173" t="s">
        <v>2992</v>
      </c>
      <c r="S20" s="20" t="s">
        <v>2998</v>
      </c>
      <c r="T20" s="20" t="s">
        <v>2812</v>
      </c>
      <c r="U20" s="21" t="s">
        <v>3001</v>
      </c>
      <c r="V20" s="21" t="s">
        <v>2999</v>
      </c>
      <c r="W20" s="21" t="s">
        <v>3000</v>
      </c>
      <c r="X20" s="21" t="s">
        <v>2992</v>
      </c>
    </row>
    <row r="21" spans="4:24" x14ac:dyDescent="0.25">
      <c r="D21" s="16"/>
      <c r="E21" s="16"/>
      <c r="F21" s="16"/>
      <c r="G21" s="16"/>
      <c r="H21" s="16"/>
      <c r="M21">
        <v>245.79</v>
      </c>
      <c r="N21">
        <v>42.41</v>
      </c>
      <c r="O21">
        <f>M21-N21</f>
        <v>203.38</v>
      </c>
      <c r="S21" s="65" t="s">
        <v>2795</v>
      </c>
      <c r="T21" s="65">
        <f>'Inventory Details'!$I$7</f>
        <v>329500</v>
      </c>
      <c r="U21" s="106">
        <f>T21/T25</f>
        <v>0.22023295901528128</v>
      </c>
      <c r="V21" s="65">
        <f>U21*O21</f>
        <v>44.790979204527908</v>
      </c>
      <c r="W21" s="65">
        <v>44.790979204527908</v>
      </c>
      <c r="X21" s="13">
        <f>V21-W21</f>
        <v>0</v>
      </c>
    </row>
    <row r="22" spans="4:24" x14ac:dyDescent="0.25">
      <c r="D22" s="104" t="s">
        <v>2993</v>
      </c>
      <c r="E22" s="17">
        <f>157.05*10000000</f>
        <v>1570500000</v>
      </c>
      <c r="F22" s="17">
        <f>50%*E22</f>
        <v>785250000</v>
      </c>
      <c r="G22" s="17">
        <f>85%*F22</f>
        <v>667462500</v>
      </c>
      <c r="H22" s="17">
        <f>F22-G22</f>
        <v>117787500</v>
      </c>
      <c r="S22" s="65" t="s">
        <v>904</v>
      </c>
      <c r="T22" s="65">
        <f>'Inventory Details'!$I$11</f>
        <v>754570</v>
      </c>
      <c r="U22" s="106">
        <f>T22/T25</f>
        <v>0.50434350192461552</v>
      </c>
      <c r="V22" s="65">
        <f>O21*U22</f>
        <v>102.57338142142831</v>
      </c>
      <c r="W22" s="65">
        <f>85%*V22</f>
        <v>87.187374208214067</v>
      </c>
      <c r="X22" s="13">
        <f>V22-W22</f>
        <v>15.386007213214242</v>
      </c>
    </row>
    <row r="23" spans="4:24" x14ac:dyDescent="0.25">
      <c r="D23" s="104" t="s">
        <v>2994</v>
      </c>
      <c r="E23" s="17">
        <f>33*10000000</f>
        <v>330000000</v>
      </c>
      <c r="F23" s="17">
        <f>50%*E23</f>
        <v>165000000</v>
      </c>
      <c r="G23" s="17">
        <f t="shared" ref="G23:G25" si="2">85%*F23</f>
        <v>140250000</v>
      </c>
      <c r="H23" s="17">
        <f t="shared" ref="H23:H26" si="3">F23-G23</f>
        <v>24750000</v>
      </c>
      <c r="S23" s="65" t="s">
        <v>2323</v>
      </c>
      <c r="T23" s="65">
        <f>'Inventory Details'!$I$16</f>
        <v>373170</v>
      </c>
      <c r="U23" s="106">
        <f>T23/T25</f>
        <v>0.24942134541952207</v>
      </c>
      <c r="V23" s="65">
        <f>U23*O21</f>
        <v>50.7273132314224</v>
      </c>
      <c r="W23" s="65">
        <v>0</v>
      </c>
      <c r="X23" s="13">
        <f>V23-W23</f>
        <v>50.7273132314224</v>
      </c>
    </row>
    <row r="24" spans="4:24" ht="30" x14ac:dyDescent="0.25">
      <c r="D24" s="104" t="s">
        <v>2995</v>
      </c>
      <c r="E24" s="17">
        <f>1.5*10000000</f>
        <v>15000000</v>
      </c>
      <c r="F24" s="17">
        <f>50%*E24</f>
        <v>7500000</v>
      </c>
      <c r="G24" s="17">
        <f t="shared" si="2"/>
        <v>6375000</v>
      </c>
      <c r="H24" s="17">
        <f t="shared" si="3"/>
        <v>1125000</v>
      </c>
      <c r="S24" s="107" t="s">
        <v>2997</v>
      </c>
      <c r="T24" s="65">
        <f>'Inventory Details'!$I$20</f>
        <v>38903</v>
      </c>
      <c r="U24" s="106">
        <f>T24/T25</f>
        <v>2.6002193640581147E-2</v>
      </c>
      <c r="V24" s="65">
        <f>U24*O21</f>
        <v>5.2883261426213934</v>
      </c>
      <c r="W24" s="65">
        <v>5.2883261426213934</v>
      </c>
      <c r="X24" s="13">
        <f>V24-W24</f>
        <v>0</v>
      </c>
    </row>
    <row r="25" spans="4:24" x14ac:dyDescent="0.25">
      <c r="D25" s="104" t="s">
        <v>2996</v>
      </c>
      <c r="E25" s="17">
        <f>8.36*10000000</f>
        <v>83600000</v>
      </c>
      <c r="F25" s="17">
        <f>50%*E25</f>
        <v>41800000</v>
      </c>
      <c r="G25" s="17">
        <f t="shared" si="2"/>
        <v>35530000</v>
      </c>
      <c r="H25" s="17">
        <f t="shared" si="3"/>
        <v>6270000</v>
      </c>
      <c r="S25" s="65" t="s">
        <v>881</v>
      </c>
      <c r="T25" s="65">
        <f>SUM(T21:T24)</f>
        <v>1496143</v>
      </c>
      <c r="U25" s="106">
        <f>SUM(U21:U24)</f>
        <v>1</v>
      </c>
      <c r="V25" s="65">
        <f>SUM(V21:V24)</f>
        <v>203.38000000000002</v>
      </c>
      <c r="W25" s="65">
        <f>SUM(W21:W24)</f>
        <v>137.26667955536337</v>
      </c>
      <c r="X25" s="13">
        <f>SUM(X21:X24)</f>
        <v>66.113320444636642</v>
      </c>
    </row>
    <row r="26" spans="4:24" ht="30" x14ac:dyDescent="0.25">
      <c r="D26" s="104" t="s">
        <v>3002</v>
      </c>
      <c r="E26" s="17">
        <f>3.47*10000000</f>
        <v>34700000</v>
      </c>
      <c r="F26" s="17">
        <f>50%*E26</f>
        <v>17350000</v>
      </c>
      <c r="G26" s="17">
        <f>100%*F26</f>
        <v>17350000</v>
      </c>
      <c r="H26" s="17">
        <f t="shared" si="3"/>
        <v>0</v>
      </c>
    </row>
    <row r="27" spans="4:24" x14ac:dyDescent="0.25">
      <c r="D27" s="16" t="s">
        <v>881</v>
      </c>
      <c r="E27" s="17">
        <f>SUM(E22:E26)</f>
        <v>2033800000</v>
      </c>
      <c r="F27" s="17">
        <f>SUM(F22:F26)</f>
        <v>1016900000</v>
      </c>
      <c r="G27" s="17">
        <f>SUM(G22:G26)</f>
        <v>866967500</v>
      </c>
      <c r="H27" s="17">
        <f>SUM(H22:H26)</f>
        <v>149932500</v>
      </c>
    </row>
    <row r="28" spans="4:24" x14ac:dyDescent="0.25">
      <c r="D28" s="16"/>
      <c r="E28" s="16"/>
      <c r="F28" s="16"/>
      <c r="G28" s="16"/>
      <c r="H28" s="16"/>
    </row>
    <row r="30" spans="4:24" ht="15.75" x14ac:dyDescent="0.25">
      <c r="D30" s="252" t="s">
        <v>2323</v>
      </c>
      <c r="E30" s="252"/>
      <c r="F30" s="252"/>
      <c r="G30" s="252"/>
      <c r="H30" s="252"/>
    </row>
    <row r="31" spans="4:24" ht="30" x14ac:dyDescent="0.25">
      <c r="D31" s="173" t="s">
        <v>2991</v>
      </c>
      <c r="E31" s="173" t="s">
        <v>3066</v>
      </c>
      <c r="F31" s="173" t="s">
        <v>3005</v>
      </c>
      <c r="G31" s="173" t="s">
        <v>3007</v>
      </c>
      <c r="H31" s="173" t="s">
        <v>2992</v>
      </c>
    </row>
    <row r="32" spans="4:24" x14ac:dyDescent="0.25">
      <c r="D32" s="16"/>
      <c r="E32" s="16"/>
      <c r="F32" s="16"/>
      <c r="G32" s="16"/>
      <c r="H32" s="16"/>
    </row>
    <row r="33" spans="4:12" x14ac:dyDescent="0.25">
      <c r="D33" s="104" t="s">
        <v>2993</v>
      </c>
      <c r="E33" s="17">
        <f>157.05*10000000</f>
        <v>1570500000</v>
      </c>
      <c r="F33" s="17">
        <f>25%*E33</f>
        <v>392625000</v>
      </c>
      <c r="G33" s="17">
        <f>F33-H33</f>
        <v>0</v>
      </c>
      <c r="H33" s="17">
        <v>392625000</v>
      </c>
    </row>
    <row r="34" spans="4:12" x14ac:dyDescent="0.25">
      <c r="D34" s="104" t="s">
        <v>2994</v>
      </c>
      <c r="E34" s="17">
        <f>33*10000000</f>
        <v>330000000</v>
      </c>
      <c r="F34" s="17">
        <f t="shared" ref="F34:F37" si="4">25%*E34</f>
        <v>82500000</v>
      </c>
      <c r="G34" s="17">
        <f t="shared" ref="G34:G38" si="5">F34-H34</f>
        <v>0</v>
      </c>
      <c r="H34" s="17">
        <v>82500000</v>
      </c>
    </row>
    <row r="35" spans="4:12" x14ac:dyDescent="0.25">
      <c r="D35" s="104" t="s">
        <v>2995</v>
      </c>
      <c r="E35" s="17">
        <f>1.5*10000000</f>
        <v>15000000</v>
      </c>
      <c r="F35" s="17">
        <f t="shared" si="4"/>
        <v>3750000</v>
      </c>
      <c r="G35" s="17">
        <f t="shared" si="5"/>
        <v>0</v>
      </c>
      <c r="H35" s="17">
        <v>3750000</v>
      </c>
      <c r="L35" s="18"/>
    </row>
    <row r="36" spans="4:12" x14ac:dyDescent="0.25">
      <c r="D36" s="104" t="s">
        <v>2996</v>
      </c>
      <c r="E36" s="17">
        <f>8.36*10000000</f>
        <v>83600000</v>
      </c>
      <c r="F36" s="17">
        <f t="shared" si="4"/>
        <v>20900000</v>
      </c>
      <c r="G36" s="17">
        <f t="shared" si="5"/>
        <v>0</v>
      </c>
      <c r="H36" s="17">
        <v>20900000</v>
      </c>
    </row>
    <row r="37" spans="4:12" ht="30" x14ac:dyDescent="0.25">
      <c r="D37" s="104" t="s">
        <v>3002</v>
      </c>
      <c r="E37" s="17">
        <f>3.47*10000000</f>
        <v>34700000</v>
      </c>
      <c r="F37" s="17">
        <f t="shared" si="4"/>
        <v>8675000</v>
      </c>
      <c r="G37" s="17">
        <f t="shared" si="5"/>
        <v>0</v>
      </c>
      <c r="H37" s="17">
        <v>8675000</v>
      </c>
    </row>
    <row r="38" spans="4:12" x14ac:dyDescent="0.25">
      <c r="D38" s="16" t="s">
        <v>881</v>
      </c>
      <c r="E38" s="17">
        <f>SUM(E33:E37)</f>
        <v>2033800000</v>
      </c>
      <c r="F38" s="17">
        <f>SUM(F33:F37)</f>
        <v>508450000</v>
      </c>
      <c r="G38" s="17">
        <f t="shared" si="5"/>
        <v>0</v>
      </c>
      <c r="H38" s="17">
        <v>508450000</v>
      </c>
    </row>
    <row r="39" spans="4:12" x14ac:dyDescent="0.25">
      <c r="D39" s="16"/>
      <c r="E39" s="16"/>
      <c r="F39" s="16"/>
      <c r="G39" s="16"/>
      <c r="H39" s="16"/>
    </row>
    <row r="41" spans="4:12" ht="15.75" x14ac:dyDescent="0.25">
      <c r="D41" s="252" t="s">
        <v>3101</v>
      </c>
      <c r="E41" s="252"/>
      <c r="F41" s="252"/>
      <c r="G41" s="252"/>
      <c r="H41" s="252"/>
    </row>
    <row r="42" spans="4:12" ht="30" x14ac:dyDescent="0.25">
      <c r="D42" s="173" t="s">
        <v>2991</v>
      </c>
      <c r="E42" s="173" t="s">
        <v>3066</v>
      </c>
      <c r="F42" s="173" t="s">
        <v>3006</v>
      </c>
      <c r="G42" s="173" t="s">
        <v>3007</v>
      </c>
      <c r="H42" s="173" t="s">
        <v>2992</v>
      </c>
    </row>
    <row r="43" spans="4:12" x14ac:dyDescent="0.25">
      <c r="D43" s="16"/>
      <c r="E43" s="16"/>
      <c r="F43" s="16"/>
      <c r="G43" s="16"/>
      <c r="H43" s="16"/>
    </row>
    <row r="44" spans="4:12" x14ac:dyDescent="0.25">
      <c r="D44" s="104" t="s">
        <v>2993</v>
      </c>
      <c r="E44" s="17">
        <f>157.05*10000000</f>
        <v>1570500000</v>
      </c>
      <c r="F44" s="17">
        <f>3%*E44</f>
        <v>47115000</v>
      </c>
      <c r="G44" s="17">
        <v>47115000</v>
      </c>
      <c r="H44" s="101">
        <f>F44-G44</f>
        <v>0</v>
      </c>
    </row>
    <row r="45" spans="4:12" x14ac:dyDescent="0.25">
      <c r="D45" s="104" t="s">
        <v>2994</v>
      </c>
      <c r="E45" s="17">
        <f>33*10000000</f>
        <v>330000000</v>
      </c>
      <c r="F45" s="17">
        <f t="shared" ref="F45:F48" si="6">3%*E45</f>
        <v>9900000</v>
      </c>
      <c r="G45" s="17">
        <v>9900000</v>
      </c>
      <c r="H45" s="101">
        <f t="shared" ref="H45:H49" si="7">F45-G45</f>
        <v>0</v>
      </c>
    </row>
    <row r="46" spans="4:12" x14ac:dyDescent="0.25">
      <c r="D46" s="104" t="s">
        <v>2995</v>
      </c>
      <c r="E46" s="17">
        <f>1.5*10000000</f>
        <v>15000000</v>
      </c>
      <c r="F46" s="17">
        <f t="shared" si="6"/>
        <v>450000</v>
      </c>
      <c r="G46" s="17">
        <v>450000</v>
      </c>
      <c r="H46" s="101">
        <f t="shared" si="7"/>
        <v>0</v>
      </c>
    </row>
    <row r="47" spans="4:12" x14ac:dyDescent="0.25">
      <c r="D47" s="104" t="s">
        <v>2996</v>
      </c>
      <c r="E47" s="17">
        <f>8.36*10000000</f>
        <v>83600000</v>
      </c>
      <c r="F47" s="17">
        <f t="shared" si="6"/>
        <v>2508000</v>
      </c>
      <c r="G47" s="17">
        <v>0</v>
      </c>
      <c r="H47" s="101">
        <f t="shared" si="7"/>
        <v>2508000</v>
      </c>
    </row>
    <row r="48" spans="4:12" ht="30" x14ac:dyDescent="0.25">
      <c r="D48" s="104" t="s">
        <v>3002</v>
      </c>
      <c r="E48" s="17">
        <f>3.47*10000000</f>
        <v>34700000</v>
      </c>
      <c r="F48" s="17">
        <f t="shared" si="6"/>
        <v>1041000</v>
      </c>
      <c r="G48" s="17">
        <v>1041000</v>
      </c>
      <c r="H48" s="101">
        <f t="shared" si="7"/>
        <v>0</v>
      </c>
    </row>
    <row r="49" spans="4:8" x14ac:dyDescent="0.25">
      <c r="D49" s="16" t="s">
        <v>881</v>
      </c>
      <c r="E49" s="17">
        <f>SUM(E44:E48)</f>
        <v>2033800000</v>
      </c>
      <c r="F49" s="17">
        <f>SUM(F44:F48)</f>
        <v>61014000</v>
      </c>
      <c r="G49" s="17">
        <f>SUM(G44:G48)</f>
        <v>58506000</v>
      </c>
      <c r="H49" s="101">
        <f t="shared" si="7"/>
        <v>2508000</v>
      </c>
    </row>
    <row r="50" spans="4:8" x14ac:dyDescent="0.25">
      <c r="D50" s="16"/>
      <c r="E50" s="16"/>
      <c r="F50" s="16"/>
      <c r="G50" s="16"/>
      <c r="H50" s="16"/>
    </row>
  </sheetData>
  <mergeCells count="5">
    <mergeCell ref="D41:H41"/>
    <mergeCell ref="D18:H18"/>
    <mergeCell ref="D6:H6"/>
    <mergeCell ref="D19:H19"/>
    <mergeCell ref="D30:H3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S59"/>
  <sheetViews>
    <sheetView topLeftCell="A37" zoomScaleNormal="100" workbookViewId="0">
      <selection activeCell="B51" sqref="B51:K51"/>
    </sheetView>
  </sheetViews>
  <sheetFormatPr defaultRowHeight="15" x14ac:dyDescent="0.25"/>
  <cols>
    <col min="2" max="2" width="21.140625" customWidth="1"/>
    <col min="3" max="3" width="37.85546875" customWidth="1"/>
    <col min="4" max="4" width="21.85546875" bestFit="1" customWidth="1"/>
    <col min="5" max="5" width="15" bestFit="1" customWidth="1"/>
    <col min="6" max="7" width="14.85546875" bestFit="1" customWidth="1"/>
    <col min="8" max="11" width="14.85546875" customWidth="1"/>
    <col min="13" max="13" width="16.42578125" bestFit="1" customWidth="1"/>
  </cols>
  <sheetData>
    <row r="2" spans="2:13" ht="15.75" customHeight="1" x14ac:dyDescent="0.25">
      <c r="B2" s="275" t="s">
        <v>3106</v>
      </c>
      <c r="C2" s="276"/>
      <c r="D2" s="276"/>
      <c r="E2" s="276"/>
      <c r="F2" s="276"/>
      <c r="G2" s="276"/>
      <c r="H2" s="276"/>
      <c r="I2" s="276"/>
      <c r="J2" s="276"/>
      <c r="K2" s="277"/>
    </row>
    <row r="3" spans="2:13" x14ac:dyDescent="0.25">
      <c r="B3" s="211"/>
      <c r="C3" s="211"/>
      <c r="D3" s="211"/>
      <c r="E3" s="211"/>
      <c r="F3" s="211"/>
      <c r="G3" s="211"/>
      <c r="H3" s="211"/>
      <c r="I3" s="211"/>
      <c r="J3" s="211"/>
      <c r="K3" s="211"/>
    </row>
    <row r="4" spans="2:13" x14ac:dyDescent="0.25">
      <c r="B4" s="194" t="s">
        <v>3008</v>
      </c>
      <c r="C4" s="194" t="s">
        <v>3009</v>
      </c>
      <c r="D4" s="148">
        <v>44460</v>
      </c>
      <c r="E4" s="148">
        <v>44825</v>
      </c>
      <c r="F4" s="148">
        <v>45190</v>
      </c>
      <c r="G4" s="148">
        <v>45556</v>
      </c>
      <c r="H4" s="148">
        <v>45921</v>
      </c>
      <c r="I4" s="148">
        <v>46286</v>
      </c>
      <c r="J4" s="148">
        <v>46651</v>
      </c>
      <c r="K4" s="278" t="s">
        <v>3010</v>
      </c>
    </row>
    <row r="5" spans="2:13" x14ac:dyDescent="0.25">
      <c r="B5" s="194"/>
      <c r="C5" s="194"/>
      <c r="D5" s="148">
        <v>44825</v>
      </c>
      <c r="E5" s="148">
        <v>45190</v>
      </c>
      <c r="F5" s="148">
        <v>45556</v>
      </c>
      <c r="G5" s="148">
        <v>45921</v>
      </c>
      <c r="H5" s="148">
        <v>46286</v>
      </c>
      <c r="I5" s="148">
        <v>46651</v>
      </c>
      <c r="J5" s="148">
        <v>47017</v>
      </c>
      <c r="K5" s="278"/>
    </row>
    <row r="6" spans="2:13" x14ac:dyDescent="0.25">
      <c r="B6" s="254" t="s">
        <v>3011</v>
      </c>
      <c r="C6" s="254"/>
      <c r="D6" s="254"/>
      <c r="E6" s="254"/>
      <c r="F6" s="108"/>
      <c r="G6" s="108"/>
      <c r="H6" s="160"/>
      <c r="I6" s="160"/>
      <c r="J6" s="160"/>
      <c r="K6" s="109"/>
    </row>
    <row r="7" spans="2:13" x14ac:dyDescent="0.25">
      <c r="B7" s="281"/>
      <c r="C7" s="282"/>
      <c r="D7" s="282"/>
      <c r="E7" s="282"/>
      <c r="F7" s="282"/>
      <c r="G7" s="282"/>
      <c r="H7" s="282"/>
      <c r="I7" s="282"/>
      <c r="J7" s="282"/>
      <c r="K7" s="283"/>
    </row>
    <row r="8" spans="2:13" x14ac:dyDescent="0.25">
      <c r="B8" s="253" t="s">
        <v>3031</v>
      </c>
      <c r="C8" s="253"/>
      <c r="D8" s="101">
        <f>Inflow!K13</f>
        <v>103.82174999999999</v>
      </c>
      <c r="E8" s="78">
        <f>Inflow!L13</f>
        <v>130.815405</v>
      </c>
      <c r="F8" s="78">
        <f>Inflow!M13</f>
        <v>124.58609999999999</v>
      </c>
      <c r="G8" s="78">
        <f>Inflow!N13</f>
        <v>62.293049999999994</v>
      </c>
      <c r="H8" s="78">
        <v>0</v>
      </c>
      <c r="I8" s="78">
        <v>0</v>
      </c>
      <c r="J8" s="78">
        <v>0</v>
      </c>
      <c r="K8" s="122">
        <f>SUM(D8:J8)</f>
        <v>421.51630499999999</v>
      </c>
      <c r="M8" s="111"/>
    </row>
    <row r="9" spans="2:13" x14ac:dyDescent="0.25">
      <c r="B9" s="253" t="s">
        <v>3032</v>
      </c>
      <c r="C9" s="253"/>
      <c r="D9" s="101">
        <f>Inflow!Q13</f>
        <v>0</v>
      </c>
      <c r="E9" s="78">
        <f>Inflow!R13</f>
        <v>78.386875000000003</v>
      </c>
      <c r="F9" s="78">
        <f>Inflow!S13</f>
        <v>78.386875000000003</v>
      </c>
      <c r="G9" s="78">
        <f>Inflow!T13</f>
        <v>156.77375000000001</v>
      </c>
      <c r="H9" s="78">
        <f>Inflow!U13</f>
        <v>156.77375000000001</v>
      </c>
      <c r="I9" s="78">
        <f>Inflow!V13</f>
        <v>156.77375000000001</v>
      </c>
      <c r="J9" s="78">
        <f>Inflow!W13</f>
        <v>156.77375000000001</v>
      </c>
      <c r="K9" s="122">
        <f t="shared" ref="K9:K10" si="0">SUM(D9:J9)</f>
        <v>783.86875000000009</v>
      </c>
      <c r="M9" s="111"/>
    </row>
    <row r="10" spans="2:13" x14ac:dyDescent="0.25">
      <c r="B10" s="253" t="s">
        <v>3035</v>
      </c>
      <c r="C10" s="253"/>
      <c r="D10" s="101">
        <f>Inflow!Z13</f>
        <v>56.409350000000003</v>
      </c>
      <c r="E10" s="78">
        <f>Inflow!AA13</f>
        <v>57.81958375</v>
      </c>
      <c r="F10" s="78">
        <f>Inflow!AB13</f>
        <v>57.81958375</v>
      </c>
      <c r="G10" s="78">
        <f>Inflow!AC13</f>
        <v>59.229817500000003</v>
      </c>
      <c r="H10" s="78">
        <v>0</v>
      </c>
      <c r="I10" s="78">
        <v>0</v>
      </c>
      <c r="J10" s="78">
        <v>0</v>
      </c>
      <c r="K10" s="122">
        <f t="shared" si="0"/>
        <v>231.278335</v>
      </c>
      <c r="M10" s="111"/>
    </row>
    <row r="11" spans="2:13" x14ac:dyDescent="0.25">
      <c r="B11" s="257"/>
      <c r="C11" s="258"/>
      <c r="D11" s="101"/>
      <c r="E11" s="78"/>
      <c r="F11" s="78"/>
      <c r="G11" s="78"/>
      <c r="H11" s="78"/>
      <c r="I11" s="78"/>
      <c r="J11" s="78"/>
      <c r="K11" s="122"/>
      <c r="M11" s="111"/>
    </row>
    <row r="12" spans="2:13" x14ac:dyDescent="0.25">
      <c r="B12" s="253" t="s">
        <v>3033</v>
      </c>
      <c r="C12" s="253"/>
      <c r="D12" s="122">
        <f>(Recievables!$H$10/4)/10^6</f>
        <v>47.501194932500006</v>
      </c>
      <c r="E12" s="122">
        <f>(Recievables!$H$10/4)/10^6</f>
        <v>47.501194932500006</v>
      </c>
      <c r="F12" s="122">
        <f>(Recievables!$H$10/4)/10^6</f>
        <v>47.501194932500006</v>
      </c>
      <c r="G12" s="122">
        <f>(Recievables!$H$10/4)/10^6</f>
        <v>47.501194932500006</v>
      </c>
      <c r="H12" s="122">
        <v>0</v>
      </c>
      <c r="I12" s="122">
        <v>0</v>
      </c>
      <c r="J12" s="122">
        <v>0</v>
      </c>
      <c r="K12" s="122">
        <f t="shared" ref="K12:K14" si="1">SUM(D12:G12)</f>
        <v>190.00477973000002</v>
      </c>
    </row>
    <row r="13" spans="2:13" x14ac:dyDescent="0.25">
      <c r="B13" s="253" t="s">
        <v>3034</v>
      </c>
      <c r="C13" s="253"/>
      <c r="D13" s="122">
        <f>((Recievables!$H$14)/10^6)/4</f>
        <v>27.579669750000001</v>
      </c>
      <c r="E13" s="122">
        <f>((Recievables!$H$14)/10^6)/4</f>
        <v>27.579669750000001</v>
      </c>
      <c r="F13" s="122">
        <f>((Recievables!$H$14)/10^6)/4</f>
        <v>27.579669750000001</v>
      </c>
      <c r="G13" s="122">
        <f>((Recievables!$H$14)/10^6)/4</f>
        <v>27.579669750000001</v>
      </c>
      <c r="H13" s="122">
        <v>0</v>
      </c>
      <c r="I13" s="122">
        <v>0</v>
      </c>
      <c r="J13" s="122">
        <v>0</v>
      </c>
      <c r="K13" s="122">
        <f t="shared" si="1"/>
        <v>110.318679</v>
      </c>
    </row>
    <row r="14" spans="2:13" x14ac:dyDescent="0.25">
      <c r="B14" s="253" t="s">
        <v>3036</v>
      </c>
      <c r="C14" s="253"/>
      <c r="D14" s="110">
        <f>Recievables!$H$18</f>
        <v>0</v>
      </c>
      <c r="E14" s="110">
        <f>Recievables!$H$18</f>
        <v>0</v>
      </c>
      <c r="F14" s="110">
        <f>Recievables!$H$18</f>
        <v>0</v>
      </c>
      <c r="G14" s="110">
        <f>Recievables!$H$18</f>
        <v>0</v>
      </c>
      <c r="H14" s="110">
        <v>0</v>
      </c>
      <c r="I14" s="110">
        <v>0</v>
      </c>
      <c r="J14" s="110">
        <v>0</v>
      </c>
      <c r="K14" s="122">
        <f t="shared" si="1"/>
        <v>0</v>
      </c>
    </row>
    <row r="15" spans="2:13" x14ac:dyDescent="0.25">
      <c r="B15" s="279"/>
      <c r="C15" s="279"/>
      <c r="D15" s="279"/>
      <c r="E15" s="279"/>
      <c r="F15" s="279"/>
      <c r="G15" s="279"/>
      <c r="H15" s="279"/>
      <c r="I15" s="279"/>
      <c r="J15" s="279"/>
      <c r="K15" s="279"/>
      <c r="M15" s="18"/>
    </row>
    <row r="16" spans="2:13" x14ac:dyDescent="0.25">
      <c r="B16" s="253" t="s">
        <v>3012</v>
      </c>
      <c r="C16" s="253"/>
      <c r="D16" s="122">
        <f>SUM(D8:D13)</f>
        <v>235.31196468249999</v>
      </c>
      <c r="E16" s="122">
        <f>SUM(E8:E13)</f>
        <v>342.10272843250004</v>
      </c>
      <c r="F16" s="122">
        <f>SUM(F8:F13)</f>
        <v>335.87342343250003</v>
      </c>
      <c r="G16" s="122">
        <f>SUM(G8:G13)</f>
        <v>353.37748218250005</v>
      </c>
      <c r="H16" s="122">
        <f t="shared" ref="H16:J16" si="2">SUM(H8:H13)</f>
        <v>156.77375000000001</v>
      </c>
      <c r="I16" s="122">
        <f t="shared" si="2"/>
        <v>156.77375000000001</v>
      </c>
      <c r="J16" s="122">
        <f t="shared" si="2"/>
        <v>156.77375000000001</v>
      </c>
      <c r="K16" s="122">
        <f>SUM(D16:J16)</f>
        <v>1736.9868487300002</v>
      </c>
    </row>
    <row r="17" spans="2:11" x14ac:dyDescent="0.25">
      <c r="B17" s="284"/>
      <c r="C17" s="285"/>
      <c r="D17" s="285"/>
      <c r="E17" s="285"/>
      <c r="F17" s="285"/>
      <c r="G17" s="285"/>
      <c r="H17" s="285"/>
      <c r="I17" s="285"/>
      <c r="J17" s="285"/>
      <c r="K17" s="286"/>
    </row>
    <row r="18" spans="2:11" x14ac:dyDescent="0.25">
      <c r="B18" s="254" t="s">
        <v>3013</v>
      </c>
      <c r="C18" s="254"/>
      <c r="D18" s="254"/>
      <c r="E18" s="254"/>
      <c r="F18" s="254"/>
      <c r="G18" s="254"/>
      <c r="H18" s="254"/>
      <c r="I18" s="254"/>
      <c r="J18" s="254"/>
      <c r="K18" s="254"/>
    </row>
    <row r="19" spans="2:11" x14ac:dyDescent="0.25">
      <c r="B19" s="265"/>
      <c r="C19" s="287"/>
      <c r="D19" s="287"/>
      <c r="E19" s="287"/>
      <c r="F19" s="287"/>
      <c r="G19" s="287"/>
      <c r="H19" s="287"/>
      <c r="I19" s="287"/>
      <c r="J19" s="287"/>
      <c r="K19" s="266"/>
    </row>
    <row r="20" spans="2:11" x14ac:dyDescent="0.25">
      <c r="B20" s="262" t="s">
        <v>3014</v>
      </c>
      <c r="C20" s="263"/>
      <c r="D20" s="263"/>
      <c r="E20" s="263"/>
      <c r="F20" s="263"/>
      <c r="G20" s="263"/>
      <c r="H20" s="263"/>
      <c r="I20" s="263"/>
      <c r="J20" s="263"/>
      <c r="K20" s="264"/>
    </row>
    <row r="21" spans="2:11" x14ac:dyDescent="0.25">
      <c r="B21" s="253" t="s">
        <v>3037</v>
      </c>
      <c r="C21" s="253"/>
      <c r="D21" s="122">
        <f>(('Total Outflow'!$H$22)/10^6)*70%</f>
        <v>82.451249999999987</v>
      </c>
      <c r="E21" s="122">
        <f>(('Total Outflow'!$H$22)/10^6)*30%*(1+5%)</f>
        <v>37.1030625</v>
      </c>
      <c r="F21" s="122">
        <v>0</v>
      </c>
      <c r="G21" s="122">
        <v>0</v>
      </c>
      <c r="H21" s="122">
        <v>0</v>
      </c>
      <c r="I21" s="122">
        <v>0</v>
      </c>
      <c r="J21" s="122">
        <v>0</v>
      </c>
      <c r="K21" s="122">
        <f>SUM(D21:J21)</f>
        <v>119.55431249999998</v>
      </c>
    </row>
    <row r="22" spans="2:11" x14ac:dyDescent="0.25">
      <c r="B22" s="253" t="s">
        <v>3038</v>
      </c>
      <c r="C22" s="253"/>
      <c r="D22" s="122">
        <v>0</v>
      </c>
      <c r="E22" s="122">
        <f>(('Total Outflow'!$H$33/10^6))*(1+5%)*30%</f>
        <v>123.676875</v>
      </c>
      <c r="F22" s="122">
        <f>(('Total Outflow'!$H$33/10^6))*(1+7.5%)*30%</f>
        <v>126.62156249999998</v>
      </c>
      <c r="G22" s="122">
        <f>(('Total Outflow'!$H$33/10^6))*(1+10%)*30%</f>
        <v>129.56625</v>
      </c>
      <c r="H22" s="122">
        <f>(('Total Outflow'!$H$33/10^6))*(1+12.5%)*10%</f>
        <v>44.170312500000001</v>
      </c>
      <c r="I22" s="122">
        <v>0</v>
      </c>
      <c r="J22" s="122">
        <v>0</v>
      </c>
      <c r="K22" s="122">
        <f>SUM(D22:J22)</f>
        <v>424.03499999999997</v>
      </c>
    </row>
    <row r="23" spans="2:11" x14ac:dyDescent="0.25">
      <c r="B23" s="253" t="s">
        <v>3039</v>
      </c>
      <c r="C23" s="253"/>
      <c r="D23" s="122">
        <f>'Total Outflow'!$H$44</f>
        <v>0</v>
      </c>
      <c r="E23" s="122">
        <f>'Total Outflow'!$H$44</f>
        <v>0</v>
      </c>
      <c r="F23" s="122">
        <f>'Total Outflow'!$H$44</f>
        <v>0</v>
      </c>
      <c r="G23" s="122">
        <f>'Total Outflow'!$H$44</f>
        <v>0</v>
      </c>
      <c r="H23" s="122">
        <v>0</v>
      </c>
      <c r="I23" s="122">
        <v>0</v>
      </c>
      <c r="J23" s="122">
        <v>0</v>
      </c>
      <c r="K23" s="122">
        <f>SUM(D23:J23)</f>
        <v>0</v>
      </c>
    </row>
    <row r="24" spans="2:11" x14ac:dyDescent="0.25">
      <c r="B24" s="257"/>
      <c r="C24" s="258"/>
      <c r="D24" s="122"/>
      <c r="E24" s="122"/>
      <c r="F24" s="122"/>
      <c r="G24" s="122"/>
      <c r="H24" s="122"/>
      <c r="I24" s="122"/>
      <c r="J24" s="122"/>
      <c r="K24" s="122"/>
    </row>
    <row r="25" spans="2:11" x14ac:dyDescent="0.25">
      <c r="B25" s="253" t="s">
        <v>3040</v>
      </c>
      <c r="C25" s="253"/>
      <c r="D25" s="122">
        <f>('Total Outflow'!$H$24/10^6)*70%</f>
        <v>0.78749999999999998</v>
      </c>
      <c r="E25" s="122">
        <f>('Total Outflow'!$H$24/10^6)*30%</f>
        <v>0.33749999999999997</v>
      </c>
      <c r="F25" s="122">
        <v>0</v>
      </c>
      <c r="G25" s="122">
        <v>0</v>
      </c>
      <c r="H25" s="122">
        <v>0</v>
      </c>
      <c r="I25" s="122">
        <v>0</v>
      </c>
      <c r="J25" s="122">
        <v>0</v>
      </c>
      <c r="K25" s="122">
        <f>SUM(D25:J25)</f>
        <v>1.125</v>
      </c>
    </row>
    <row r="26" spans="2:11" x14ac:dyDescent="0.25">
      <c r="B26" s="253" t="s">
        <v>3041</v>
      </c>
      <c r="C26" s="253"/>
      <c r="D26" s="122">
        <f>'Total Outflow'!$H$35/10^6/5</f>
        <v>0.75</v>
      </c>
      <c r="E26" s="122">
        <f>'Total Outflow'!$H$35/10^6/5</f>
        <v>0.75</v>
      </c>
      <c r="F26" s="122">
        <f>'Total Outflow'!$H$35/10^6/5</f>
        <v>0.75</v>
      </c>
      <c r="G26" s="122">
        <f>'Total Outflow'!$H$35/10^6/5</f>
        <v>0.75</v>
      </c>
      <c r="H26" s="122">
        <f>'Total Outflow'!$H$35/10^6/5</f>
        <v>0.75</v>
      </c>
      <c r="I26" s="122">
        <v>0</v>
      </c>
      <c r="J26" s="122">
        <v>0</v>
      </c>
      <c r="K26" s="122">
        <f t="shared" ref="K26:K27" si="3">SUM(D26:J26)</f>
        <v>3.75</v>
      </c>
    </row>
    <row r="27" spans="2:11" x14ac:dyDescent="0.25">
      <c r="B27" s="253" t="s">
        <v>3042</v>
      </c>
      <c r="C27" s="253"/>
      <c r="D27" s="122">
        <f>'Total Outflow'!$H$46/10^6/4</f>
        <v>0</v>
      </c>
      <c r="E27" s="122">
        <f>'Total Outflow'!$H$46</f>
        <v>0</v>
      </c>
      <c r="F27" s="122">
        <f>'Total Outflow'!$H$46</f>
        <v>0</v>
      </c>
      <c r="G27" s="122">
        <f>'Total Outflow'!$H$46</f>
        <v>0</v>
      </c>
      <c r="H27" s="122">
        <v>0</v>
      </c>
      <c r="I27" s="122">
        <v>0</v>
      </c>
      <c r="J27" s="122">
        <v>0</v>
      </c>
      <c r="K27" s="122">
        <f t="shared" si="3"/>
        <v>0</v>
      </c>
    </row>
    <row r="28" spans="2:11" x14ac:dyDescent="0.25">
      <c r="B28" s="265"/>
      <c r="C28" s="266"/>
      <c r="D28" s="113"/>
      <c r="E28" s="113"/>
      <c r="F28" s="113"/>
      <c r="G28" s="113"/>
      <c r="H28" s="159"/>
      <c r="I28" s="159"/>
      <c r="J28" s="159"/>
      <c r="K28" s="122"/>
    </row>
    <row r="29" spans="2:11" x14ac:dyDescent="0.25">
      <c r="B29" s="262" t="s">
        <v>3015</v>
      </c>
      <c r="C29" s="263"/>
      <c r="D29" s="263"/>
      <c r="E29" s="263"/>
      <c r="F29" s="263"/>
      <c r="G29" s="263"/>
      <c r="H29" s="263"/>
      <c r="I29" s="263"/>
      <c r="J29" s="263"/>
      <c r="K29" s="264"/>
    </row>
    <row r="30" spans="2:11" x14ac:dyDescent="0.25">
      <c r="B30" s="253" t="s">
        <v>3043</v>
      </c>
      <c r="C30" s="256"/>
      <c r="D30" s="122">
        <f>('Total Outflow'!$H$23/10^6)*70%</f>
        <v>17.324999999999999</v>
      </c>
      <c r="E30" s="122">
        <f>('Total Outflow'!$H$23/10^6)*30%*(1+5%)</f>
        <v>7.7962500000000006</v>
      </c>
      <c r="F30" s="122">
        <v>0</v>
      </c>
      <c r="G30" s="122">
        <v>0</v>
      </c>
      <c r="H30" s="122">
        <v>0</v>
      </c>
      <c r="I30" s="122">
        <v>0</v>
      </c>
      <c r="J30" s="122">
        <v>0</v>
      </c>
      <c r="K30" s="122">
        <f>SUM(D30:J30)</f>
        <v>25.12125</v>
      </c>
    </row>
    <row r="31" spans="2:11" x14ac:dyDescent="0.25">
      <c r="B31" s="253" t="s">
        <v>3044</v>
      </c>
      <c r="C31" s="256"/>
      <c r="D31" s="122">
        <v>0</v>
      </c>
      <c r="E31" s="122">
        <f>('Total Outflow'!$H$34/10^6)*(1+5%)*30%</f>
        <v>25.987500000000001</v>
      </c>
      <c r="F31" s="122">
        <f>('Total Outflow'!$H$34/10^6)*(1+7.5%)*30%</f>
        <v>26.606249999999999</v>
      </c>
      <c r="G31" s="122">
        <f>('Total Outflow'!$H$34/10^6)*(1+10%)*30%</f>
        <v>27.225000000000005</v>
      </c>
      <c r="H31" s="122">
        <f>('Total Outflow'!$H$34/10^6)*(1+12.5%)*10%</f>
        <v>9.28125</v>
      </c>
      <c r="I31" s="122">
        <v>0</v>
      </c>
      <c r="J31" s="122">
        <v>0</v>
      </c>
      <c r="K31" s="122">
        <f>SUM(D31:J31)</f>
        <v>89.100000000000009</v>
      </c>
    </row>
    <row r="32" spans="2:11" x14ac:dyDescent="0.25">
      <c r="B32" s="253" t="s">
        <v>3045</v>
      </c>
      <c r="C32" s="256"/>
      <c r="D32" s="122">
        <f>'Total Outflow'!$H$45</f>
        <v>0</v>
      </c>
      <c r="E32" s="122">
        <f>'Total Outflow'!$H$45</f>
        <v>0</v>
      </c>
      <c r="F32" s="122">
        <f>'Total Outflow'!$H$45</f>
        <v>0</v>
      </c>
      <c r="G32" s="122">
        <f>'Total Outflow'!$H$45</f>
        <v>0</v>
      </c>
      <c r="H32" s="122">
        <v>0</v>
      </c>
      <c r="I32" s="122">
        <v>0</v>
      </c>
      <c r="J32" s="122">
        <v>0</v>
      </c>
      <c r="K32" s="122">
        <f>SUM(D32:J32)</f>
        <v>0</v>
      </c>
    </row>
    <row r="33" spans="2:19" x14ac:dyDescent="0.25">
      <c r="B33" s="257"/>
      <c r="C33" s="258"/>
      <c r="D33" s="122"/>
      <c r="E33" s="122"/>
      <c r="F33" s="122"/>
      <c r="G33" s="122"/>
      <c r="H33" s="122"/>
      <c r="I33" s="122"/>
      <c r="J33" s="122"/>
      <c r="K33" s="122"/>
    </row>
    <row r="34" spans="2:19" x14ac:dyDescent="0.25">
      <c r="B34" s="253" t="s">
        <v>3046</v>
      </c>
      <c r="C34" s="256"/>
      <c r="D34" s="122">
        <f>('Total Outflow'!$H$25/10^6)*25%</f>
        <v>1.5674999999999999</v>
      </c>
      <c r="E34" s="122">
        <f>('Total Outflow'!$H$25/10^6)*30%*(1+5%)</f>
        <v>1.9750499999999998</v>
      </c>
      <c r="F34" s="122">
        <f>('Total Outflow'!$H$25/10^6)*30%*(1+7.5%)</f>
        <v>2.0220749999999996</v>
      </c>
      <c r="G34" s="122">
        <f>('Total Outflow'!$H$25/10^6)*15%*(1+10%)</f>
        <v>1.0345499999999999</v>
      </c>
      <c r="H34" s="122">
        <v>0</v>
      </c>
      <c r="I34" s="122">
        <v>0</v>
      </c>
      <c r="J34" s="122">
        <v>0</v>
      </c>
      <c r="K34" s="122">
        <f>SUM(D34:J34)</f>
        <v>6.5991749999999989</v>
      </c>
      <c r="Q34" s="114"/>
      <c r="R34" s="114"/>
    </row>
    <row r="35" spans="2:19" x14ac:dyDescent="0.25">
      <c r="B35" s="253" t="s">
        <v>3047</v>
      </c>
      <c r="C35" s="256"/>
      <c r="D35" s="122">
        <f>('Total Outflow'!$H$36/10^6)*0%</f>
        <v>0</v>
      </c>
      <c r="E35" s="122">
        <f>('Total Outflow'!$H$36/10^6)*10%*(1+5%)</f>
        <v>2.1945000000000001</v>
      </c>
      <c r="F35" s="122">
        <f>('Total Outflow'!$H$36/10^6)*10%*(1+7.5%)</f>
        <v>2.2467499999999996</v>
      </c>
      <c r="G35" s="122">
        <f>('Total Outflow'!$H$36/10^6)*20%*(1+10%)</f>
        <v>4.5979999999999999</v>
      </c>
      <c r="H35" s="122">
        <f>('Total Outflow'!$H$36/10^6)*20%*(1+12.5%)</f>
        <v>4.7024999999999997</v>
      </c>
      <c r="I35" s="122">
        <f>('Total Outflow'!$H$36/10^6)*20%*(1+15%)</f>
        <v>4.8069999999999995</v>
      </c>
      <c r="J35" s="122">
        <f>('Total Outflow'!$H$36/10^6)*20%*(1+17.5%)</f>
        <v>4.9115000000000002</v>
      </c>
      <c r="K35" s="122">
        <f>SUM(D35:J35)</f>
        <v>23.460249999999998</v>
      </c>
      <c r="Q35" s="114"/>
      <c r="R35" s="114"/>
    </row>
    <row r="36" spans="2:19" x14ac:dyDescent="0.25">
      <c r="B36" s="253" t="s">
        <v>3048</v>
      </c>
      <c r="C36" s="256"/>
      <c r="D36" s="122">
        <f>('Total Outflow'!$H$47/10^6)*25%</f>
        <v>0.627</v>
      </c>
      <c r="E36" s="122">
        <f>('Total Outflow'!$H$47/10^6)*25%*(1+5%)</f>
        <v>0.65834999999999999</v>
      </c>
      <c r="F36" s="122">
        <f>('Total Outflow'!$H$47/10^6)*25%*(1+7.5%)</f>
        <v>0.67402499999999999</v>
      </c>
      <c r="G36" s="122">
        <f>('Total Outflow'!$H$47/10^6)*25%*(1+10%)</f>
        <v>0.68970000000000009</v>
      </c>
      <c r="H36" s="122">
        <v>0</v>
      </c>
      <c r="I36" s="122">
        <v>0</v>
      </c>
      <c r="J36" s="122">
        <v>0</v>
      </c>
      <c r="K36" s="122">
        <f>SUM(D36:J36)</f>
        <v>2.6490750000000003</v>
      </c>
      <c r="Q36" s="114"/>
      <c r="R36" s="114"/>
    </row>
    <row r="37" spans="2:19" x14ac:dyDescent="0.25">
      <c r="B37" s="113"/>
      <c r="C37" s="113"/>
      <c r="D37" s="113"/>
      <c r="E37" s="113"/>
      <c r="F37" s="113"/>
      <c r="G37" s="113"/>
      <c r="H37" s="159"/>
      <c r="I37" s="159"/>
      <c r="J37" s="159"/>
      <c r="K37" s="112"/>
      <c r="Q37" s="114"/>
      <c r="R37" s="115"/>
    </row>
    <row r="38" spans="2:19" x14ac:dyDescent="0.25">
      <c r="B38" s="280" t="s">
        <v>3016</v>
      </c>
      <c r="C38" s="280"/>
      <c r="D38" s="122">
        <f>SUM(D21:D23,D25:D27,D30:D32,D34:D36)</f>
        <v>103.50824999999998</v>
      </c>
      <c r="E38" s="122">
        <f t="shared" ref="E38:J38" si="4">SUM(E21:E23,E25:E27,E30:E32,E34:E36)</f>
        <v>200.47908750000002</v>
      </c>
      <c r="F38" s="122">
        <f t="shared" si="4"/>
        <v>158.92066249999996</v>
      </c>
      <c r="G38" s="122">
        <f t="shared" si="4"/>
        <v>163.86349999999999</v>
      </c>
      <c r="H38" s="122">
        <f t="shared" si="4"/>
        <v>58.904062500000002</v>
      </c>
      <c r="I38" s="122">
        <f t="shared" si="4"/>
        <v>4.8069999999999995</v>
      </c>
      <c r="J38" s="122">
        <f t="shared" si="4"/>
        <v>4.9115000000000002</v>
      </c>
      <c r="K38" s="122">
        <f>SUM(D38:J38)</f>
        <v>695.3940624999999</v>
      </c>
    </row>
    <row r="39" spans="2:19" x14ac:dyDescent="0.25">
      <c r="B39" s="268"/>
      <c r="C39" s="268"/>
      <c r="D39" s="268"/>
      <c r="E39" s="268"/>
      <c r="F39" s="268"/>
      <c r="G39" s="268"/>
      <c r="H39" s="161"/>
      <c r="I39" s="161"/>
      <c r="J39" s="161"/>
      <c r="K39" s="112"/>
      <c r="M39" s="118"/>
      <c r="Q39" s="116"/>
    </row>
    <row r="40" spans="2:19" x14ac:dyDescent="0.25">
      <c r="B40" s="267" t="s">
        <v>3017</v>
      </c>
      <c r="C40" s="267"/>
      <c r="D40" s="176">
        <f>D16-D38</f>
        <v>131.80371468250001</v>
      </c>
      <c r="E40" s="176">
        <f t="shared" ref="E40:J40" si="5">E16-E38</f>
        <v>141.62364093250002</v>
      </c>
      <c r="F40" s="176">
        <f t="shared" si="5"/>
        <v>176.95276093250007</v>
      </c>
      <c r="G40" s="176">
        <f t="shared" si="5"/>
        <v>189.51398218250006</v>
      </c>
      <c r="H40" s="176">
        <f t="shared" si="5"/>
        <v>97.869687499999998</v>
      </c>
      <c r="I40" s="176">
        <f t="shared" si="5"/>
        <v>151.96675000000002</v>
      </c>
      <c r="J40" s="176">
        <f t="shared" si="5"/>
        <v>151.86225000000002</v>
      </c>
      <c r="K40" s="176">
        <f>K16-K38</f>
        <v>1041.5927862300005</v>
      </c>
    </row>
    <row r="41" spans="2:19" x14ac:dyDescent="0.25">
      <c r="B41" s="256"/>
      <c r="C41" s="256"/>
      <c r="D41" s="256"/>
      <c r="E41" s="256"/>
      <c r="F41" s="113"/>
      <c r="G41" s="113"/>
      <c r="H41" s="159"/>
      <c r="I41" s="159"/>
      <c r="J41" s="159"/>
      <c r="K41" s="100"/>
      <c r="Q41" t="s">
        <v>3018</v>
      </c>
      <c r="R41" s="115">
        <v>0.125</v>
      </c>
      <c r="S41" s="114">
        <v>0.5</v>
      </c>
    </row>
    <row r="42" spans="2:19" x14ac:dyDescent="0.25">
      <c r="B42" s="267" t="s">
        <v>3019</v>
      </c>
      <c r="C42" s="267"/>
      <c r="D42" s="117">
        <f>XNPV(D44,D40:J40,D5:J5)</f>
        <v>677.47858826177628</v>
      </c>
      <c r="E42" s="259"/>
      <c r="F42" s="259"/>
      <c r="G42" s="259"/>
      <c r="H42" s="259"/>
      <c r="I42" s="259"/>
      <c r="J42" s="259"/>
      <c r="K42" s="259"/>
      <c r="L42" s="118"/>
      <c r="M42" s="111"/>
      <c r="Q42" t="s">
        <v>3020</v>
      </c>
      <c r="R42" s="115">
        <v>0.22</v>
      </c>
      <c r="S42" s="114">
        <v>0.5</v>
      </c>
    </row>
    <row r="43" spans="2:19" x14ac:dyDescent="0.25">
      <c r="B43" s="260"/>
      <c r="C43" s="260"/>
      <c r="D43" s="260"/>
      <c r="E43" s="259"/>
      <c r="F43" s="259"/>
      <c r="G43" s="259"/>
      <c r="H43" s="259"/>
      <c r="I43" s="259"/>
      <c r="J43" s="259"/>
      <c r="K43" s="259"/>
      <c r="M43" s="111"/>
    </row>
    <row r="44" spans="2:19" x14ac:dyDescent="0.25">
      <c r="B44" s="261" t="s">
        <v>3021</v>
      </c>
      <c r="C44" s="261"/>
      <c r="D44" s="119">
        <f>S44</f>
        <v>0.17249999999999999</v>
      </c>
      <c r="E44" s="259"/>
      <c r="F44" s="259"/>
      <c r="G44" s="259"/>
      <c r="H44" s="259"/>
      <c r="I44" s="259"/>
      <c r="J44" s="259"/>
      <c r="K44" s="259"/>
      <c r="R44" t="s">
        <v>3022</v>
      </c>
      <c r="S44" s="116">
        <f>SUMPRODUCT(R41:R42,S41:S42)</f>
        <v>0.17249999999999999</v>
      </c>
    </row>
    <row r="45" spans="2:19" x14ac:dyDescent="0.25">
      <c r="B45" s="255"/>
      <c r="C45" s="255"/>
      <c r="D45" s="255"/>
      <c r="E45" s="255"/>
      <c r="F45" s="255"/>
      <c r="G45" s="255"/>
      <c r="H45" s="255"/>
      <c r="I45" s="255"/>
      <c r="J45" s="255"/>
      <c r="K45" s="255"/>
    </row>
    <row r="46" spans="2:19" x14ac:dyDescent="0.25">
      <c r="B46" s="270" t="s">
        <v>3023</v>
      </c>
      <c r="C46" s="270"/>
      <c r="D46" s="270"/>
      <c r="E46" s="270"/>
      <c r="F46" s="270"/>
      <c r="G46" s="270"/>
      <c r="H46" s="270"/>
      <c r="I46" s="270"/>
      <c r="J46" s="270"/>
      <c r="K46" s="270"/>
    </row>
    <row r="47" spans="2:19" x14ac:dyDescent="0.25">
      <c r="B47" s="269" t="s">
        <v>3108</v>
      </c>
      <c r="C47" s="269"/>
      <c r="D47" s="269"/>
      <c r="E47" s="269"/>
      <c r="F47" s="269"/>
      <c r="G47" s="269"/>
      <c r="H47" s="269"/>
      <c r="I47" s="269"/>
      <c r="J47" s="269"/>
      <c r="K47" s="269"/>
    </row>
    <row r="48" spans="2:19" ht="15.75" customHeight="1" x14ac:dyDescent="0.25">
      <c r="B48" s="272" t="s">
        <v>3076</v>
      </c>
      <c r="C48" s="273"/>
      <c r="D48" s="273"/>
      <c r="E48" s="273"/>
      <c r="F48" s="273"/>
      <c r="G48" s="273"/>
      <c r="H48" s="273"/>
      <c r="I48" s="273"/>
      <c r="J48" s="273"/>
      <c r="K48" s="274"/>
    </row>
    <row r="49" spans="2:18" ht="33" customHeight="1" x14ac:dyDescent="0.25">
      <c r="B49" s="269" t="s">
        <v>3024</v>
      </c>
      <c r="C49" s="269"/>
      <c r="D49" s="269"/>
      <c r="E49" s="269"/>
      <c r="F49" s="269"/>
      <c r="G49" s="269"/>
      <c r="H49" s="269"/>
      <c r="I49" s="269"/>
      <c r="J49" s="269"/>
      <c r="K49" s="269"/>
      <c r="O49">
        <f>D42*(1-17.5%)</f>
        <v>558.91983531596543</v>
      </c>
      <c r="P49">
        <f>O49*60%</f>
        <v>335.35190118957922</v>
      </c>
    </row>
    <row r="50" spans="2:18" ht="29.25" customHeight="1" x14ac:dyDescent="0.25">
      <c r="B50" s="269" t="s">
        <v>3115</v>
      </c>
      <c r="C50" s="269"/>
      <c r="D50" s="269"/>
      <c r="E50" s="269"/>
      <c r="F50" s="269"/>
      <c r="G50" s="269"/>
      <c r="H50" s="269"/>
      <c r="I50" s="269"/>
      <c r="J50" s="269"/>
      <c r="K50" s="269"/>
    </row>
    <row r="51" spans="2:18" ht="104.25" customHeight="1" x14ac:dyDescent="0.25">
      <c r="B51" s="271" t="s">
        <v>3025</v>
      </c>
      <c r="C51" s="271"/>
      <c r="D51" s="271"/>
      <c r="E51" s="271"/>
      <c r="F51" s="271"/>
      <c r="G51" s="271"/>
      <c r="H51" s="271"/>
      <c r="I51" s="271"/>
      <c r="J51" s="271"/>
      <c r="K51" s="271"/>
      <c r="R51" s="110"/>
    </row>
    <row r="52" spans="2:18" ht="29.25" customHeight="1" x14ac:dyDescent="0.25">
      <c r="B52" s="269" t="s">
        <v>3026</v>
      </c>
      <c r="C52" s="269"/>
      <c r="D52" s="269"/>
      <c r="E52" s="269"/>
      <c r="F52" s="269"/>
      <c r="G52" s="269"/>
      <c r="H52" s="269"/>
      <c r="I52" s="269"/>
      <c r="J52" s="269"/>
      <c r="K52" s="269"/>
    </row>
    <row r="55" spans="2:18" x14ac:dyDescent="0.25">
      <c r="N55" s="120"/>
      <c r="O55" s="120"/>
      <c r="P55" s="120"/>
      <c r="Q55" s="120"/>
    </row>
    <row r="56" spans="2:18" x14ac:dyDescent="0.25">
      <c r="N56" s="120"/>
      <c r="O56" s="106"/>
      <c r="P56" s="106"/>
      <c r="Q56" s="106"/>
    </row>
    <row r="57" spans="2:18" x14ac:dyDescent="0.25">
      <c r="N57" s="120"/>
      <c r="O57" s="106"/>
      <c r="P57" s="106"/>
      <c r="Q57" s="106"/>
    </row>
    <row r="58" spans="2:18" x14ac:dyDescent="0.25">
      <c r="N58" s="120"/>
      <c r="O58" s="16"/>
      <c r="P58" s="16"/>
      <c r="Q58" s="16"/>
    </row>
    <row r="59" spans="2:18" x14ac:dyDescent="0.25">
      <c r="N59" s="120"/>
      <c r="O59" s="121"/>
      <c r="P59" s="16"/>
      <c r="Q59" s="16"/>
    </row>
  </sheetData>
  <mergeCells count="52">
    <mergeCell ref="B6:E6"/>
    <mergeCell ref="B15:K15"/>
    <mergeCell ref="B16:C16"/>
    <mergeCell ref="B38:C38"/>
    <mergeCell ref="B34:C34"/>
    <mergeCell ref="B10:C10"/>
    <mergeCell ref="B12:C12"/>
    <mergeCell ref="B13:C13"/>
    <mergeCell ref="B11:C11"/>
    <mergeCell ref="B20:K20"/>
    <mergeCell ref="B7:K7"/>
    <mergeCell ref="B17:K17"/>
    <mergeCell ref="B19:K19"/>
    <mergeCell ref="B14:C14"/>
    <mergeCell ref="B21:C21"/>
    <mergeCell ref="B22:C22"/>
    <mergeCell ref="B2:K2"/>
    <mergeCell ref="B3:K3"/>
    <mergeCell ref="B4:B5"/>
    <mergeCell ref="C4:C5"/>
    <mergeCell ref="K4:K5"/>
    <mergeCell ref="B52:K52"/>
    <mergeCell ref="B46:K46"/>
    <mergeCell ref="B47:K47"/>
    <mergeCell ref="B49:K49"/>
    <mergeCell ref="B50:K50"/>
    <mergeCell ref="B51:K51"/>
    <mergeCell ref="B48:K48"/>
    <mergeCell ref="B27:C27"/>
    <mergeCell ref="B28:C28"/>
    <mergeCell ref="B42:C42"/>
    <mergeCell ref="B35:C35"/>
    <mergeCell ref="B36:C36"/>
    <mergeCell ref="B39:G39"/>
    <mergeCell ref="B40:C40"/>
    <mergeCell ref="B41:E41"/>
    <mergeCell ref="B23:C23"/>
    <mergeCell ref="B18:K18"/>
    <mergeCell ref="B8:C8"/>
    <mergeCell ref="B9:C9"/>
    <mergeCell ref="B45:K45"/>
    <mergeCell ref="B31:C31"/>
    <mergeCell ref="B32:C32"/>
    <mergeCell ref="B33:C33"/>
    <mergeCell ref="B24:C24"/>
    <mergeCell ref="B30:C30"/>
    <mergeCell ref="E42:K44"/>
    <mergeCell ref="B43:D43"/>
    <mergeCell ref="B44:C44"/>
    <mergeCell ref="B29:K29"/>
    <mergeCell ref="B25:C25"/>
    <mergeCell ref="B26:C26"/>
  </mergeCells>
  <pageMargins left="0.7" right="0.7" top="0.75" bottom="0.75" header="0.3" footer="0.3"/>
  <pageSetup scale="4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A413-B88B-4EFF-A1E0-30035D15D891}">
  <dimension ref="A3:M16"/>
  <sheetViews>
    <sheetView workbookViewId="0">
      <selection activeCell="C3" sqref="C3:L16"/>
    </sheetView>
  </sheetViews>
  <sheetFormatPr defaultRowHeight="15" x14ac:dyDescent="0.25"/>
  <cols>
    <col min="1" max="2" width="9.140625" style="163"/>
    <col min="3" max="3" width="17.7109375" style="163" customWidth="1"/>
    <col min="4" max="4" width="22.5703125" style="163" customWidth="1"/>
    <col min="5" max="5" width="12.5703125" style="168" customWidth="1"/>
    <col min="6" max="6" width="11.7109375" style="168" customWidth="1"/>
    <col min="7" max="7" width="11.28515625" style="168" customWidth="1"/>
    <col min="8" max="11" width="10.140625" style="168" customWidth="1"/>
    <col min="12" max="12" width="24.140625" style="163" bestFit="1" customWidth="1"/>
    <col min="13" max="16384" width="9.140625" style="163"/>
  </cols>
  <sheetData>
    <row r="3" spans="1:13" ht="30.75" customHeight="1" x14ac:dyDescent="0.25">
      <c r="A3" s="162" t="s">
        <v>0</v>
      </c>
      <c r="B3" s="162" t="s">
        <v>3067</v>
      </c>
      <c r="C3" s="213" t="s">
        <v>3107</v>
      </c>
      <c r="D3" s="214"/>
      <c r="E3" s="214"/>
      <c r="F3" s="214"/>
      <c r="G3" s="214"/>
      <c r="H3" s="214"/>
      <c r="I3" s="214"/>
      <c r="J3" s="214"/>
      <c r="K3" s="214"/>
      <c r="L3" s="214"/>
    </row>
    <row r="4" spans="1:13" ht="15.75" customHeight="1" x14ac:dyDescent="0.25">
      <c r="C4" s="289"/>
      <c r="D4" s="290"/>
      <c r="E4" s="290"/>
      <c r="F4" s="290"/>
      <c r="G4" s="290"/>
      <c r="H4" s="290"/>
      <c r="I4" s="290"/>
      <c r="J4" s="290"/>
      <c r="K4" s="290"/>
      <c r="L4" s="291"/>
    </row>
    <row r="5" spans="1:13" ht="27.75" x14ac:dyDescent="0.25">
      <c r="C5" s="132" t="s">
        <v>3008</v>
      </c>
      <c r="D5" s="132" t="s">
        <v>3009</v>
      </c>
      <c r="E5" s="148">
        <f>DCF!D5</f>
        <v>44825</v>
      </c>
      <c r="F5" s="148">
        <f>DCF!E5</f>
        <v>45190</v>
      </c>
      <c r="G5" s="148">
        <f>DCF!F5</f>
        <v>45556</v>
      </c>
      <c r="H5" s="148">
        <f>DCF!G5</f>
        <v>45921</v>
      </c>
      <c r="I5" s="148">
        <f>DCF!H5</f>
        <v>46286</v>
      </c>
      <c r="J5" s="148">
        <f>DCF!I5</f>
        <v>46651</v>
      </c>
      <c r="K5" s="148">
        <f>DCF!J5</f>
        <v>47017</v>
      </c>
      <c r="L5" s="169" t="s">
        <v>3074</v>
      </c>
    </row>
    <row r="6" spans="1:13" x14ac:dyDescent="0.25">
      <c r="C6" s="288" t="s">
        <v>3068</v>
      </c>
      <c r="D6" s="288"/>
      <c r="E6" s="164">
        <f>DCF!D16</f>
        <v>235.31196468249999</v>
      </c>
      <c r="F6" s="164">
        <f>DCF!E16</f>
        <v>342.10272843250004</v>
      </c>
      <c r="G6" s="164">
        <f>DCF!F16</f>
        <v>335.87342343250003</v>
      </c>
      <c r="H6" s="164">
        <f>DCF!G16</f>
        <v>353.37748218250005</v>
      </c>
      <c r="I6" s="164">
        <f>DCF!H16</f>
        <v>156.77375000000001</v>
      </c>
      <c r="J6" s="164">
        <f>DCF!I16</f>
        <v>156.77375000000001</v>
      </c>
      <c r="K6" s="164">
        <f>DCF!J16</f>
        <v>156.77375000000001</v>
      </c>
      <c r="L6" s="164">
        <f>DCF!$K$16</f>
        <v>1736.9868487300002</v>
      </c>
    </row>
    <row r="7" spans="1:13" x14ac:dyDescent="0.25">
      <c r="C7" s="292" t="s">
        <v>3069</v>
      </c>
      <c r="D7" s="292"/>
      <c r="E7" s="110">
        <f>DCF!D38</f>
        <v>103.50824999999998</v>
      </c>
      <c r="F7" s="110">
        <f>DCF!E38</f>
        <v>200.47908750000002</v>
      </c>
      <c r="G7" s="110">
        <f>DCF!F38</f>
        <v>158.92066249999996</v>
      </c>
      <c r="H7" s="110">
        <f>DCF!G38</f>
        <v>163.86349999999999</v>
      </c>
      <c r="I7" s="110">
        <f>DCF!H38</f>
        <v>58.904062500000002</v>
      </c>
      <c r="J7" s="110">
        <f>DCF!I38</f>
        <v>4.8069999999999995</v>
      </c>
      <c r="K7" s="110">
        <f>DCF!J38</f>
        <v>4.9115000000000002</v>
      </c>
      <c r="L7" s="110">
        <f>DCF!K38</f>
        <v>695.3940624999999</v>
      </c>
    </row>
    <row r="8" spans="1:13" x14ac:dyDescent="0.25">
      <c r="C8" s="293"/>
      <c r="D8" s="293"/>
      <c r="E8" s="293"/>
      <c r="F8" s="293"/>
      <c r="G8" s="293"/>
      <c r="H8" s="293"/>
      <c r="I8" s="293"/>
      <c r="J8" s="293"/>
      <c r="K8" s="293"/>
      <c r="L8" s="293"/>
    </row>
    <row r="9" spans="1:13" x14ac:dyDescent="0.25">
      <c r="C9" s="288" t="s">
        <v>3070</v>
      </c>
      <c r="D9" s="288"/>
      <c r="E9" s="164">
        <f>DCF!D40</f>
        <v>131.80371468250001</v>
      </c>
      <c r="F9" s="164">
        <f>DCF!E40</f>
        <v>141.62364093250002</v>
      </c>
      <c r="G9" s="164">
        <f>DCF!F40</f>
        <v>176.95276093250007</v>
      </c>
      <c r="H9" s="164">
        <f>DCF!G40</f>
        <v>189.51398218250006</v>
      </c>
      <c r="I9" s="164">
        <f>DCF!H40</f>
        <v>97.869687499999998</v>
      </c>
      <c r="J9" s="164">
        <f>DCF!I40</f>
        <v>151.96675000000002</v>
      </c>
      <c r="K9" s="164">
        <f>DCF!J40</f>
        <v>151.86225000000002</v>
      </c>
      <c r="L9" s="164">
        <f>DCF!K40</f>
        <v>1041.5927862300005</v>
      </c>
    </row>
    <row r="10" spans="1:13" x14ac:dyDescent="0.25">
      <c r="C10" s="293"/>
      <c r="D10" s="293"/>
      <c r="E10" s="293"/>
      <c r="F10" s="293"/>
      <c r="G10" s="293"/>
      <c r="H10" s="293"/>
      <c r="I10" s="293"/>
      <c r="J10" s="293"/>
      <c r="K10" s="293"/>
      <c r="L10" s="293"/>
    </row>
    <row r="11" spans="1:13" x14ac:dyDescent="0.25">
      <c r="C11" s="288" t="s">
        <v>3071</v>
      </c>
      <c r="D11" s="288"/>
      <c r="E11" s="165">
        <f>DCF!$D$42</f>
        <v>677.47858826177628</v>
      </c>
      <c r="F11" s="296"/>
      <c r="G11" s="296"/>
      <c r="H11" s="296"/>
      <c r="I11" s="296"/>
      <c r="J11" s="296"/>
      <c r="K11" s="296"/>
      <c r="L11" s="296"/>
    </row>
    <row r="12" spans="1:13" x14ac:dyDescent="0.25">
      <c r="C12" s="288" t="s">
        <v>3072</v>
      </c>
      <c r="D12" s="288"/>
      <c r="E12" s="165">
        <f>ROUND(E11,-1)</f>
        <v>680</v>
      </c>
      <c r="F12" s="296"/>
      <c r="G12" s="296"/>
      <c r="H12" s="296"/>
      <c r="I12" s="296"/>
      <c r="J12" s="296"/>
      <c r="K12" s="296"/>
      <c r="L12" s="296"/>
    </row>
    <row r="13" spans="1:13" x14ac:dyDescent="0.25">
      <c r="C13" s="297"/>
      <c r="D13" s="297"/>
      <c r="E13" s="297"/>
      <c r="F13" s="297"/>
      <c r="G13" s="297"/>
      <c r="H13" s="297"/>
      <c r="I13" s="297"/>
      <c r="J13" s="297"/>
      <c r="K13" s="297"/>
      <c r="L13" s="297"/>
    </row>
    <row r="14" spans="1:13" ht="30" customHeight="1" x14ac:dyDescent="0.25">
      <c r="C14" s="298" t="s">
        <v>3113</v>
      </c>
      <c r="D14" s="298"/>
      <c r="E14" s="166">
        <f>E12*(1-20%)</f>
        <v>544</v>
      </c>
      <c r="F14" s="299"/>
      <c r="G14" s="299"/>
      <c r="H14" s="299"/>
      <c r="I14" s="299"/>
      <c r="J14" s="299"/>
      <c r="K14" s="299"/>
      <c r="L14" s="299"/>
      <c r="M14" s="167">
        <f>E14*60%</f>
        <v>326.39999999999998</v>
      </c>
    </row>
    <row r="15" spans="1:13" ht="30" customHeight="1" x14ac:dyDescent="0.25">
      <c r="C15" s="298" t="s">
        <v>3114</v>
      </c>
      <c r="D15" s="298"/>
      <c r="E15" s="166">
        <f>E12*(1-30%)</f>
        <v>475.99999999999994</v>
      </c>
      <c r="F15" s="299"/>
      <c r="G15" s="299"/>
      <c r="H15" s="299"/>
      <c r="I15" s="299"/>
      <c r="J15" s="299"/>
      <c r="K15" s="299"/>
      <c r="L15" s="299"/>
    </row>
    <row r="16" spans="1:13" ht="28.5" customHeight="1" x14ac:dyDescent="0.25">
      <c r="C16" s="294" t="s">
        <v>3073</v>
      </c>
      <c r="D16" s="295"/>
      <c r="E16" s="295"/>
      <c r="F16" s="295"/>
      <c r="G16" s="295"/>
      <c r="H16" s="295"/>
      <c r="I16" s="295"/>
      <c r="J16" s="295"/>
      <c r="K16" s="295"/>
      <c r="L16" s="295"/>
    </row>
  </sheetData>
  <mergeCells count="15">
    <mergeCell ref="C16:L16"/>
    <mergeCell ref="C10:L10"/>
    <mergeCell ref="C11:D11"/>
    <mergeCell ref="F11:L12"/>
    <mergeCell ref="C12:D12"/>
    <mergeCell ref="C13:L13"/>
    <mergeCell ref="C14:D14"/>
    <mergeCell ref="F14:L15"/>
    <mergeCell ref="C15:D15"/>
    <mergeCell ref="C9:D9"/>
    <mergeCell ref="C3:L3"/>
    <mergeCell ref="C4:L4"/>
    <mergeCell ref="C6:D6"/>
    <mergeCell ref="C7:D7"/>
    <mergeCell ref="C8:L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018B9-C7E9-4F4B-82CE-F3C001B4BAD0}">
  <dimension ref="B2:C7"/>
  <sheetViews>
    <sheetView workbookViewId="0">
      <selection activeCell="B2" sqref="B2:C6"/>
    </sheetView>
  </sheetViews>
  <sheetFormatPr defaultRowHeight="15" x14ac:dyDescent="0.25"/>
  <cols>
    <col min="2" max="2" width="19.42578125" bestFit="1" customWidth="1"/>
    <col min="3" max="3" width="15.85546875" bestFit="1" customWidth="1"/>
  </cols>
  <sheetData>
    <row r="2" spans="2:3" ht="15.75" x14ac:dyDescent="0.25">
      <c r="B2" s="252" t="s">
        <v>3102</v>
      </c>
      <c r="C2" s="252"/>
    </row>
    <row r="3" spans="2:3" ht="15.75" x14ac:dyDescent="0.25">
      <c r="B3" s="302" t="s">
        <v>3117</v>
      </c>
      <c r="C3" s="302" t="s">
        <v>3116</v>
      </c>
    </row>
    <row r="4" spans="2:3" x14ac:dyDescent="0.25">
      <c r="B4" s="13" t="s">
        <v>3086</v>
      </c>
      <c r="C4" s="185">
        <f>'Residential &amp; Commercial Inflow'!J4</f>
        <v>56160000</v>
      </c>
    </row>
    <row r="5" spans="2:3" x14ac:dyDescent="0.25">
      <c r="B5" s="13" t="s">
        <v>3087</v>
      </c>
      <c r="C5" s="185">
        <f>Recievables!H8</f>
        <v>25363016</v>
      </c>
    </row>
    <row r="6" spans="2:3" x14ac:dyDescent="0.25">
      <c r="B6" s="13" t="s">
        <v>881</v>
      </c>
      <c r="C6" s="185">
        <f>SUM(C4:C5)</f>
        <v>81523016</v>
      </c>
    </row>
    <row r="7" spans="2:3" x14ac:dyDescent="0.25">
      <c r="B7" s="13"/>
      <c r="C7" s="13"/>
    </row>
  </sheetData>
  <mergeCells count="1">
    <mergeCell ref="B2:C2"/>
  </mergeCells>
  <phoneticPr fontId="25"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F215-2D58-414B-B684-70098CE8FF9C}">
  <sheetPr>
    <pageSetUpPr fitToPage="1"/>
  </sheetPr>
  <dimension ref="C3:O28"/>
  <sheetViews>
    <sheetView workbookViewId="0">
      <selection activeCell="C3" sqref="C3:G8"/>
    </sheetView>
  </sheetViews>
  <sheetFormatPr defaultRowHeight="15" x14ac:dyDescent="0.25"/>
  <cols>
    <col min="4" max="4" width="23.85546875" bestFit="1" customWidth="1"/>
    <col min="5" max="7" width="21.140625" bestFit="1" customWidth="1"/>
  </cols>
  <sheetData>
    <row r="3" spans="3:7" ht="15.75" x14ac:dyDescent="0.25">
      <c r="C3" s="300" t="s">
        <v>3095</v>
      </c>
      <c r="D3" s="300"/>
      <c r="E3" s="300"/>
      <c r="F3" s="300"/>
      <c r="G3" s="300"/>
    </row>
    <row r="4" spans="3:7" x14ac:dyDescent="0.25">
      <c r="C4" s="171" t="s">
        <v>3088</v>
      </c>
      <c r="D4" s="171" t="s">
        <v>3089</v>
      </c>
      <c r="E4" s="171" t="s">
        <v>3090</v>
      </c>
      <c r="F4" s="171" t="s">
        <v>3091</v>
      </c>
      <c r="G4" s="171" t="s">
        <v>3092</v>
      </c>
    </row>
    <row r="5" spans="3:7" x14ac:dyDescent="0.25">
      <c r="C5" s="172">
        <v>1</v>
      </c>
      <c r="D5" s="172" t="s">
        <v>3093</v>
      </c>
      <c r="E5" s="186">
        <f>'Ph-I Valuation'!C6</f>
        <v>81523016</v>
      </c>
      <c r="F5" s="186">
        <f>E5*0.85</f>
        <v>69294563.599999994</v>
      </c>
      <c r="G5" s="186">
        <f>E5*0.75</f>
        <v>61142262</v>
      </c>
    </row>
    <row r="6" spans="3:7" x14ac:dyDescent="0.25">
      <c r="C6" s="172">
        <v>2</v>
      </c>
      <c r="D6" s="172" t="s">
        <v>3094</v>
      </c>
      <c r="E6" s="186">
        <f>'Consolidated Summary'!E12*10^6</f>
        <v>680000000</v>
      </c>
      <c r="F6" s="186">
        <f>E6*0.8</f>
        <v>544000000</v>
      </c>
      <c r="G6" s="186">
        <f>E6*0.7</f>
        <v>475999999.99999994</v>
      </c>
    </row>
    <row r="7" spans="3:7" x14ac:dyDescent="0.25">
      <c r="C7" s="211" t="s">
        <v>881</v>
      </c>
      <c r="D7" s="211"/>
      <c r="E7" s="186">
        <f>SUM(E5:E6)</f>
        <v>761523016</v>
      </c>
      <c r="F7" s="186">
        <f t="shared" ref="F7:G7" si="0">SUM(F5:F6)</f>
        <v>613294563.60000002</v>
      </c>
      <c r="G7" s="186">
        <f t="shared" si="0"/>
        <v>537142262</v>
      </c>
    </row>
    <row r="8" spans="3:7" x14ac:dyDescent="0.25">
      <c r="C8" s="301" t="s">
        <v>3103</v>
      </c>
      <c r="D8" s="301"/>
      <c r="E8" s="70">
        <v>760000000</v>
      </c>
      <c r="F8" s="70">
        <v>610000000</v>
      </c>
      <c r="G8" s="70">
        <v>540000000</v>
      </c>
    </row>
    <row r="28" spans="15:15" x14ac:dyDescent="0.25">
      <c r="O28" s="156"/>
    </row>
  </sheetData>
  <mergeCells count="3">
    <mergeCell ref="C7:D7"/>
    <mergeCell ref="C3:G3"/>
    <mergeCell ref="C8:D8"/>
  </mergeCells>
  <pageMargins left="0.7" right="0.7" top="0.75" bottom="0.75" header="0.3" footer="0.3"/>
  <pageSetup scale="6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BB0F-FD63-4754-A94F-FA5454EEFA62}">
  <dimension ref="I5:K9"/>
  <sheetViews>
    <sheetView topLeftCell="C1" workbookViewId="0">
      <selection activeCell="O21" sqref="O21"/>
    </sheetView>
  </sheetViews>
  <sheetFormatPr defaultRowHeight="15" x14ac:dyDescent="0.25"/>
  <cols>
    <col min="4" max="4" width="15.7109375" bestFit="1" customWidth="1"/>
    <col min="5" max="5" width="15.140625" customWidth="1"/>
    <col min="6" max="6" width="22" customWidth="1"/>
    <col min="9" max="9" width="5.7109375" bestFit="1" customWidth="1"/>
    <col min="10" max="10" width="15.7109375" bestFit="1" customWidth="1"/>
    <col min="11" max="11" width="9.7109375" bestFit="1" customWidth="1"/>
  </cols>
  <sheetData>
    <row r="5" spans="9:11" x14ac:dyDescent="0.25">
      <c r="I5" s="190" t="s">
        <v>2800</v>
      </c>
      <c r="J5" s="20" t="s">
        <v>3105</v>
      </c>
      <c r="K5" s="20" t="s">
        <v>3104</v>
      </c>
    </row>
    <row r="6" spans="9:11" x14ac:dyDescent="0.25">
      <c r="I6" s="172">
        <v>1</v>
      </c>
      <c r="J6" s="187">
        <v>41337</v>
      </c>
      <c r="K6" s="188">
        <v>19725.3</v>
      </c>
    </row>
    <row r="7" spans="9:11" x14ac:dyDescent="0.25">
      <c r="I7" s="172">
        <v>2</v>
      </c>
      <c r="J7" s="187">
        <v>42206</v>
      </c>
      <c r="K7" s="189">
        <v>28531</v>
      </c>
    </row>
    <row r="8" spans="9:11" x14ac:dyDescent="0.25">
      <c r="I8" s="172">
        <v>3</v>
      </c>
      <c r="J8" s="187">
        <v>42849</v>
      </c>
      <c r="K8" s="188">
        <v>2428.0300000000002</v>
      </c>
    </row>
    <row r="9" spans="9:11" x14ac:dyDescent="0.25">
      <c r="I9" s="172"/>
      <c r="J9" s="172" t="s">
        <v>881</v>
      </c>
      <c r="K9" s="172">
        <v>50684.33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443"/>
  <sheetViews>
    <sheetView topLeftCell="A430" zoomScale="55" zoomScaleNormal="55" workbookViewId="0">
      <selection activeCell="B2" sqref="B2:O442"/>
    </sheetView>
  </sheetViews>
  <sheetFormatPr defaultRowHeight="15" x14ac:dyDescent="0.25"/>
  <cols>
    <col min="2" max="2" width="8.42578125" bestFit="1" customWidth="1"/>
    <col min="3" max="3" width="26.28515625" bestFit="1" customWidth="1"/>
    <col min="4" max="4" width="11.140625" bestFit="1" customWidth="1"/>
    <col min="5" max="5" width="9.7109375" customWidth="1"/>
    <col min="6" max="6" width="11.5703125" bestFit="1" customWidth="1"/>
    <col min="7" max="7" width="11" bestFit="1" customWidth="1"/>
    <col min="8" max="8" width="11.42578125" bestFit="1" customWidth="1"/>
    <col min="9" max="9" width="9.42578125" customWidth="1"/>
    <col min="10" max="10" width="10" bestFit="1" customWidth="1"/>
    <col min="11" max="11" width="10.7109375" bestFit="1" customWidth="1"/>
    <col min="12" max="12" width="11" bestFit="1" customWidth="1"/>
    <col min="13" max="13" width="10.7109375" bestFit="1" customWidth="1"/>
    <col min="14" max="14" width="15" bestFit="1" customWidth="1"/>
    <col min="15" max="15" width="9.85546875" bestFit="1" customWidth="1"/>
    <col min="17" max="17" width="10" bestFit="1" customWidth="1"/>
  </cols>
  <sheetData>
    <row r="1" spans="2:17" x14ac:dyDescent="0.25">
      <c r="B1" s="191" t="s">
        <v>880</v>
      </c>
      <c r="C1" s="191"/>
      <c r="D1" s="191"/>
      <c r="E1" s="191"/>
      <c r="F1" s="191"/>
      <c r="G1" s="191"/>
      <c r="H1" s="191"/>
      <c r="I1" s="191"/>
      <c r="J1" s="191"/>
      <c r="K1" s="191"/>
      <c r="L1" s="191"/>
      <c r="M1" s="191"/>
      <c r="N1" s="191"/>
      <c r="O1" s="191"/>
    </row>
    <row r="2" spans="2:17" ht="76.5" x14ac:dyDescent="0.25">
      <c r="B2" s="4" t="s">
        <v>9</v>
      </c>
      <c r="C2" s="4" t="s">
        <v>10</v>
      </c>
      <c r="D2" s="4" t="s">
        <v>11</v>
      </c>
      <c r="E2" s="4" t="s">
        <v>12</v>
      </c>
      <c r="F2" s="4" t="s">
        <v>13</v>
      </c>
      <c r="G2" s="4" t="s">
        <v>14</v>
      </c>
      <c r="H2" s="4" t="s">
        <v>15</v>
      </c>
      <c r="I2" s="4" t="s">
        <v>16</v>
      </c>
      <c r="J2" s="4" t="s">
        <v>17</v>
      </c>
      <c r="K2" s="4" t="s">
        <v>18</v>
      </c>
      <c r="L2" s="4" t="s">
        <v>19</v>
      </c>
      <c r="M2" s="4" t="s">
        <v>20</v>
      </c>
      <c r="N2" s="4" t="s">
        <v>21</v>
      </c>
      <c r="O2" s="4" t="s">
        <v>22</v>
      </c>
      <c r="Q2" t="s">
        <v>3058</v>
      </c>
    </row>
    <row r="3" spans="2:17" x14ac:dyDescent="0.25">
      <c r="B3" s="5">
        <v>1</v>
      </c>
      <c r="C3" s="6" t="s">
        <v>23</v>
      </c>
      <c r="D3" s="6" t="s">
        <v>24</v>
      </c>
      <c r="E3" s="6" t="s">
        <v>25</v>
      </c>
      <c r="F3" s="6">
        <v>1060</v>
      </c>
      <c r="G3" s="6" t="s">
        <v>26</v>
      </c>
      <c r="H3" s="6"/>
      <c r="I3" s="6"/>
      <c r="J3" s="6"/>
      <c r="K3" s="7">
        <v>41110</v>
      </c>
      <c r="L3" s="6">
        <v>3206200</v>
      </c>
      <c r="M3" s="6">
        <v>3206200</v>
      </c>
      <c r="N3" s="6" t="s">
        <v>27</v>
      </c>
      <c r="O3" s="8">
        <v>43103</v>
      </c>
      <c r="Q3">
        <f>Table39[[#This Row],[AGREEMENT VALUE OF UNIT]]-Table39[[#This Row],[AMOUNT RECEIVED TILL DATE]]</f>
        <v>0</v>
      </c>
    </row>
    <row r="4" spans="2:17" x14ac:dyDescent="0.25">
      <c r="B4" s="5">
        <f t="shared" ref="B4:B67" si="0">B3+1</f>
        <v>2</v>
      </c>
      <c r="C4" s="6" t="s">
        <v>35</v>
      </c>
      <c r="D4" s="6" t="s">
        <v>24</v>
      </c>
      <c r="E4" s="6" t="s">
        <v>36</v>
      </c>
      <c r="F4" s="6">
        <v>1060</v>
      </c>
      <c r="G4" s="6" t="s">
        <v>26</v>
      </c>
      <c r="H4" s="6"/>
      <c r="I4" s="6"/>
      <c r="J4" s="6"/>
      <c r="K4" s="7">
        <v>40833</v>
      </c>
      <c r="L4" s="6">
        <v>2562200</v>
      </c>
      <c r="M4" s="6">
        <v>2562200</v>
      </c>
      <c r="N4" s="6" t="s">
        <v>27</v>
      </c>
      <c r="O4" s="8">
        <v>43103</v>
      </c>
      <c r="Q4">
        <f>Table39[[#This Row],[AGREEMENT VALUE OF UNIT]]-Table39[[#This Row],[AMOUNT RECEIVED TILL DATE]]</f>
        <v>0</v>
      </c>
    </row>
    <row r="5" spans="2:17" x14ac:dyDescent="0.25">
      <c r="B5" s="5">
        <f t="shared" si="0"/>
        <v>3</v>
      </c>
      <c r="C5" s="6" t="s">
        <v>44</v>
      </c>
      <c r="D5" s="6" t="s">
        <v>24</v>
      </c>
      <c r="E5" s="6" t="s">
        <v>45</v>
      </c>
      <c r="F5" s="6">
        <v>1060</v>
      </c>
      <c r="G5" s="6" t="s">
        <v>26</v>
      </c>
      <c r="H5" s="6"/>
      <c r="I5" s="6"/>
      <c r="J5" s="6"/>
      <c r="K5" s="7">
        <v>40552</v>
      </c>
      <c r="L5" s="6">
        <v>2292700</v>
      </c>
      <c r="M5" s="6">
        <v>2292700</v>
      </c>
      <c r="N5" s="6" t="s">
        <v>46</v>
      </c>
      <c r="O5" s="8">
        <v>43103</v>
      </c>
      <c r="Q5">
        <f>Table39[[#This Row],[AGREEMENT VALUE OF UNIT]]-Table39[[#This Row],[AMOUNT RECEIVED TILL DATE]]</f>
        <v>0</v>
      </c>
    </row>
    <row r="6" spans="2:17" x14ac:dyDescent="0.25">
      <c r="B6" s="5">
        <f t="shared" si="0"/>
        <v>4</v>
      </c>
      <c r="C6" s="6" t="s">
        <v>53</v>
      </c>
      <c r="D6" s="6" t="s">
        <v>24</v>
      </c>
      <c r="E6" s="6" t="s">
        <v>54</v>
      </c>
      <c r="F6" s="6">
        <v>1060</v>
      </c>
      <c r="G6" s="6" t="s">
        <v>26</v>
      </c>
      <c r="H6" s="6"/>
      <c r="I6" s="6"/>
      <c r="J6" s="6"/>
      <c r="K6" s="7">
        <v>40469</v>
      </c>
      <c r="L6" s="6">
        <v>1886980</v>
      </c>
      <c r="M6" s="6">
        <v>1886980</v>
      </c>
      <c r="N6" s="6" t="s">
        <v>30</v>
      </c>
      <c r="O6" s="8">
        <v>43103</v>
      </c>
      <c r="Q6">
        <f>Table39[[#This Row],[AGREEMENT VALUE OF UNIT]]-Table39[[#This Row],[AMOUNT RECEIVED TILL DATE]]</f>
        <v>0</v>
      </c>
    </row>
    <row r="7" spans="2:17" x14ac:dyDescent="0.25">
      <c r="B7" s="5">
        <f t="shared" si="0"/>
        <v>5</v>
      </c>
      <c r="C7" s="6" t="s">
        <v>62</v>
      </c>
      <c r="D7" s="6" t="s">
        <v>24</v>
      </c>
      <c r="E7" s="6" t="s">
        <v>63</v>
      </c>
      <c r="F7" s="6">
        <v>1060</v>
      </c>
      <c r="G7" s="6" t="s">
        <v>26</v>
      </c>
      <c r="H7" s="6"/>
      <c r="I7" s="6"/>
      <c r="J7" s="6"/>
      <c r="K7" s="7">
        <v>41004</v>
      </c>
      <c r="L7" s="6">
        <v>2910300</v>
      </c>
      <c r="M7" s="6">
        <v>2910300</v>
      </c>
      <c r="N7" s="6" t="s">
        <v>46</v>
      </c>
      <c r="O7" s="8">
        <v>43103</v>
      </c>
      <c r="Q7">
        <f>Table39[[#This Row],[AGREEMENT VALUE OF UNIT]]-Table39[[#This Row],[AMOUNT RECEIVED TILL DATE]]</f>
        <v>0</v>
      </c>
    </row>
    <row r="8" spans="2:17" x14ac:dyDescent="0.25">
      <c r="B8" s="5">
        <f t="shared" si="0"/>
        <v>6</v>
      </c>
      <c r="C8" s="6"/>
      <c r="D8" s="6" t="s">
        <v>24</v>
      </c>
      <c r="E8" s="6" t="s">
        <v>31</v>
      </c>
      <c r="F8" s="6">
        <v>1280</v>
      </c>
      <c r="G8" s="6" t="s">
        <v>32</v>
      </c>
      <c r="H8" s="6"/>
      <c r="I8" s="6"/>
      <c r="J8" s="6"/>
      <c r="K8" s="7"/>
      <c r="L8" s="6"/>
      <c r="M8" s="6"/>
      <c r="N8" s="6"/>
      <c r="O8" s="8"/>
      <c r="Q8">
        <f>Table39[[#This Row],[AGREEMENT VALUE OF UNIT]]-Table39[[#This Row],[AMOUNT RECEIVED TILL DATE]]</f>
        <v>0</v>
      </c>
    </row>
    <row r="9" spans="2:17" x14ac:dyDescent="0.25">
      <c r="B9" s="5">
        <f t="shared" si="0"/>
        <v>7</v>
      </c>
      <c r="C9" s="6" t="s">
        <v>40</v>
      </c>
      <c r="D9" s="6" t="s">
        <v>24</v>
      </c>
      <c r="E9" s="6" t="s">
        <v>41</v>
      </c>
      <c r="F9" s="6">
        <v>1280</v>
      </c>
      <c r="G9" s="6" t="s">
        <v>26</v>
      </c>
      <c r="H9" s="6"/>
      <c r="I9" s="6"/>
      <c r="J9" s="6"/>
      <c r="K9" s="7">
        <v>41824</v>
      </c>
      <c r="L9" s="6">
        <v>2296840</v>
      </c>
      <c r="M9" s="6">
        <v>2296840</v>
      </c>
      <c r="N9" s="6" t="s">
        <v>30</v>
      </c>
      <c r="O9" s="8">
        <v>43103</v>
      </c>
      <c r="Q9">
        <f>Table39[[#This Row],[AGREEMENT VALUE OF UNIT]]-Table39[[#This Row],[AMOUNT RECEIVED TILL DATE]]</f>
        <v>0</v>
      </c>
    </row>
    <row r="10" spans="2:17" x14ac:dyDescent="0.25">
      <c r="B10" s="5">
        <f t="shared" si="0"/>
        <v>8</v>
      </c>
      <c r="C10" s="6" t="s">
        <v>49</v>
      </c>
      <c r="D10" s="6" t="s">
        <v>24</v>
      </c>
      <c r="E10" s="6" t="s">
        <v>50</v>
      </c>
      <c r="F10" s="6">
        <v>1280</v>
      </c>
      <c r="G10" s="6" t="s">
        <v>26</v>
      </c>
      <c r="H10" s="6"/>
      <c r="I10" s="6"/>
      <c r="J10" s="6"/>
      <c r="K10" s="7">
        <v>40552</v>
      </c>
      <c r="L10" s="6">
        <v>2653000</v>
      </c>
      <c r="M10" s="6">
        <v>2653000</v>
      </c>
      <c r="N10" s="6" t="s">
        <v>46</v>
      </c>
      <c r="O10" s="8">
        <v>43103</v>
      </c>
      <c r="Q10">
        <f>Table39[[#This Row],[AGREEMENT VALUE OF UNIT]]-Table39[[#This Row],[AMOUNT RECEIVED TILL DATE]]</f>
        <v>0</v>
      </c>
    </row>
    <row r="11" spans="2:17" x14ac:dyDescent="0.25">
      <c r="B11" s="5">
        <f t="shared" si="0"/>
        <v>9</v>
      </c>
      <c r="C11" s="6" t="s">
        <v>58</v>
      </c>
      <c r="D11" s="6" t="s">
        <v>24</v>
      </c>
      <c r="E11" s="6" t="s">
        <v>59</v>
      </c>
      <c r="F11" s="6">
        <v>1280</v>
      </c>
      <c r="G11" s="6" t="s">
        <v>26</v>
      </c>
      <c r="H11" s="6"/>
      <c r="I11" s="6"/>
      <c r="J11" s="6"/>
      <c r="K11" s="7">
        <v>40569</v>
      </c>
      <c r="L11" s="6">
        <v>2471240</v>
      </c>
      <c r="M11" s="6">
        <v>2471240</v>
      </c>
      <c r="N11" s="6" t="s">
        <v>27</v>
      </c>
      <c r="O11" s="8">
        <v>43103</v>
      </c>
      <c r="Q11">
        <f>Table39[[#This Row],[AGREEMENT VALUE OF UNIT]]-Table39[[#This Row],[AMOUNT RECEIVED TILL DATE]]</f>
        <v>0</v>
      </c>
    </row>
    <row r="12" spans="2:17" x14ac:dyDescent="0.25">
      <c r="B12" s="5">
        <f t="shared" si="0"/>
        <v>10</v>
      </c>
      <c r="C12" s="6"/>
      <c r="D12" s="6" t="s">
        <v>24</v>
      </c>
      <c r="E12" s="6" t="s">
        <v>67</v>
      </c>
      <c r="F12" s="6">
        <v>1280</v>
      </c>
      <c r="G12" s="6" t="s">
        <v>32</v>
      </c>
      <c r="H12" s="6"/>
      <c r="I12" s="6"/>
      <c r="J12" s="6"/>
      <c r="K12" s="7"/>
      <c r="L12" s="6"/>
      <c r="M12" s="6"/>
      <c r="N12" s="6"/>
      <c r="O12" s="8"/>
      <c r="Q12">
        <f>Table39[[#This Row],[AGREEMENT VALUE OF UNIT]]-Table39[[#This Row],[AMOUNT RECEIVED TILL DATE]]</f>
        <v>0</v>
      </c>
    </row>
    <row r="13" spans="2:17" x14ac:dyDescent="0.25">
      <c r="B13" s="5">
        <f t="shared" si="0"/>
        <v>11</v>
      </c>
      <c r="C13" s="6" t="s">
        <v>153</v>
      </c>
      <c r="D13" s="6" t="s">
        <v>24</v>
      </c>
      <c r="E13" s="6" t="s">
        <v>154</v>
      </c>
      <c r="F13" s="6">
        <v>1280</v>
      </c>
      <c r="G13" s="6" t="s">
        <v>26</v>
      </c>
      <c r="H13" s="6"/>
      <c r="I13" s="6"/>
      <c r="J13" s="6"/>
      <c r="K13" s="7">
        <v>40644</v>
      </c>
      <c r="L13" s="6">
        <v>2950000</v>
      </c>
      <c r="M13" s="6">
        <v>2950000</v>
      </c>
      <c r="N13" s="6" t="s">
        <v>46</v>
      </c>
      <c r="O13" s="8">
        <v>43103</v>
      </c>
      <c r="Q13">
        <f>Table39[[#This Row],[AGREEMENT VALUE OF UNIT]]-Table39[[#This Row],[AMOUNT RECEIVED TILL DATE]]</f>
        <v>0</v>
      </c>
    </row>
    <row r="14" spans="2:17" x14ac:dyDescent="0.25">
      <c r="B14" s="5">
        <f t="shared" si="0"/>
        <v>12</v>
      </c>
      <c r="C14" s="6" t="s">
        <v>155</v>
      </c>
      <c r="D14" s="6" t="s">
        <v>24</v>
      </c>
      <c r="E14" s="6" t="s">
        <v>156</v>
      </c>
      <c r="F14" s="6">
        <v>1280</v>
      </c>
      <c r="G14" s="6" t="s">
        <v>26</v>
      </c>
      <c r="H14" s="6"/>
      <c r="I14" s="6"/>
      <c r="J14" s="6"/>
      <c r="K14" s="7">
        <v>41338</v>
      </c>
      <c r="L14" s="6">
        <v>4140680</v>
      </c>
      <c r="M14" s="6">
        <v>4140680</v>
      </c>
      <c r="N14" s="6" t="s">
        <v>30</v>
      </c>
      <c r="O14" s="8">
        <v>43103</v>
      </c>
      <c r="Q14">
        <f>Table39[[#This Row],[AGREEMENT VALUE OF UNIT]]-Table39[[#This Row],[AMOUNT RECEIVED TILL DATE]]</f>
        <v>0</v>
      </c>
    </row>
    <row r="15" spans="2:17" x14ac:dyDescent="0.25">
      <c r="B15" s="5">
        <f t="shared" si="0"/>
        <v>13</v>
      </c>
      <c r="C15" s="6" t="s">
        <v>161</v>
      </c>
      <c r="D15" s="6" t="s">
        <v>24</v>
      </c>
      <c r="E15" s="6" t="s">
        <v>162</v>
      </c>
      <c r="F15" s="6">
        <v>1280</v>
      </c>
      <c r="G15" s="6" t="s">
        <v>26</v>
      </c>
      <c r="H15" s="6"/>
      <c r="I15" s="6"/>
      <c r="J15" s="6"/>
      <c r="K15" s="7">
        <v>41891</v>
      </c>
      <c r="L15" s="6">
        <v>4650000</v>
      </c>
      <c r="M15" s="6">
        <v>4650000</v>
      </c>
      <c r="N15" s="6" t="s">
        <v>46</v>
      </c>
      <c r="O15" s="8">
        <v>43103</v>
      </c>
      <c r="Q15">
        <f>Table39[[#This Row],[AGREEMENT VALUE OF UNIT]]-Table39[[#This Row],[AMOUNT RECEIVED TILL DATE]]</f>
        <v>0</v>
      </c>
    </row>
    <row r="16" spans="2:17" x14ac:dyDescent="0.25">
      <c r="B16" s="5">
        <f t="shared" si="0"/>
        <v>14</v>
      </c>
      <c r="C16" s="6" t="s">
        <v>163</v>
      </c>
      <c r="D16" s="6" t="s">
        <v>24</v>
      </c>
      <c r="E16" s="6" t="s">
        <v>164</v>
      </c>
      <c r="F16" s="6">
        <v>1280</v>
      </c>
      <c r="G16" s="6" t="s">
        <v>26</v>
      </c>
      <c r="H16" s="6"/>
      <c r="I16" s="6"/>
      <c r="J16" s="6"/>
      <c r="K16" s="7">
        <v>41780</v>
      </c>
      <c r="L16" s="6">
        <v>4466000</v>
      </c>
      <c r="M16" s="6">
        <v>4466000</v>
      </c>
      <c r="N16" s="6" t="s">
        <v>165</v>
      </c>
      <c r="O16" s="8">
        <v>43103</v>
      </c>
      <c r="Q16">
        <f>Table39[[#This Row],[AGREEMENT VALUE OF UNIT]]-Table39[[#This Row],[AMOUNT RECEIVED TILL DATE]]</f>
        <v>0</v>
      </c>
    </row>
    <row r="17" spans="2:17" x14ac:dyDescent="0.25">
      <c r="B17" s="5">
        <f t="shared" si="0"/>
        <v>15</v>
      </c>
      <c r="C17" s="6"/>
      <c r="D17" s="6" t="s">
        <v>24</v>
      </c>
      <c r="E17" s="6" t="s">
        <v>170</v>
      </c>
      <c r="F17" s="6">
        <v>1280</v>
      </c>
      <c r="G17" s="6" t="s">
        <v>32</v>
      </c>
      <c r="H17" s="6"/>
      <c r="I17" s="6"/>
      <c r="J17" s="6"/>
      <c r="K17" s="7"/>
      <c r="L17" s="6"/>
      <c r="M17" s="6"/>
      <c r="N17" s="6"/>
      <c r="O17" s="8"/>
      <c r="Q17">
        <f>Table39[[#This Row],[AGREEMENT VALUE OF UNIT]]-Table39[[#This Row],[AMOUNT RECEIVED TILL DATE]]</f>
        <v>0</v>
      </c>
    </row>
    <row r="18" spans="2:17" x14ac:dyDescent="0.25">
      <c r="B18" s="5">
        <f t="shared" si="0"/>
        <v>16</v>
      </c>
      <c r="C18" s="6"/>
      <c r="D18" s="6" t="s">
        <v>24</v>
      </c>
      <c r="E18" s="6" t="s">
        <v>171</v>
      </c>
      <c r="F18" s="6">
        <v>1280</v>
      </c>
      <c r="G18" s="6" t="s">
        <v>32</v>
      </c>
      <c r="H18" s="6"/>
      <c r="I18" s="6"/>
      <c r="J18" s="6"/>
      <c r="K18" s="7"/>
      <c r="L18" s="6"/>
      <c r="M18" s="6"/>
      <c r="N18" s="6"/>
      <c r="O18" s="8"/>
      <c r="Q18">
        <f>Table39[[#This Row],[AGREEMENT VALUE OF UNIT]]-Table39[[#This Row],[AMOUNT RECEIVED TILL DATE]]</f>
        <v>0</v>
      </c>
    </row>
    <row r="19" spans="2:17" x14ac:dyDescent="0.25">
      <c r="B19" s="5">
        <f t="shared" si="0"/>
        <v>17</v>
      </c>
      <c r="C19" s="6" t="s">
        <v>176</v>
      </c>
      <c r="D19" s="6" t="s">
        <v>24</v>
      </c>
      <c r="E19" s="6" t="s">
        <v>177</v>
      </c>
      <c r="F19" s="6">
        <v>1280</v>
      </c>
      <c r="G19" s="6" t="s">
        <v>26</v>
      </c>
      <c r="H19" s="6"/>
      <c r="I19" s="6"/>
      <c r="J19" s="6"/>
      <c r="K19" s="7">
        <v>40566</v>
      </c>
      <c r="L19" s="6">
        <v>2493000</v>
      </c>
      <c r="M19" s="6">
        <v>2493000</v>
      </c>
      <c r="N19" s="6" t="s">
        <v>30</v>
      </c>
      <c r="O19" s="8">
        <v>43103</v>
      </c>
      <c r="Q19">
        <f>Table39[[#This Row],[AGREEMENT VALUE OF UNIT]]-Table39[[#This Row],[AMOUNT RECEIVED TILL DATE]]</f>
        <v>0</v>
      </c>
    </row>
    <row r="20" spans="2:17" x14ac:dyDescent="0.25">
      <c r="B20" s="5">
        <f t="shared" si="0"/>
        <v>18</v>
      </c>
      <c r="C20" s="6" t="s">
        <v>178</v>
      </c>
      <c r="D20" s="6" t="s">
        <v>24</v>
      </c>
      <c r="E20" s="6" t="s">
        <v>179</v>
      </c>
      <c r="F20" s="6">
        <v>1280</v>
      </c>
      <c r="G20" s="6" t="s">
        <v>26</v>
      </c>
      <c r="H20" s="6"/>
      <c r="I20" s="6"/>
      <c r="J20" s="6"/>
      <c r="K20" s="7">
        <v>40548</v>
      </c>
      <c r="L20" s="6">
        <v>2436680</v>
      </c>
      <c r="M20" s="6">
        <v>2436680</v>
      </c>
      <c r="N20" s="6" t="s">
        <v>27</v>
      </c>
      <c r="O20" s="8">
        <v>43103</v>
      </c>
      <c r="Q20">
        <f>Table39[[#This Row],[AGREEMENT VALUE OF UNIT]]-Table39[[#This Row],[AMOUNT RECEIVED TILL DATE]]</f>
        <v>0</v>
      </c>
    </row>
    <row r="21" spans="2:17" x14ac:dyDescent="0.25">
      <c r="B21" s="5">
        <f t="shared" si="0"/>
        <v>19</v>
      </c>
      <c r="C21" s="6" t="s">
        <v>184</v>
      </c>
      <c r="D21" s="6" t="s">
        <v>24</v>
      </c>
      <c r="E21" s="6" t="s">
        <v>185</v>
      </c>
      <c r="F21" s="6">
        <v>1280</v>
      </c>
      <c r="G21" s="6" t="s">
        <v>26</v>
      </c>
      <c r="H21" s="6"/>
      <c r="I21" s="6"/>
      <c r="J21" s="6"/>
      <c r="K21" s="7">
        <v>41050</v>
      </c>
      <c r="L21" s="6">
        <v>3633500</v>
      </c>
      <c r="M21" s="6">
        <v>3633500</v>
      </c>
      <c r="N21" s="6" t="s">
        <v>27</v>
      </c>
      <c r="O21" s="8">
        <v>43103</v>
      </c>
      <c r="Q21">
        <f>Table39[[#This Row],[AGREEMENT VALUE OF UNIT]]-Table39[[#This Row],[AMOUNT RECEIVED TILL DATE]]</f>
        <v>0</v>
      </c>
    </row>
    <row r="22" spans="2:17" x14ac:dyDescent="0.25">
      <c r="B22" s="5">
        <f t="shared" si="0"/>
        <v>20</v>
      </c>
      <c r="C22" s="6" t="s">
        <v>186</v>
      </c>
      <c r="D22" s="6" t="s">
        <v>24</v>
      </c>
      <c r="E22" s="6" t="s">
        <v>187</v>
      </c>
      <c r="F22" s="6">
        <v>1280</v>
      </c>
      <c r="G22" s="6" t="s">
        <v>26</v>
      </c>
      <c r="H22" s="6"/>
      <c r="I22" s="6"/>
      <c r="J22" s="6"/>
      <c r="K22" s="7">
        <v>40744</v>
      </c>
      <c r="L22" s="6">
        <v>3246500</v>
      </c>
      <c r="M22" s="6">
        <v>3246500</v>
      </c>
      <c r="N22" s="6" t="s">
        <v>30</v>
      </c>
      <c r="O22" s="8">
        <v>43103</v>
      </c>
      <c r="Q22">
        <f>Table39[[#This Row],[AGREEMENT VALUE OF UNIT]]-Table39[[#This Row],[AMOUNT RECEIVED TILL DATE]]</f>
        <v>0</v>
      </c>
    </row>
    <row r="23" spans="2:17" x14ac:dyDescent="0.25">
      <c r="B23" s="5">
        <f t="shared" si="0"/>
        <v>21</v>
      </c>
      <c r="C23" s="6"/>
      <c r="D23" s="6" t="s">
        <v>191</v>
      </c>
      <c r="E23" s="6" t="s">
        <v>545</v>
      </c>
      <c r="F23" s="6">
        <v>550</v>
      </c>
      <c r="G23" s="6" t="s">
        <v>32</v>
      </c>
      <c r="H23" s="6"/>
      <c r="I23" s="6"/>
      <c r="J23" s="6"/>
      <c r="K23" s="7"/>
      <c r="L23" s="6"/>
      <c r="M23" s="6"/>
      <c r="N23" s="6"/>
      <c r="O23" s="8"/>
      <c r="Q23">
        <f>Table39[[#This Row],[AGREEMENT VALUE OF UNIT]]-Table39[[#This Row],[AMOUNT RECEIVED TILL DATE]]</f>
        <v>0</v>
      </c>
    </row>
    <row r="24" spans="2:17" x14ac:dyDescent="0.25">
      <c r="B24" s="5">
        <f t="shared" si="0"/>
        <v>22</v>
      </c>
      <c r="C24" s="6"/>
      <c r="D24" s="6" t="s">
        <v>191</v>
      </c>
      <c r="E24" s="6" t="s">
        <v>546</v>
      </c>
      <c r="F24" s="6">
        <v>550</v>
      </c>
      <c r="G24" s="6" t="s">
        <v>32</v>
      </c>
      <c r="H24" s="6"/>
      <c r="I24" s="6"/>
      <c r="J24" s="6"/>
      <c r="K24" s="7"/>
      <c r="L24" s="6"/>
      <c r="M24" s="6"/>
      <c r="N24" s="6"/>
      <c r="O24" s="8"/>
      <c r="Q24">
        <f>Table39[[#This Row],[AGREEMENT VALUE OF UNIT]]-Table39[[#This Row],[AMOUNT RECEIVED TILL DATE]]</f>
        <v>0</v>
      </c>
    </row>
    <row r="25" spans="2:17" x14ac:dyDescent="0.25">
      <c r="B25" s="5">
        <f t="shared" si="0"/>
        <v>23</v>
      </c>
      <c r="C25" s="6"/>
      <c r="D25" s="6" t="s">
        <v>191</v>
      </c>
      <c r="E25" s="6" t="s">
        <v>547</v>
      </c>
      <c r="F25" s="6">
        <v>550</v>
      </c>
      <c r="G25" s="6" t="s">
        <v>32</v>
      </c>
      <c r="H25" s="6"/>
      <c r="I25" s="6"/>
      <c r="J25" s="6"/>
      <c r="K25" s="7"/>
      <c r="L25" s="6"/>
      <c r="M25" s="6"/>
      <c r="N25" s="6"/>
      <c r="O25" s="8"/>
      <c r="Q25">
        <f>Table39[[#This Row],[AGREEMENT VALUE OF UNIT]]-Table39[[#This Row],[AMOUNT RECEIVED TILL DATE]]</f>
        <v>0</v>
      </c>
    </row>
    <row r="26" spans="2:17" x14ac:dyDescent="0.25">
      <c r="B26" s="5">
        <f t="shared" si="0"/>
        <v>24</v>
      </c>
      <c r="C26" s="6"/>
      <c r="D26" s="6" t="s">
        <v>191</v>
      </c>
      <c r="E26" s="6" t="s">
        <v>548</v>
      </c>
      <c r="F26" s="6">
        <v>550</v>
      </c>
      <c r="G26" s="6" t="s">
        <v>104</v>
      </c>
      <c r="H26" s="6"/>
      <c r="I26" s="6"/>
      <c r="J26" s="6"/>
      <c r="K26" s="7"/>
      <c r="L26" s="6"/>
      <c r="M26" s="6"/>
      <c r="N26" s="6"/>
      <c r="O26" s="8"/>
      <c r="Q26">
        <f>Table39[[#This Row],[AGREEMENT VALUE OF UNIT]]-Table39[[#This Row],[AMOUNT RECEIVED TILL DATE]]</f>
        <v>0</v>
      </c>
    </row>
    <row r="27" spans="2:17" x14ac:dyDescent="0.25">
      <c r="B27" s="5">
        <f t="shared" si="0"/>
        <v>25</v>
      </c>
      <c r="C27" s="6"/>
      <c r="D27" s="6" t="s">
        <v>191</v>
      </c>
      <c r="E27" s="6" t="s">
        <v>549</v>
      </c>
      <c r="F27" s="6">
        <v>550</v>
      </c>
      <c r="G27" s="6" t="s">
        <v>32</v>
      </c>
      <c r="H27" s="6"/>
      <c r="I27" s="6"/>
      <c r="J27" s="6"/>
      <c r="K27" s="7"/>
      <c r="L27" s="6"/>
      <c r="M27" s="6"/>
      <c r="N27" s="6"/>
      <c r="O27" s="8"/>
      <c r="Q27">
        <f>Table39[[#This Row],[AGREEMENT VALUE OF UNIT]]-Table39[[#This Row],[AMOUNT RECEIVED TILL DATE]]</f>
        <v>0</v>
      </c>
    </row>
    <row r="28" spans="2:17" x14ac:dyDescent="0.25">
      <c r="B28" s="5">
        <f t="shared" si="0"/>
        <v>26</v>
      </c>
      <c r="C28" s="6"/>
      <c r="D28" s="6" t="s">
        <v>191</v>
      </c>
      <c r="E28" s="6" t="s">
        <v>550</v>
      </c>
      <c r="F28" s="6">
        <v>550</v>
      </c>
      <c r="G28" s="6" t="s">
        <v>104</v>
      </c>
      <c r="H28" s="6"/>
      <c r="I28" s="6"/>
      <c r="J28" s="6"/>
      <c r="K28" s="7"/>
      <c r="L28" s="6"/>
      <c r="M28" s="6"/>
      <c r="N28" s="6"/>
      <c r="O28" s="8"/>
      <c r="Q28">
        <f>Table39[[#This Row],[AGREEMENT VALUE OF UNIT]]-Table39[[#This Row],[AMOUNT RECEIVED TILL DATE]]</f>
        <v>0</v>
      </c>
    </row>
    <row r="29" spans="2:17" x14ac:dyDescent="0.25">
      <c r="B29" s="5">
        <f t="shared" si="0"/>
        <v>27</v>
      </c>
      <c r="C29" s="6" t="s">
        <v>551</v>
      </c>
      <c r="D29" s="6" t="s">
        <v>191</v>
      </c>
      <c r="E29" s="6" t="s">
        <v>552</v>
      </c>
      <c r="F29" s="6">
        <v>550</v>
      </c>
      <c r="G29" s="6" t="s">
        <v>26</v>
      </c>
      <c r="H29" s="6"/>
      <c r="I29" s="6"/>
      <c r="J29" s="6"/>
      <c r="K29" s="7">
        <v>41914</v>
      </c>
      <c r="L29" s="6">
        <v>2110000</v>
      </c>
      <c r="M29" s="6">
        <v>2110000</v>
      </c>
      <c r="N29" s="6" t="s">
        <v>30</v>
      </c>
      <c r="O29" s="8">
        <v>43103</v>
      </c>
      <c r="Q29">
        <f>Table39[[#This Row],[AGREEMENT VALUE OF UNIT]]-Table39[[#This Row],[AMOUNT RECEIVED TILL DATE]]</f>
        <v>0</v>
      </c>
    </row>
    <row r="30" spans="2:17" x14ac:dyDescent="0.25">
      <c r="B30" s="5">
        <f t="shared" si="0"/>
        <v>28</v>
      </c>
      <c r="C30" s="6" t="s">
        <v>553</v>
      </c>
      <c r="D30" s="6" t="s">
        <v>191</v>
      </c>
      <c r="E30" s="6" t="s">
        <v>554</v>
      </c>
      <c r="F30" s="6">
        <v>550</v>
      </c>
      <c r="G30" s="6" t="s">
        <v>26</v>
      </c>
      <c r="H30" s="6"/>
      <c r="I30" s="6"/>
      <c r="J30" s="6"/>
      <c r="K30" s="7">
        <v>40752</v>
      </c>
      <c r="L30" s="6">
        <v>1270000</v>
      </c>
      <c r="M30" s="6">
        <v>1270000</v>
      </c>
      <c r="N30" s="6" t="s">
        <v>27</v>
      </c>
      <c r="O30" s="8">
        <v>43103</v>
      </c>
      <c r="Q30">
        <f>Table39[[#This Row],[AGREEMENT VALUE OF UNIT]]-Table39[[#This Row],[AMOUNT RECEIVED TILL DATE]]</f>
        <v>0</v>
      </c>
    </row>
    <row r="31" spans="2:17" x14ac:dyDescent="0.25">
      <c r="B31" s="5">
        <f t="shared" si="0"/>
        <v>29</v>
      </c>
      <c r="C31" s="6" t="s">
        <v>555</v>
      </c>
      <c r="D31" s="6" t="s">
        <v>191</v>
      </c>
      <c r="E31" s="6" t="s">
        <v>556</v>
      </c>
      <c r="F31" s="6">
        <v>550</v>
      </c>
      <c r="G31" s="6" t="s">
        <v>26</v>
      </c>
      <c r="H31" s="6"/>
      <c r="I31" s="6"/>
      <c r="J31" s="6"/>
      <c r="K31" s="7">
        <v>40949</v>
      </c>
      <c r="L31" s="6">
        <v>1275000</v>
      </c>
      <c r="M31" s="6">
        <v>1275000</v>
      </c>
      <c r="N31" s="6" t="s">
        <v>27</v>
      </c>
      <c r="O31" s="8">
        <v>43103</v>
      </c>
      <c r="Q31">
        <f>Table39[[#This Row],[AGREEMENT VALUE OF UNIT]]-Table39[[#This Row],[AMOUNT RECEIVED TILL DATE]]</f>
        <v>0</v>
      </c>
    </row>
    <row r="32" spans="2:17" x14ac:dyDescent="0.25">
      <c r="B32" s="5">
        <f t="shared" si="0"/>
        <v>30</v>
      </c>
      <c r="C32" s="6" t="s">
        <v>557</v>
      </c>
      <c r="D32" s="6" t="s">
        <v>191</v>
      </c>
      <c r="E32" s="6" t="s">
        <v>558</v>
      </c>
      <c r="F32" s="6">
        <v>550</v>
      </c>
      <c r="G32" s="6" t="s">
        <v>26</v>
      </c>
      <c r="H32" s="6"/>
      <c r="I32" s="6"/>
      <c r="J32" s="6"/>
      <c r="K32" s="7">
        <v>40747</v>
      </c>
      <c r="L32" s="6">
        <v>1270000</v>
      </c>
      <c r="M32" s="6">
        <v>1270000</v>
      </c>
      <c r="N32" s="6" t="s">
        <v>27</v>
      </c>
      <c r="O32" s="8">
        <v>43103</v>
      </c>
      <c r="Q32">
        <f>Table39[[#This Row],[AGREEMENT VALUE OF UNIT]]-Table39[[#This Row],[AMOUNT RECEIVED TILL DATE]]</f>
        <v>0</v>
      </c>
    </row>
    <row r="33" spans="2:17" x14ac:dyDescent="0.25">
      <c r="B33" s="5">
        <f t="shared" si="0"/>
        <v>31</v>
      </c>
      <c r="C33" s="6" t="s">
        <v>559</v>
      </c>
      <c r="D33" s="6" t="s">
        <v>191</v>
      </c>
      <c r="E33" s="6" t="s">
        <v>560</v>
      </c>
      <c r="F33" s="6">
        <v>550</v>
      </c>
      <c r="G33" s="6" t="s">
        <v>26</v>
      </c>
      <c r="H33" s="6"/>
      <c r="I33" s="6"/>
      <c r="J33" s="6"/>
      <c r="K33" s="7">
        <v>40978</v>
      </c>
      <c r="L33" s="6">
        <v>1265000</v>
      </c>
      <c r="M33" s="6">
        <v>1265000</v>
      </c>
      <c r="N33" s="6" t="s">
        <v>144</v>
      </c>
      <c r="O33" s="8">
        <v>43103</v>
      </c>
      <c r="Q33">
        <f>Table39[[#This Row],[AGREEMENT VALUE OF UNIT]]-Table39[[#This Row],[AMOUNT RECEIVED TILL DATE]]</f>
        <v>0</v>
      </c>
    </row>
    <row r="34" spans="2:17" x14ac:dyDescent="0.25">
      <c r="B34" s="5">
        <f t="shared" si="0"/>
        <v>32</v>
      </c>
      <c r="C34" s="6" t="s">
        <v>561</v>
      </c>
      <c r="D34" s="6" t="s">
        <v>191</v>
      </c>
      <c r="E34" s="6" t="s">
        <v>562</v>
      </c>
      <c r="F34" s="6">
        <v>550</v>
      </c>
      <c r="G34" s="6" t="s">
        <v>26</v>
      </c>
      <c r="H34" s="6"/>
      <c r="I34" s="6"/>
      <c r="J34" s="6"/>
      <c r="K34" s="7">
        <v>40753</v>
      </c>
      <c r="L34" s="6">
        <v>1270000</v>
      </c>
      <c r="M34" s="6">
        <v>1270000</v>
      </c>
      <c r="N34" s="6" t="s">
        <v>30</v>
      </c>
      <c r="O34" s="8">
        <v>43103</v>
      </c>
      <c r="Q34">
        <f>Table39[[#This Row],[AGREEMENT VALUE OF UNIT]]-Table39[[#This Row],[AMOUNT RECEIVED TILL DATE]]</f>
        <v>0</v>
      </c>
    </row>
    <row r="35" spans="2:17" x14ac:dyDescent="0.25">
      <c r="B35" s="5">
        <f t="shared" si="0"/>
        <v>33</v>
      </c>
      <c r="C35" s="6" t="s">
        <v>563</v>
      </c>
      <c r="D35" s="6" t="s">
        <v>191</v>
      </c>
      <c r="E35" s="6" t="s">
        <v>564</v>
      </c>
      <c r="F35" s="6">
        <v>550</v>
      </c>
      <c r="G35" s="6" t="s">
        <v>26</v>
      </c>
      <c r="H35" s="6"/>
      <c r="I35" s="6"/>
      <c r="J35" s="6"/>
      <c r="K35" s="7">
        <v>41162</v>
      </c>
      <c r="L35" s="6">
        <v>1140000</v>
      </c>
      <c r="M35" s="6">
        <v>1140000</v>
      </c>
      <c r="N35" s="6" t="s">
        <v>565</v>
      </c>
      <c r="O35" s="8">
        <v>43103</v>
      </c>
      <c r="Q35">
        <f>Table39[[#This Row],[AGREEMENT VALUE OF UNIT]]-Table39[[#This Row],[AMOUNT RECEIVED TILL DATE]]</f>
        <v>0</v>
      </c>
    </row>
    <row r="36" spans="2:17" x14ac:dyDescent="0.25">
      <c r="B36" s="5">
        <f t="shared" si="0"/>
        <v>34</v>
      </c>
      <c r="C36" s="6" t="s">
        <v>566</v>
      </c>
      <c r="D36" s="6" t="s">
        <v>191</v>
      </c>
      <c r="E36" s="6" t="s">
        <v>567</v>
      </c>
      <c r="F36" s="6">
        <v>550</v>
      </c>
      <c r="G36" s="6" t="s">
        <v>26</v>
      </c>
      <c r="H36" s="6"/>
      <c r="I36" s="6"/>
      <c r="J36" s="6"/>
      <c r="K36" s="7">
        <v>40879</v>
      </c>
      <c r="L36" s="6">
        <v>1290000</v>
      </c>
      <c r="M36" s="6">
        <v>1290000</v>
      </c>
      <c r="N36" s="6" t="s">
        <v>27</v>
      </c>
      <c r="O36" s="8">
        <v>43103</v>
      </c>
      <c r="Q36">
        <f>Table39[[#This Row],[AGREEMENT VALUE OF UNIT]]-Table39[[#This Row],[AMOUNT RECEIVED TILL DATE]]</f>
        <v>0</v>
      </c>
    </row>
    <row r="37" spans="2:17" x14ac:dyDescent="0.25">
      <c r="B37" s="5">
        <f t="shared" si="0"/>
        <v>35</v>
      </c>
      <c r="C37" s="6" t="s">
        <v>568</v>
      </c>
      <c r="D37" s="6" t="s">
        <v>191</v>
      </c>
      <c r="E37" s="6" t="s">
        <v>569</v>
      </c>
      <c r="F37" s="6">
        <v>550</v>
      </c>
      <c r="G37" s="6" t="s">
        <v>26</v>
      </c>
      <c r="H37" s="6"/>
      <c r="I37" s="6"/>
      <c r="J37" s="6"/>
      <c r="K37" s="7">
        <v>40752</v>
      </c>
      <c r="L37" s="6">
        <v>1118400</v>
      </c>
      <c r="M37" s="6">
        <v>1118400</v>
      </c>
      <c r="N37" s="6" t="s">
        <v>27</v>
      </c>
      <c r="O37" s="8">
        <v>43103</v>
      </c>
      <c r="Q37">
        <f>Table39[[#This Row],[AGREEMENT VALUE OF UNIT]]-Table39[[#This Row],[AMOUNT RECEIVED TILL DATE]]</f>
        <v>0</v>
      </c>
    </row>
    <row r="38" spans="2:17" x14ac:dyDescent="0.25">
      <c r="B38" s="5">
        <f t="shared" si="0"/>
        <v>36</v>
      </c>
      <c r="C38" s="6" t="s">
        <v>570</v>
      </c>
      <c r="D38" s="6" t="s">
        <v>191</v>
      </c>
      <c r="E38" s="6" t="s">
        <v>571</v>
      </c>
      <c r="F38" s="6">
        <v>550</v>
      </c>
      <c r="G38" s="6" t="s">
        <v>26</v>
      </c>
      <c r="H38" s="6"/>
      <c r="I38" s="6"/>
      <c r="J38" s="6"/>
      <c r="K38" s="7">
        <v>42999</v>
      </c>
      <c r="L38" s="6">
        <v>1649000</v>
      </c>
      <c r="M38" s="6">
        <f>200000+1449000</f>
        <v>1649000</v>
      </c>
      <c r="N38" s="6" t="s">
        <v>46</v>
      </c>
      <c r="O38" s="8">
        <v>43103</v>
      </c>
      <c r="Q38">
        <f>Table39[[#This Row],[AGREEMENT VALUE OF UNIT]]-Table39[[#This Row],[AMOUNT RECEIVED TILL DATE]]</f>
        <v>0</v>
      </c>
    </row>
    <row r="39" spans="2:17" x14ac:dyDescent="0.25">
      <c r="B39" s="5">
        <f t="shared" si="0"/>
        <v>37</v>
      </c>
      <c r="C39" s="6" t="s">
        <v>568</v>
      </c>
      <c r="D39" s="6" t="s">
        <v>191</v>
      </c>
      <c r="E39" s="6" t="s">
        <v>572</v>
      </c>
      <c r="F39" s="6">
        <v>550</v>
      </c>
      <c r="G39" s="6" t="s">
        <v>26</v>
      </c>
      <c r="H39" s="6"/>
      <c r="I39" s="6"/>
      <c r="J39" s="6"/>
      <c r="K39" s="7">
        <v>40752</v>
      </c>
      <c r="L39" s="6">
        <v>1193400</v>
      </c>
      <c r="M39" s="6">
        <v>1193400</v>
      </c>
      <c r="N39" s="6" t="s">
        <v>27</v>
      </c>
      <c r="O39" s="8">
        <v>43103</v>
      </c>
      <c r="Q39">
        <f>Table39[[#This Row],[AGREEMENT VALUE OF UNIT]]-Table39[[#This Row],[AMOUNT RECEIVED TILL DATE]]</f>
        <v>0</v>
      </c>
    </row>
    <row r="40" spans="2:17" x14ac:dyDescent="0.25">
      <c r="B40" s="5">
        <f t="shared" si="0"/>
        <v>38</v>
      </c>
      <c r="C40" s="6" t="s">
        <v>573</v>
      </c>
      <c r="D40" s="6" t="s">
        <v>191</v>
      </c>
      <c r="E40" s="6" t="s">
        <v>574</v>
      </c>
      <c r="F40" s="6">
        <v>550</v>
      </c>
      <c r="G40" s="6" t="s">
        <v>26</v>
      </c>
      <c r="H40" s="6"/>
      <c r="I40" s="6"/>
      <c r="J40" s="6"/>
      <c r="K40" s="7">
        <v>42225</v>
      </c>
      <c r="L40" s="6">
        <v>2085000</v>
      </c>
      <c r="M40" s="6">
        <v>2085000</v>
      </c>
      <c r="N40" s="6" t="s">
        <v>575</v>
      </c>
      <c r="O40" s="8">
        <v>43103</v>
      </c>
      <c r="Q40">
        <f>Table39[[#This Row],[AGREEMENT VALUE OF UNIT]]-Table39[[#This Row],[AMOUNT RECEIVED TILL DATE]]</f>
        <v>0</v>
      </c>
    </row>
    <row r="41" spans="2:17" x14ac:dyDescent="0.25">
      <c r="B41" s="5">
        <f t="shared" si="0"/>
        <v>39</v>
      </c>
      <c r="C41" s="6" t="s">
        <v>576</v>
      </c>
      <c r="D41" s="6" t="s">
        <v>191</v>
      </c>
      <c r="E41" s="6" t="s">
        <v>577</v>
      </c>
      <c r="F41" s="6">
        <v>550</v>
      </c>
      <c r="G41" s="6" t="s">
        <v>26</v>
      </c>
      <c r="H41" s="6"/>
      <c r="I41" s="6"/>
      <c r="J41" s="6"/>
      <c r="K41" s="7">
        <v>40817</v>
      </c>
      <c r="L41" s="6">
        <v>1209900</v>
      </c>
      <c r="M41" s="6">
        <v>1209900</v>
      </c>
      <c r="N41" s="6" t="s">
        <v>46</v>
      </c>
      <c r="O41" s="8">
        <v>43103</v>
      </c>
      <c r="Q41">
        <f>Table39[[#This Row],[AGREEMENT VALUE OF UNIT]]-Table39[[#This Row],[AMOUNT RECEIVED TILL DATE]]</f>
        <v>0</v>
      </c>
    </row>
    <row r="42" spans="2:17" x14ac:dyDescent="0.25">
      <c r="B42" s="5">
        <f t="shared" si="0"/>
        <v>40</v>
      </c>
      <c r="C42" s="6" t="s">
        <v>578</v>
      </c>
      <c r="D42" s="6" t="s">
        <v>191</v>
      </c>
      <c r="E42" s="6" t="s">
        <v>579</v>
      </c>
      <c r="F42" s="6">
        <v>550</v>
      </c>
      <c r="G42" s="6" t="s">
        <v>26</v>
      </c>
      <c r="H42" s="6"/>
      <c r="I42" s="6"/>
      <c r="J42" s="6"/>
      <c r="K42" s="7">
        <v>40839</v>
      </c>
      <c r="L42" s="6">
        <v>1129800</v>
      </c>
      <c r="M42" s="6">
        <v>1129800</v>
      </c>
      <c r="N42" s="6" t="s">
        <v>30</v>
      </c>
      <c r="O42" s="8">
        <v>43103</v>
      </c>
      <c r="Q42">
        <f>Table39[[#This Row],[AGREEMENT VALUE OF UNIT]]-Table39[[#This Row],[AMOUNT RECEIVED TILL DATE]]</f>
        <v>0</v>
      </c>
    </row>
    <row r="43" spans="2:17" x14ac:dyDescent="0.25">
      <c r="B43" s="5">
        <f t="shared" si="0"/>
        <v>41</v>
      </c>
      <c r="C43" s="6" t="s">
        <v>580</v>
      </c>
      <c r="D43" s="6" t="s">
        <v>191</v>
      </c>
      <c r="E43" s="6" t="s">
        <v>581</v>
      </c>
      <c r="F43" s="6">
        <v>550</v>
      </c>
      <c r="G43" s="6" t="s">
        <v>26</v>
      </c>
      <c r="H43" s="6"/>
      <c r="I43" s="6"/>
      <c r="J43" s="6"/>
      <c r="K43" s="7">
        <v>40708</v>
      </c>
      <c r="L43" s="6">
        <v>1110000</v>
      </c>
      <c r="M43" s="6">
        <v>1110000</v>
      </c>
      <c r="N43" s="6" t="s">
        <v>30</v>
      </c>
      <c r="O43" s="8">
        <v>43103</v>
      </c>
      <c r="Q43">
        <f>Table39[[#This Row],[AGREEMENT VALUE OF UNIT]]-Table39[[#This Row],[AMOUNT RECEIVED TILL DATE]]</f>
        <v>0</v>
      </c>
    </row>
    <row r="44" spans="2:17" x14ac:dyDescent="0.25">
      <c r="B44" s="5">
        <f t="shared" si="0"/>
        <v>42</v>
      </c>
      <c r="C44" s="6" t="s">
        <v>582</v>
      </c>
      <c r="D44" s="6" t="s">
        <v>191</v>
      </c>
      <c r="E44" s="6" t="s">
        <v>583</v>
      </c>
      <c r="F44" s="6">
        <v>550</v>
      </c>
      <c r="G44" s="6" t="s">
        <v>26</v>
      </c>
      <c r="H44" s="6"/>
      <c r="I44" s="6"/>
      <c r="J44" s="6"/>
      <c r="K44" s="7">
        <v>40711</v>
      </c>
      <c r="L44" s="6">
        <v>1140000</v>
      </c>
      <c r="M44" s="6">
        <v>1140000</v>
      </c>
      <c r="N44" s="6" t="s">
        <v>30</v>
      </c>
      <c r="O44" s="8">
        <v>43103</v>
      </c>
      <c r="Q44">
        <f>Table39[[#This Row],[AGREEMENT VALUE OF UNIT]]-Table39[[#This Row],[AMOUNT RECEIVED TILL DATE]]</f>
        <v>0</v>
      </c>
    </row>
    <row r="45" spans="2:17" x14ac:dyDescent="0.25">
      <c r="B45" s="5">
        <f t="shared" si="0"/>
        <v>43</v>
      </c>
      <c r="C45" s="6" t="s">
        <v>584</v>
      </c>
      <c r="D45" s="6" t="s">
        <v>191</v>
      </c>
      <c r="E45" s="6" t="s">
        <v>585</v>
      </c>
      <c r="F45" s="6">
        <v>550</v>
      </c>
      <c r="G45" s="6" t="s">
        <v>26</v>
      </c>
      <c r="H45" s="6"/>
      <c r="I45" s="6"/>
      <c r="J45" s="6"/>
      <c r="K45" s="7">
        <v>40708</v>
      </c>
      <c r="L45" s="6">
        <v>1110000</v>
      </c>
      <c r="M45" s="6">
        <v>1110000</v>
      </c>
      <c r="N45" s="6" t="s">
        <v>30</v>
      </c>
      <c r="O45" s="8">
        <v>43103</v>
      </c>
      <c r="Q45">
        <f>Table39[[#This Row],[AGREEMENT VALUE OF UNIT]]-Table39[[#This Row],[AMOUNT RECEIVED TILL DATE]]</f>
        <v>0</v>
      </c>
    </row>
    <row r="46" spans="2:17" x14ac:dyDescent="0.25">
      <c r="B46" s="5">
        <f t="shared" si="0"/>
        <v>44</v>
      </c>
      <c r="C46" s="6" t="s">
        <v>586</v>
      </c>
      <c r="D46" s="6" t="s">
        <v>191</v>
      </c>
      <c r="E46" s="6" t="s">
        <v>587</v>
      </c>
      <c r="F46" s="6">
        <v>550</v>
      </c>
      <c r="G46" s="6" t="s">
        <v>26</v>
      </c>
      <c r="H46" s="6"/>
      <c r="I46" s="6"/>
      <c r="J46" s="6"/>
      <c r="K46" s="7">
        <v>40711</v>
      </c>
      <c r="L46" s="6">
        <v>1140000</v>
      </c>
      <c r="M46" s="6">
        <v>1140000</v>
      </c>
      <c r="N46" s="6" t="s">
        <v>30</v>
      </c>
      <c r="O46" s="8">
        <v>43103</v>
      </c>
      <c r="Q46">
        <f>Table39[[#This Row],[AGREEMENT VALUE OF UNIT]]-Table39[[#This Row],[AMOUNT RECEIVED TILL DATE]]</f>
        <v>0</v>
      </c>
    </row>
    <row r="47" spans="2:17" x14ac:dyDescent="0.25">
      <c r="B47" s="5">
        <f t="shared" si="0"/>
        <v>45</v>
      </c>
      <c r="C47" s="6" t="s">
        <v>588</v>
      </c>
      <c r="D47" s="6" t="s">
        <v>191</v>
      </c>
      <c r="E47" s="6" t="s">
        <v>589</v>
      </c>
      <c r="F47" s="6">
        <v>550</v>
      </c>
      <c r="G47" s="6" t="s">
        <v>26</v>
      </c>
      <c r="H47" s="6"/>
      <c r="I47" s="6"/>
      <c r="J47" s="6"/>
      <c r="K47" s="7">
        <v>42297</v>
      </c>
      <c r="L47" s="6">
        <v>1907300</v>
      </c>
      <c r="M47" s="6">
        <v>1907300</v>
      </c>
      <c r="N47" s="6" t="s">
        <v>500</v>
      </c>
      <c r="O47" s="8">
        <v>43103</v>
      </c>
      <c r="Q47">
        <f>Table39[[#This Row],[AGREEMENT VALUE OF UNIT]]-Table39[[#This Row],[AMOUNT RECEIVED TILL DATE]]</f>
        <v>0</v>
      </c>
    </row>
    <row r="48" spans="2:17" x14ac:dyDescent="0.25">
      <c r="B48" s="5">
        <f t="shared" si="0"/>
        <v>46</v>
      </c>
      <c r="C48" s="6" t="s">
        <v>590</v>
      </c>
      <c r="D48" s="6" t="s">
        <v>191</v>
      </c>
      <c r="E48" s="6" t="s">
        <v>591</v>
      </c>
      <c r="F48" s="6">
        <v>550</v>
      </c>
      <c r="G48" s="6" t="s">
        <v>26</v>
      </c>
      <c r="H48" s="6"/>
      <c r="I48" s="6"/>
      <c r="J48" s="6"/>
      <c r="K48" s="7">
        <v>40717</v>
      </c>
      <c r="L48" s="6">
        <v>1140000</v>
      </c>
      <c r="M48" s="6">
        <v>1140000</v>
      </c>
      <c r="N48" s="6" t="s">
        <v>30</v>
      </c>
      <c r="O48" s="8">
        <v>43103</v>
      </c>
      <c r="Q48">
        <f>Table39[[#This Row],[AGREEMENT VALUE OF UNIT]]-Table39[[#This Row],[AMOUNT RECEIVED TILL DATE]]</f>
        <v>0</v>
      </c>
    </row>
    <row r="49" spans="2:17" x14ac:dyDescent="0.25">
      <c r="B49" s="5">
        <f t="shared" si="0"/>
        <v>47</v>
      </c>
      <c r="C49" s="6" t="s">
        <v>592</v>
      </c>
      <c r="D49" s="6" t="s">
        <v>191</v>
      </c>
      <c r="E49" s="6" t="s">
        <v>593</v>
      </c>
      <c r="F49" s="6">
        <v>550</v>
      </c>
      <c r="G49" s="6" t="s">
        <v>26</v>
      </c>
      <c r="H49" s="6"/>
      <c r="I49" s="6"/>
      <c r="J49" s="6"/>
      <c r="K49" s="7">
        <v>42297</v>
      </c>
      <c r="L49" s="6">
        <v>1907300</v>
      </c>
      <c r="M49" s="6">
        <v>1907300</v>
      </c>
      <c r="N49" s="6" t="s">
        <v>500</v>
      </c>
      <c r="O49" s="8">
        <v>43103</v>
      </c>
      <c r="Q49">
        <f>Table39[[#This Row],[AGREEMENT VALUE OF UNIT]]-Table39[[#This Row],[AMOUNT RECEIVED TILL DATE]]</f>
        <v>0</v>
      </c>
    </row>
    <row r="50" spans="2:17" x14ac:dyDescent="0.25">
      <c r="B50" s="5">
        <f t="shared" si="0"/>
        <v>48</v>
      </c>
      <c r="C50" s="6" t="s">
        <v>590</v>
      </c>
      <c r="D50" s="6" t="s">
        <v>191</v>
      </c>
      <c r="E50" s="6" t="s">
        <v>594</v>
      </c>
      <c r="F50" s="6">
        <v>550</v>
      </c>
      <c r="G50" s="6" t="s">
        <v>26</v>
      </c>
      <c r="H50" s="6"/>
      <c r="I50" s="6"/>
      <c r="J50" s="6"/>
      <c r="K50" s="7">
        <v>40717</v>
      </c>
      <c r="L50" s="6">
        <v>1140000</v>
      </c>
      <c r="M50" s="6">
        <v>1140000</v>
      </c>
      <c r="N50" s="6" t="s">
        <v>30</v>
      </c>
      <c r="O50" s="8">
        <v>43103</v>
      </c>
      <c r="Q50">
        <f>Table39[[#This Row],[AGREEMENT VALUE OF UNIT]]-Table39[[#This Row],[AMOUNT RECEIVED TILL DATE]]</f>
        <v>0</v>
      </c>
    </row>
    <row r="51" spans="2:17" x14ac:dyDescent="0.25">
      <c r="B51" s="5">
        <f t="shared" si="0"/>
        <v>49</v>
      </c>
      <c r="C51" s="6" t="s">
        <v>595</v>
      </c>
      <c r="D51" s="6" t="s">
        <v>191</v>
      </c>
      <c r="E51" s="6" t="s">
        <v>596</v>
      </c>
      <c r="F51" s="6">
        <v>550</v>
      </c>
      <c r="G51" s="6" t="s">
        <v>26</v>
      </c>
      <c r="H51" s="6"/>
      <c r="I51" s="6"/>
      <c r="J51" s="6"/>
      <c r="K51" s="7">
        <v>40815</v>
      </c>
      <c r="L51" s="6">
        <v>1134900</v>
      </c>
      <c r="M51" s="6">
        <v>1134900</v>
      </c>
      <c r="N51" s="6" t="s">
        <v>46</v>
      </c>
      <c r="O51" s="8">
        <v>43103</v>
      </c>
      <c r="Q51">
        <f>Table39[[#This Row],[AGREEMENT VALUE OF UNIT]]-Table39[[#This Row],[AMOUNT RECEIVED TILL DATE]]</f>
        <v>0</v>
      </c>
    </row>
    <row r="52" spans="2:17" x14ac:dyDescent="0.25">
      <c r="B52" s="5">
        <f t="shared" si="0"/>
        <v>50</v>
      </c>
      <c r="C52" s="6" t="s">
        <v>597</v>
      </c>
      <c r="D52" s="6" t="s">
        <v>191</v>
      </c>
      <c r="E52" s="6" t="s">
        <v>598</v>
      </c>
      <c r="F52" s="6">
        <v>550</v>
      </c>
      <c r="G52" s="6" t="s">
        <v>26</v>
      </c>
      <c r="H52" s="6"/>
      <c r="I52" s="6"/>
      <c r="J52" s="6"/>
      <c r="K52" s="7">
        <v>40717</v>
      </c>
      <c r="L52" s="6">
        <v>1140000</v>
      </c>
      <c r="M52" s="6">
        <v>1140000</v>
      </c>
      <c r="N52" s="6" t="s">
        <v>30</v>
      </c>
      <c r="O52" s="8">
        <v>43103</v>
      </c>
      <c r="Q52">
        <f>Table39[[#This Row],[AGREEMENT VALUE OF UNIT]]-Table39[[#This Row],[AMOUNT RECEIVED TILL DATE]]</f>
        <v>0</v>
      </c>
    </row>
    <row r="53" spans="2:17" x14ac:dyDescent="0.25">
      <c r="B53" s="5">
        <f t="shared" si="0"/>
        <v>51</v>
      </c>
      <c r="C53" s="6" t="s">
        <v>286</v>
      </c>
      <c r="D53" s="6" t="s">
        <v>191</v>
      </c>
      <c r="E53" s="6" t="s">
        <v>599</v>
      </c>
      <c r="F53" s="6">
        <v>550</v>
      </c>
      <c r="G53" s="6" t="s">
        <v>26</v>
      </c>
      <c r="H53" s="6"/>
      <c r="I53" s="6"/>
      <c r="J53" s="6"/>
      <c r="K53" s="7">
        <v>40652</v>
      </c>
      <c r="L53" s="6">
        <v>1018000</v>
      </c>
      <c r="M53" s="6">
        <v>1018000</v>
      </c>
      <c r="N53" s="6" t="s">
        <v>425</v>
      </c>
      <c r="O53" s="8">
        <v>43103</v>
      </c>
      <c r="Q53">
        <f>Table39[[#This Row],[AGREEMENT VALUE OF UNIT]]-Table39[[#This Row],[AMOUNT RECEIVED TILL DATE]]</f>
        <v>0</v>
      </c>
    </row>
    <row r="54" spans="2:17" x14ac:dyDescent="0.25">
      <c r="B54" s="5">
        <f t="shared" si="0"/>
        <v>52</v>
      </c>
      <c r="C54" s="6" t="s">
        <v>600</v>
      </c>
      <c r="D54" s="6" t="s">
        <v>191</v>
      </c>
      <c r="E54" s="6" t="s">
        <v>601</v>
      </c>
      <c r="F54" s="6">
        <v>550</v>
      </c>
      <c r="G54" s="6" t="s">
        <v>26</v>
      </c>
      <c r="H54" s="6"/>
      <c r="I54" s="6"/>
      <c r="J54" s="6"/>
      <c r="K54" s="7">
        <v>40849</v>
      </c>
      <c r="L54" s="6">
        <v>1150000</v>
      </c>
      <c r="M54" s="6">
        <v>1150000</v>
      </c>
      <c r="N54" s="6" t="s">
        <v>30</v>
      </c>
      <c r="O54" s="8">
        <v>43103</v>
      </c>
      <c r="Q54">
        <f>Table39[[#This Row],[AGREEMENT VALUE OF UNIT]]-Table39[[#This Row],[AMOUNT RECEIVED TILL DATE]]</f>
        <v>0</v>
      </c>
    </row>
    <row r="55" spans="2:17" x14ac:dyDescent="0.25">
      <c r="B55" s="5">
        <f t="shared" si="0"/>
        <v>53</v>
      </c>
      <c r="C55" s="6" t="s">
        <v>602</v>
      </c>
      <c r="D55" s="6" t="s">
        <v>191</v>
      </c>
      <c r="E55" s="6" t="s">
        <v>603</v>
      </c>
      <c r="F55" s="6">
        <v>550</v>
      </c>
      <c r="G55" s="6" t="s">
        <v>26</v>
      </c>
      <c r="H55" s="6"/>
      <c r="I55" s="6"/>
      <c r="J55" s="6"/>
      <c r="K55" s="7">
        <v>40658</v>
      </c>
      <c r="L55" s="6">
        <v>1034000</v>
      </c>
      <c r="M55" s="6">
        <v>1034000</v>
      </c>
      <c r="N55" s="6" t="s">
        <v>57</v>
      </c>
      <c r="O55" s="8">
        <v>43103</v>
      </c>
      <c r="Q55">
        <f>Table39[[#This Row],[AGREEMENT VALUE OF UNIT]]-Table39[[#This Row],[AMOUNT RECEIVED TILL DATE]]</f>
        <v>0</v>
      </c>
    </row>
    <row r="56" spans="2:17" x14ac:dyDescent="0.25">
      <c r="B56" s="5">
        <f t="shared" si="0"/>
        <v>54</v>
      </c>
      <c r="C56" s="6" t="s">
        <v>604</v>
      </c>
      <c r="D56" s="6" t="s">
        <v>191</v>
      </c>
      <c r="E56" s="6" t="s">
        <v>605</v>
      </c>
      <c r="F56" s="6">
        <v>550</v>
      </c>
      <c r="G56" s="6" t="s">
        <v>26</v>
      </c>
      <c r="H56" s="6"/>
      <c r="I56" s="6"/>
      <c r="J56" s="6"/>
      <c r="K56" s="7">
        <v>40872</v>
      </c>
      <c r="L56" s="6">
        <v>1198850</v>
      </c>
      <c r="M56" s="6">
        <v>1198850</v>
      </c>
      <c r="N56" s="6" t="s">
        <v>27</v>
      </c>
      <c r="O56" s="8">
        <v>43103</v>
      </c>
      <c r="Q56">
        <f>Table39[[#This Row],[AGREEMENT VALUE OF UNIT]]-Table39[[#This Row],[AMOUNT RECEIVED TILL DATE]]</f>
        <v>0</v>
      </c>
    </row>
    <row r="57" spans="2:17" x14ac:dyDescent="0.25">
      <c r="B57" s="5">
        <f t="shared" si="0"/>
        <v>55</v>
      </c>
      <c r="C57" s="6" t="s">
        <v>606</v>
      </c>
      <c r="D57" s="6" t="s">
        <v>191</v>
      </c>
      <c r="E57" s="6" t="s">
        <v>607</v>
      </c>
      <c r="F57" s="6">
        <v>550</v>
      </c>
      <c r="G57" s="6" t="s">
        <v>26</v>
      </c>
      <c r="H57" s="6"/>
      <c r="I57" s="6"/>
      <c r="J57" s="6"/>
      <c r="K57" s="7">
        <v>40994</v>
      </c>
      <c r="L57" s="6">
        <v>1215000</v>
      </c>
      <c r="M57" s="6">
        <v>1215000</v>
      </c>
      <c r="N57" s="6" t="s">
        <v>46</v>
      </c>
      <c r="O57" s="8">
        <v>43103</v>
      </c>
      <c r="Q57">
        <f>Table39[[#This Row],[AGREEMENT VALUE OF UNIT]]-Table39[[#This Row],[AMOUNT RECEIVED TILL DATE]]</f>
        <v>0</v>
      </c>
    </row>
    <row r="58" spans="2:17" x14ac:dyDescent="0.25">
      <c r="B58" s="5">
        <f t="shared" si="0"/>
        <v>56</v>
      </c>
      <c r="C58" s="6" t="s">
        <v>608</v>
      </c>
      <c r="D58" s="6" t="s">
        <v>191</v>
      </c>
      <c r="E58" s="6" t="s">
        <v>609</v>
      </c>
      <c r="F58" s="6">
        <v>550</v>
      </c>
      <c r="G58" s="6" t="s">
        <v>26</v>
      </c>
      <c r="H58" s="6"/>
      <c r="I58" s="6"/>
      <c r="J58" s="6"/>
      <c r="K58" s="7">
        <v>40978</v>
      </c>
      <c r="L58" s="6">
        <v>1245000</v>
      </c>
      <c r="M58" s="6">
        <v>1245000</v>
      </c>
      <c r="N58" s="6" t="s">
        <v>30</v>
      </c>
      <c r="O58" s="8">
        <v>43103</v>
      </c>
      <c r="Q58">
        <f>Table39[[#This Row],[AGREEMENT VALUE OF UNIT]]-Table39[[#This Row],[AMOUNT RECEIVED TILL DATE]]</f>
        <v>0</v>
      </c>
    </row>
    <row r="59" spans="2:17" x14ac:dyDescent="0.25">
      <c r="B59" s="5">
        <f t="shared" si="0"/>
        <v>57</v>
      </c>
      <c r="C59" s="6" t="s">
        <v>610</v>
      </c>
      <c r="D59" s="6" t="s">
        <v>191</v>
      </c>
      <c r="E59" s="6" t="s">
        <v>611</v>
      </c>
      <c r="F59" s="6">
        <v>550</v>
      </c>
      <c r="G59" s="6" t="s">
        <v>26</v>
      </c>
      <c r="H59" s="6"/>
      <c r="I59" s="6"/>
      <c r="J59" s="6"/>
      <c r="K59" s="7">
        <v>40708</v>
      </c>
      <c r="L59" s="6">
        <v>1151700</v>
      </c>
      <c r="M59" s="6">
        <v>1151700</v>
      </c>
      <c r="N59" s="6" t="s">
        <v>46</v>
      </c>
      <c r="O59" s="8">
        <v>43103</v>
      </c>
      <c r="Q59">
        <f>Table39[[#This Row],[AGREEMENT VALUE OF UNIT]]-Table39[[#This Row],[AMOUNT RECEIVED TILL DATE]]</f>
        <v>0</v>
      </c>
    </row>
    <row r="60" spans="2:17" x14ac:dyDescent="0.25">
      <c r="B60" s="5">
        <f t="shared" si="0"/>
        <v>58</v>
      </c>
      <c r="C60" s="6" t="s">
        <v>612</v>
      </c>
      <c r="D60" s="6" t="s">
        <v>191</v>
      </c>
      <c r="E60" s="6" t="s">
        <v>613</v>
      </c>
      <c r="F60" s="6">
        <v>550</v>
      </c>
      <c r="G60" s="6" t="s">
        <v>26</v>
      </c>
      <c r="H60" s="6"/>
      <c r="I60" s="6"/>
      <c r="J60" s="6"/>
      <c r="K60" s="7">
        <v>40810</v>
      </c>
      <c r="L60" s="6">
        <v>1110000</v>
      </c>
      <c r="M60" s="6">
        <v>1110000</v>
      </c>
      <c r="N60" s="6" t="s">
        <v>46</v>
      </c>
      <c r="O60" s="8">
        <v>43103</v>
      </c>
      <c r="Q60">
        <f>Table39[[#This Row],[AGREEMENT VALUE OF UNIT]]-Table39[[#This Row],[AMOUNT RECEIVED TILL DATE]]</f>
        <v>0</v>
      </c>
    </row>
    <row r="61" spans="2:17" x14ac:dyDescent="0.25">
      <c r="B61" s="5">
        <f t="shared" si="0"/>
        <v>59</v>
      </c>
      <c r="C61" s="6" t="s">
        <v>614</v>
      </c>
      <c r="D61" s="6" t="s">
        <v>191</v>
      </c>
      <c r="E61" s="6" t="s">
        <v>615</v>
      </c>
      <c r="F61" s="6">
        <v>550</v>
      </c>
      <c r="G61" s="6" t="s">
        <v>26</v>
      </c>
      <c r="H61" s="6"/>
      <c r="I61" s="6"/>
      <c r="J61" s="6"/>
      <c r="K61" s="7">
        <v>40872</v>
      </c>
      <c r="L61" s="6">
        <v>1205000</v>
      </c>
      <c r="M61" s="6">
        <v>1147400</v>
      </c>
      <c r="N61" s="6" t="s">
        <v>27</v>
      </c>
      <c r="O61" s="8">
        <v>43103</v>
      </c>
      <c r="Q61">
        <f>Table39[[#This Row],[AGREEMENT VALUE OF UNIT]]-Table39[[#This Row],[AMOUNT RECEIVED TILL DATE]]</f>
        <v>57600</v>
      </c>
    </row>
    <row r="62" spans="2:17" x14ac:dyDescent="0.25">
      <c r="B62" s="5">
        <f t="shared" si="0"/>
        <v>60</v>
      </c>
      <c r="C62" s="6" t="s">
        <v>616</v>
      </c>
      <c r="D62" s="6" t="s">
        <v>191</v>
      </c>
      <c r="E62" s="6" t="s">
        <v>617</v>
      </c>
      <c r="F62" s="6">
        <v>550</v>
      </c>
      <c r="G62" s="6" t="s">
        <v>26</v>
      </c>
      <c r="H62" s="6"/>
      <c r="I62" s="6"/>
      <c r="J62" s="6"/>
      <c r="K62" s="7">
        <v>40929</v>
      </c>
      <c r="L62" s="6">
        <v>1300900</v>
      </c>
      <c r="M62" s="6">
        <v>1300900</v>
      </c>
      <c r="N62" s="6" t="s">
        <v>30</v>
      </c>
      <c r="O62" s="8">
        <v>43103</v>
      </c>
      <c r="Q62">
        <f>Table39[[#This Row],[AGREEMENT VALUE OF UNIT]]-Table39[[#This Row],[AMOUNT RECEIVED TILL DATE]]</f>
        <v>0</v>
      </c>
    </row>
    <row r="63" spans="2:17" x14ac:dyDescent="0.25">
      <c r="B63" s="5">
        <f t="shared" si="0"/>
        <v>61</v>
      </c>
      <c r="C63" s="6" t="s">
        <v>618</v>
      </c>
      <c r="D63" s="6" t="s">
        <v>191</v>
      </c>
      <c r="E63" s="6" t="s">
        <v>619</v>
      </c>
      <c r="F63" s="6">
        <v>550</v>
      </c>
      <c r="G63" s="6" t="s">
        <v>26</v>
      </c>
      <c r="H63" s="6"/>
      <c r="I63" s="6"/>
      <c r="J63" s="6"/>
      <c r="K63" s="7">
        <v>40708</v>
      </c>
      <c r="L63" s="6">
        <v>1151700</v>
      </c>
      <c r="M63" s="6">
        <v>1151700</v>
      </c>
      <c r="N63" s="6" t="s">
        <v>46</v>
      </c>
      <c r="O63" s="8">
        <v>43103</v>
      </c>
      <c r="Q63">
        <f>Table39[[#This Row],[AGREEMENT VALUE OF UNIT]]-Table39[[#This Row],[AMOUNT RECEIVED TILL DATE]]</f>
        <v>0</v>
      </c>
    </row>
    <row r="64" spans="2:17" x14ac:dyDescent="0.25">
      <c r="B64" s="5">
        <f t="shared" si="0"/>
        <v>62</v>
      </c>
      <c r="C64" s="6" t="s">
        <v>620</v>
      </c>
      <c r="D64" s="6" t="s">
        <v>191</v>
      </c>
      <c r="E64" s="6" t="s">
        <v>621</v>
      </c>
      <c r="F64" s="6">
        <v>550</v>
      </c>
      <c r="G64" s="6" t="s">
        <v>26</v>
      </c>
      <c r="H64" s="6"/>
      <c r="I64" s="6"/>
      <c r="J64" s="6"/>
      <c r="K64" s="7">
        <v>40831</v>
      </c>
      <c r="L64" s="6">
        <v>1118000</v>
      </c>
      <c r="M64" s="6">
        <v>1118000</v>
      </c>
      <c r="N64" s="6" t="s">
        <v>57</v>
      </c>
      <c r="O64" s="8">
        <v>43103</v>
      </c>
      <c r="Q64">
        <f>Table39[[#This Row],[AGREEMENT VALUE OF UNIT]]-Table39[[#This Row],[AMOUNT RECEIVED TILL DATE]]</f>
        <v>0</v>
      </c>
    </row>
    <row r="65" spans="2:17" x14ac:dyDescent="0.25">
      <c r="B65" s="5">
        <f t="shared" si="0"/>
        <v>63</v>
      </c>
      <c r="C65" s="6" t="s">
        <v>622</v>
      </c>
      <c r="D65" s="6" t="s">
        <v>191</v>
      </c>
      <c r="E65" s="6" t="s">
        <v>623</v>
      </c>
      <c r="F65" s="6">
        <v>550</v>
      </c>
      <c r="G65" s="6" t="s">
        <v>26</v>
      </c>
      <c r="H65" s="6"/>
      <c r="I65" s="6"/>
      <c r="J65" s="6"/>
      <c r="K65" s="7">
        <v>40739</v>
      </c>
      <c r="L65" s="6">
        <v>1127450</v>
      </c>
      <c r="M65" s="6">
        <v>1127450</v>
      </c>
      <c r="N65" s="6" t="s">
        <v>30</v>
      </c>
      <c r="O65" s="8">
        <v>43103</v>
      </c>
      <c r="Q65">
        <f>Table39[[#This Row],[AGREEMENT VALUE OF UNIT]]-Table39[[#This Row],[AMOUNT RECEIVED TILL DATE]]</f>
        <v>0</v>
      </c>
    </row>
    <row r="66" spans="2:17" x14ac:dyDescent="0.25">
      <c r="B66" s="5">
        <f t="shared" si="0"/>
        <v>64</v>
      </c>
      <c r="C66" s="6" t="s">
        <v>624</v>
      </c>
      <c r="D66" s="6" t="s">
        <v>191</v>
      </c>
      <c r="E66" s="6" t="s">
        <v>625</v>
      </c>
      <c r="F66" s="6">
        <v>550</v>
      </c>
      <c r="G66" s="6" t="s">
        <v>26</v>
      </c>
      <c r="H66" s="6"/>
      <c r="I66" s="6"/>
      <c r="J66" s="6"/>
      <c r="K66" s="7">
        <v>40745</v>
      </c>
      <c r="L66" s="6">
        <v>1190000</v>
      </c>
      <c r="M66" s="6">
        <v>1190000</v>
      </c>
      <c r="N66" s="6" t="s">
        <v>626</v>
      </c>
      <c r="O66" s="8">
        <v>43103</v>
      </c>
      <c r="Q66">
        <f>Table39[[#This Row],[AGREEMENT VALUE OF UNIT]]-Table39[[#This Row],[AMOUNT RECEIVED TILL DATE]]</f>
        <v>0</v>
      </c>
    </row>
    <row r="67" spans="2:17" x14ac:dyDescent="0.25">
      <c r="B67" s="5">
        <f t="shared" si="0"/>
        <v>65</v>
      </c>
      <c r="C67" s="6" t="s">
        <v>622</v>
      </c>
      <c r="D67" s="6" t="s">
        <v>191</v>
      </c>
      <c r="E67" s="6" t="s">
        <v>627</v>
      </c>
      <c r="F67" s="6">
        <v>550</v>
      </c>
      <c r="G67" s="6" t="s">
        <v>26</v>
      </c>
      <c r="H67" s="6"/>
      <c r="I67" s="6"/>
      <c r="J67" s="6"/>
      <c r="K67" s="7">
        <v>40739</v>
      </c>
      <c r="L67" s="6">
        <v>1127450</v>
      </c>
      <c r="M67" s="6">
        <v>1127450</v>
      </c>
      <c r="N67" s="6" t="s">
        <v>30</v>
      </c>
      <c r="O67" s="8">
        <v>43103</v>
      </c>
      <c r="Q67">
        <f>Table39[[#This Row],[AGREEMENT VALUE OF UNIT]]-Table39[[#This Row],[AMOUNT RECEIVED TILL DATE]]</f>
        <v>0</v>
      </c>
    </row>
    <row r="68" spans="2:17" x14ac:dyDescent="0.25">
      <c r="B68" s="5">
        <f t="shared" ref="B68:B131" si="1">B67+1</f>
        <v>66</v>
      </c>
      <c r="C68" s="6" t="s">
        <v>243</v>
      </c>
      <c r="D68" s="6" t="s">
        <v>191</v>
      </c>
      <c r="E68" s="6" t="s">
        <v>628</v>
      </c>
      <c r="F68" s="6">
        <v>550</v>
      </c>
      <c r="G68" s="6" t="s">
        <v>26</v>
      </c>
      <c r="H68" s="6"/>
      <c r="I68" s="6"/>
      <c r="J68" s="6"/>
      <c r="K68" s="7">
        <v>40745</v>
      </c>
      <c r="L68" s="6">
        <v>1190000</v>
      </c>
      <c r="M68" s="6">
        <v>1190000</v>
      </c>
      <c r="N68" s="6" t="s">
        <v>144</v>
      </c>
      <c r="O68" s="8">
        <v>43103</v>
      </c>
      <c r="Q68">
        <f>Table39[[#This Row],[AGREEMENT VALUE OF UNIT]]-Table39[[#This Row],[AMOUNT RECEIVED TILL DATE]]</f>
        <v>0</v>
      </c>
    </row>
    <row r="69" spans="2:17" x14ac:dyDescent="0.25">
      <c r="B69" s="5">
        <f t="shared" si="1"/>
        <v>67</v>
      </c>
      <c r="C69" s="6" t="s">
        <v>95</v>
      </c>
      <c r="D69" s="6" t="s">
        <v>191</v>
      </c>
      <c r="E69" s="6" t="s">
        <v>629</v>
      </c>
      <c r="F69" s="6">
        <v>550</v>
      </c>
      <c r="G69" s="6" t="s">
        <v>26</v>
      </c>
      <c r="H69" s="6"/>
      <c r="I69" s="6"/>
      <c r="J69" s="6"/>
      <c r="K69" s="7">
        <v>40753</v>
      </c>
      <c r="L69" s="6">
        <v>1041600</v>
      </c>
      <c r="M69" s="6">
        <v>1041600</v>
      </c>
      <c r="N69" s="6" t="s">
        <v>30</v>
      </c>
      <c r="O69" s="8">
        <v>43103</v>
      </c>
      <c r="Q69">
        <f>Table39[[#This Row],[AGREEMENT VALUE OF UNIT]]-Table39[[#This Row],[AMOUNT RECEIVED TILL DATE]]</f>
        <v>0</v>
      </c>
    </row>
    <row r="70" spans="2:17" x14ac:dyDescent="0.25">
      <c r="B70" s="5">
        <f t="shared" si="1"/>
        <v>68</v>
      </c>
      <c r="C70" s="6" t="s">
        <v>630</v>
      </c>
      <c r="D70" s="6" t="s">
        <v>191</v>
      </c>
      <c r="E70" s="6" t="s">
        <v>631</v>
      </c>
      <c r="F70" s="6">
        <v>550</v>
      </c>
      <c r="G70" s="6" t="s">
        <v>26</v>
      </c>
      <c r="H70" s="6"/>
      <c r="I70" s="6"/>
      <c r="J70" s="6"/>
      <c r="K70" s="7">
        <v>40760</v>
      </c>
      <c r="L70" s="6">
        <v>1169000</v>
      </c>
      <c r="M70" s="6">
        <v>1169000</v>
      </c>
      <c r="N70" s="6" t="s">
        <v>30</v>
      </c>
      <c r="O70" s="8">
        <v>43103</v>
      </c>
      <c r="Q70">
        <f>Table39[[#This Row],[AGREEMENT VALUE OF UNIT]]-Table39[[#This Row],[AMOUNT RECEIVED TILL DATE]]</f>
        <v>0</v>
      </c>
    </row>
    <row r="71" spans="2:17" x14ac:dyDescent="0.25">
      <c r="B71" s="5">
        <f t="shared" si="1"/>
        <v>69</v>
      </c>
      <c r="C71" s="6" t="s">
        <v>306</v>
      </c>
      <c r="D71" s="6" t="s">
        <v>191</v>
      </c>
      <c r="E71" s="6" t="s">
        <v>632</v>
      </c>
      <c r="F71" s="6">
        <v>550</v>
      </c>
      <c r="G71" s="6" t="s">
        <v>26</v>
      </c>
      <c r="H71" s="6"/>
      <c r="I71" s="6"/>
      <c r="J71" s="6"/>
      <c r="K71" s="7">
        <v>40753</v>
      </c>
      <c r="L71" s="6">
        <v>1052450</v>
      </c>
      <c r="M71" s="6">
        <v>1052450</v>
      </c>
      <c r="N71" s="6" t="s">
        <v>30</v>
      </c>
      <c r="O71" s="8">
        <v>43103</v>
      </c>
      <c r="Q71">
        <f>Table39[[#This Row],[AGREEMENT VALUE OF UNIT]]-Table39[[#This Row],[AMOUNT RECEIVED TILL DATE]]</f>
        <v>0</v>
      </c>
    </row>
    <row r="72" spans="2:17" x14ac:dyDescent="0.25">
      <c r="B72" s="5">
        <f t="shared" si="1"/>
        <v>70</v>
      </c>
      <c r="C72" s="6" t="s">
        <v>633</v>
      </c>
      <c r="D72" s="6" t="s">
        <v>191</v>
      </c>
      <c r="E72" s="6" t="s">
        <v>634</v>
      </c>
      <c r="F72" s="6">
        <v>550</v>
      </c>
      <c r="G72" s="6" t="s">
        <v>26</v>
      </c>
      <c r="H72" s="6"/>
      <c r="I72" s="6"/>
      <c r="J72" s="6"/>
      <c r="K72" s="7">
        <v>40939</v>
      </c>
      <c r="L72" s="6">
        <v>1225000</v>
      </c>
      <c r="M72" s="6">
        <v>1225000</v>
      </c>
      <c r="N72" s="6" t="s">
        <v>27</v>
      </c>
      <c r="O72" s="8">
        <v>43103</v>
      </c>
      <c r="Q72">
        <f>Table39[[#This Row],[AGREEMENT VALUE OF UNIT]]-Table39[[#This Row],[AMOUNT RECEIVED TILL DATE]]</f>
        <v>0</v>
      </c>
    </row>
    <row r="73" spans="2:17" x14ac:dyDescent="0.25">
      <c r="B73" s="5">
        <f t="shared" si="1"/>
        <v>71</v>
      </c>
      <c r="C73" s="6" t="s">
        <v>635</v>
      </c>
      <c r="D73" s="6" t="s">
        <v>191</v>
      </c>
      <c r="E73" s="6" t="s">
        <v>636</v>
      </c>
      <c r="F73" s="6">
        <v>550</v>
      </c>
      <c r="G73" s="6" t="s">
        <v>26</v>
      </c>
      <c r="H73" s="6"/>
      <c r="I73" s="6"/>
      <c r="J73" s="6"/>
      <c r="K73" s="7">
        <v>41038</v>
      </c>
      <c r="L73" s="6">
        <v>1239750</v>
      </c>
      <c r="M73" s="6">
        <v>1239750</v>
      </c>
      <c r="N73" s="6" t="s">
        <v>66</v>
      </c>
      <c r="O73" s="8">
        <v>43103</v>
      </c>
      <c r="Q73">
        <f>Table39[[#This Row],[AGREEMENT VALUE OF UNIT]]-Table39[[#This Row],[AMOUNT RECEIVED TILL DATE]]</f>
        <v>0</v>
      </c>
    </row>
    <row r="74" spans="2:17" x14ac:dyDescent="0.25">
      <c r="B74" s="5">
        <f t="shared" si="1"/>
        <v>72</v>
      </c>
      <c r="C74" s="6" t="s">
        <v>637</v>
      </c>
      <c r="D74" s="6" t="s">
        <v>191</v>
      </c>
      <c r="E74" s="6" t="s">
        <v>638</v>
      </c>
      <c r="F74" s="6">
        <v>550</v>
      </c>
      <c r="G74" s="6" t="s">
        <v>26</v>
      </c>
      <c r="H74" s="6"/>
      <c r="I74" s="6"/>
      <c r="J74" s="6"/>
      <c r="K74" s="7">
        <v>40831</v>
      </c>
      <c r="L74" s="6">
        <v>1150000</v>
      </c>
      <c r="M74" s="6">
        <v>1150000</v>
      </c>
      <c r="N74" s="6" t="s">
        <v>46</v>
      </c>
      <c r="O74" s="8">
        <v>43103</v>
      </c>
      <c r="Q74">
        <f>Table39[[#This Row],[AGREEMENT VALUE OF UNIT]]-Table39[[#This Row],[AMOUNT RECEIVED TILL DATE]]</f>
        <v>0</v>
      </c>
    </row>
    <row r="75" spans="2:17" x14ac:dyDescent="0.25">
      <c r="B75" s="5">
        <f t="shared" si="1"/>
        <v>73</v>
      </c>
      <c r="C75" s="6" t="s">
        <v>639</v>
      </c>
      <c r="D75" s="6" t="s">
        <v>191</v>
      </c>
      <c r="E75" s="6" t="s">
        <v>640</v>
      </c>
      <c r="F75" s="6">
        <v>550</v>
      </c>
      <c r="G75" s="6" t="s">
        <v>26</v>
      </c>
      <c r="H75" s="6"/>
      <c r="I75" s="6"/>
      <c r="J75" s="6"/>
      <c r="K75" s="7">
        <v>40994</v>
      </c>
      <c r="L75" s="6">
        <v>1187500</v>
      </c>
      <c r="M75" s="6">
        <v>1187500</v>
      </c>
      <c r="N75" s="6" t="s">
        <v>39</v>
      </c>
      <c r="O75" s="8">
        <v>43103</v>
      </c>
      <c r="Q75">
        <f>Table39[[#This Row],[AGREEMENT VALUE OF UNIT]]-Table39[[#This Row],[AMOUNT RECEIVED TILL DATE]]</f>
        <v>0</v>
      </c>
    </row>
    <row r="76" spans="2:17" x14ac:dyDescent="0.25">
      <c r="B76" s="5">
        <f t="shared" si="1"/>
        <v>74</v>
      </c>
      <c r="C76" s="6" t="s">
        <v>641</v>
      </c>
      <c r="D76" s="6" t="s">
        <v>191</v>
      </c>
      <c r="E76" s="6" t="s">
        <v>642</v>
      </c>
      <c r="F76" s="6">
        <v>550</v>
      </c>
      <c r="G76" s="6" t="s">
        <v>26</v>
      </c>
      <c r="H76" s="6"/>
      <c r="I76" s="6"/>
      <c r="J76" s="6"/>
      <c r="K76" s="7">
        <v>40831</v>
      </c>
      <c r="L76" s="6">
        <v>1150000</v>
      </c>
      <c r="M76" s="6">
        <v>1150000</v>
      </c>
      <c r="N76" s="6" t="s">
        <v>46</v>
      </c>
      <c r="O76" s="8">
        <v>43103</v>
      </c>
      <c r="Q76">
        <f>Table39[[#This Row],[AGREEMENT VALUE OF UNIT]]-Table39[[#This Row],[AMOUNT RECEIVED TILL DATE]]</f>
        <v>0</v>
      </c>
    </row>
    <row r="77" spans="2:17" x14ac:dyDescent="0.25">
      <c r="B77" s="5">
        <f t="shared" si="1"/>
        <v>75</v>
      </c>
      <c r="C77" s="6" t="s">
        <v>643</v>
      </c>
      <c r="D77" s="6" t="s">
        <v>191</v>
      </c>
      <c r="E77" s="6" t="s">
        <v>644</v>
      </c>
      <c r="F77" s="6">
        <v>550</v>
      </c>
      <c r="G77" s="6" t="s">
        <v>26</v>
      </c>
      <c r="H77" s="6"/>
      <c r="I77" s="6"/>
      <c r="J77" s="6"/>
      <c r="K77" s="7">
        <v>40745</v>
      </c>
      <c r="L77" s="6">
        <v>1135000</v>
      </c>
      <c r="M77" s="6">
        <v>1135000</v>
      </c>
      <c r="N77" s="6" t="s">
        <v>30</v>
      </c>
      <c r="O77" s="8">
        <v>43103</v>
      </c>
      <c r="Q77">
        <f>Table39[[#This Row],[AGREEMENT VALUE OF UNIT]]-Table39[[#This Row],[AMOUNT RECEIVED TILL DATE]]</f>
        <v>0</v>
      </c>
    </row>
    <row r="78" spans="2:17" x14ac:dyDescent="0.25">
      <c r="B78" s="5">
        <f t="shared" si="1"/>
        <v>76</v>
      </c>
      <c r="C78" s="6" t="s">
        <v>645</v>
      </c>
      <c r="D78" s="6" t="s">
        <v>191</v>
      </c>
      <c r="E78" s="6" t="s">
        <v>646</v>
      </c>
      <c r="F78" s="6">
        <v>550</v>
      </c>
      <c r="G78" s="6" t="s">
        <v>26</v>
      </c>
      <c r="H78" s="6"/>
      <c r="I78" s="6"/>
      <c r="J78" s="6"/>
      <c r="K78" s="7">
        <v>41302</v>
      </c>
      <c r="L78" s="6">
        <v>1521500</v>
      </c>
      <c r="M78" s="6">
        <v>1521500</v>
      </c>
      <c r="N78" s="6" t="s">
        <v>46</v>
      </c>
      <c r="O78" s="8">
        <v>43103</v>
      </c>
      <c r="Q78">
        <f>Table39[[#This Row],[AGREEMENT VALUE OF UNIT]]-Table39[[#This Row],[AMOUNT RECEIVED TILL DATE]]</f>
        <v>0</v>
      </c>
    </row>
    <row r="79" spans="2:17" x14ac:dyDescent="0.25">
      <c r="B79" s="5">
        <f t="shared" si="1"/>
        <v>77</v>
      </c>
      <c r="C79" s="6" t="s">
        <v>647</v>
      </c>
      <c r="D79" s="6" t="s">
        <v>191</v>
      </c>
      <c r="E79" s="6" t="s">
        <v>648</v>
      </c>
      <c r="F79" s="6">
        <v>550</v>
      </c>
      <c r="G79" s="6" t="s">
        <v>26</v>
      </c>
      <c r="H79" s="6"/>
      <c r="I79" s="6"/>
      <c r="J79" s="6"/>
      <c r="K79" s="7">
        <v>40760</v>
      </c>
      <c r="L79" s="6">
        <v>1040000</v>
      </c>
      <c r="M79" s="6">
        <v>1040000</v>
      </c>
      <c r="N79" s="6" t="s">
        <v>30</v>
      </c>
      <c r="O79" s="8">
        <v>43103</v>
      </c>
      <c r="Q79">
        <f>Table39[[#This Row],[AGREEMENT VALUE OF UNIT]]-Table39[[#This Row],[AMOUNT RECEIVED TILL DATE]]</f>
        <v>0</v>
      </c>
    </row>
    <row r="80" spans="2:17" x14ac:dyDescent="0.25">
      <c r="B80" s="5">
        <f t="shared" si="1"/>
        <v>78</v>
      </c>
      <c r="C80" s="6" t="s">
        <v>649</v>
      </c>
      <c r="D80" s="6" t="s">
        <v>191</v>
      </c>
      <c r="E80" s="6" t="s">
        <v>650</v>
      </c>
      <c r="F80" s="6">
        <v>550</v>
      </c>
      <c r="G80" s="6" t="s">
        <v>26</v>
      </c>
      <c r="H80" s="6"/>
      <c r="I80" s="6"/>
      <c r="J80" s="6"/>
      <c r="K80" s="7">
        <v>40739</v>
      </c>
      <c r="L80" s="6">
        <v>1165000</v>
      </c>
      <c r="M80" s="6">
        <v>1165000</v>
      </c>
      <c r="N80" s="6" t="s">
        <v>30</v>
      </c>
      <c r="O80" s="8">
        <v>43103</v>
      </c>
      <c r="Q80">
        <f>Table39[[#This Row],[AGREEMENT VALUE OF UNIT]]-Table39[[#This Row],[AMOUNT RECEIVED TILL DATE]]</f>
        <v>0</v>
      </c>
    </row>
    <row r="81" spans="2:17" x14ac:dyDescent="0.25">
      <c r="B81" s="5">
        <f t="shared" si="1"/>
        <v>79</v>
      </c>
      <c r="C81" s="6" t="s">
        <v>651</v>
      </c>
      <c r="D81" s="6" t="s">
        <v>191</v>
      </c>
      <c r="E81" s="6" t="s">
        <v>652</v>
      </c>
      <c r="F81" s="6">
        <v>550</v>
      </c>
      <c r="G81" s="6" t="s">
        <v>26</v>
      </c>
      <c r="H81" s="6"/>
      <c r="I81" s="6"/>
      <c r="J81" s="6"/>
      <c r="K81" s="7">
        <v>40745</v>
      </c>
      <c r="L81" s="6">
        <v>1135000</v>
      </c>
      <c r="M81" s="6">
        <v>1080768</v>
      </c>
      <c r="N81" s="6" t="s">
        <v>30</v>
      </c>
      <c r="O81" s="8">
        <v>43103</v>
      </c>
      <c r="Q81">
        <f>Table39[[#This Row],[AGREEMENT VALUE OF UNIT]]-Table39[[#This Row],[AMOUNT RECEIVED TILL DATE]]</f>
        <v>54232</v>
      </c>
    </row>
    <row r="82" spans="2:17" x14ac:dyDescent="0.25">
      <c r="B82" s="5">
        <f t="shared" si="1"/>
        <v>80</v>
      </c>
      <c r="C82" s="6" t="s">
        <v>653</v>
      </c>
      <c r="D82" s="6" t="s">
        <v>191</v>
      </c>
      <c r="E82" s="6" t="s">
        <v>654</v>
      </c>
      <c r="F82" s="6">
        <v>550</v>
      </c>
      <c r="G82" s="6" t="s">
        <v>26</v>
      </c>
      <c r="H82" s="6"/>
      <c r="I82" s="6"/>
      <c r="J82" s="6"/>
      <c r="K82" s="7">
        <v>40933</v>
      </c>
      <c r="L82" s="6">
        <v>1138800</v>
      </c>
      <c r="M82" s="6">
        <v>1138800</v>
      </c>
      <c r="N82" s="6" t="s">
        <v>30</v>
      </c>
      <c r="O82" s="8">
        <v>43103</v>
      </c>
      <c r="Q82">
        <f>Table39[[#This Row],[AGREEMENT VALUE OF UNIT]]-Table39[[#This Row],[AMOUNT RECEIVED TILL DATE]]</f>
        <v>0</v>
      </c>
    </row>
    <row r="83" spans="2:17" x14ac:dyDescent="0.25">
      <c r="B83" s="5">
        <f t="shared" si="1"/>
        <v>81</v>
      </c>
      <c r="C83" s="6" t="s">
        <v>655</v>
      </c>
      <c r="D83" s="6" t="s">
        <v>191</v>
      </c>
      <c r="E83" s="6" t="s">
        <v>656</v>
      </c>
      <c r="F83" s="6">
        <v>550</v>
      </c>
      <c r="G83" s="6" t="s">
        <v>26</v>
      </c>
      <c r="H83" s="6"/>
      <c r="I83" s="6"/>
      <c r="J83" s="6"/>
      <c r="K83" s="7">
        <v>40926</v>
      </c>
      <c r="L83" s="6">
        <v>1100000</v>
      </c>
      <c r="M83" s="6">
        <v>1100000</v>
      </c>
      <c r="N83" s="6" t="s">
        <v>30</v>
      </c>
      <c r="O83" s="8">
        <v>43103</v>
      </c>
      <c r="Q83">
        <f>Table39[[#This Row],[AGREEMENT VALUE OF UNIT]]-Table39[[#This Row],[AMOUNT RECEIVED TILL DATE]]</f>
        <v>0</v>
      </c>
    </row>
    <row r="84" spans="2:17" x14ac:dyDescent="0.25">
      <c r="B84" s="5">
        <f t="shared" si="1"/>
        <v>82</v>
      </c>
      <c r="C84" s="6" t="s">
        <v>657</v>
      </c>
      <c r="D84" s="6" t="s">
        <v>191</v>
      </c>
      <c r="E84" s="6" t="s">
        <v>658</v>
      </c>
      <c r="F84" s="6">
        <v>550</v>
      </c>
      <c r="G84" s="6" t="s">
        <v>26</v>
      </c>
      <c r="H84" s="6"/>
      <c r="I84" s="6"/>
      <c r="J84" s="6"/>
      <c r="K84" s="7">
        <v>40984</v>
      </c>
      <c r="L84" s="6">
        <v>1206000</v>
      </c>
      <c r="M84" s="6">
        <v>1206000</v>
      </c>
      <c r="N84" s="6" t="s">
        <v>27</v>
      </c>
      <c r="O84" s="8">
        <v>43103</v>
      </c>
      <c r="Q84">
        <f>Table39[[#This Row],[AGREEMENT VALUE OF UNIT]]-Table39[[#This Row],[AMOUNT RECEIVED TILL DATE]]</f>
        <v>0</v>
      </c>
    </row>
    <row r="85" spans="2:17" x14ac:dyDescent="0.25">
      <c r="B85" s="5">
        <f t="shared" si="1"/>
        <v>83</v>
      </c>
      <c r="C85" s="6" t="s">
        <v>176</v>
      </c>
      <c r="D85" s="6" t="s">
        <v>191</v>
      </c>
      <c r="E85" s="6" t="s">
        <v>659</v>
      </c>
      <c r="F85" s="6">
        <v>550</v>
      </c>
      <c r="G85" s="6" t="s">
        <v>113</v>
      </c>
      <c r="H85" s="6"/>
      <c r="I85" s="6"/>
      <c r="J85" s="6"/>
      <c r="K85" s="7">
        <v>42772</v>
      </c>
      <c r="L85" s="6">
        <v>1475000</v>
      </c>
      <c r="M85" s="6">
        <v>875250</v>
      </c>
      <c r="N85" s="6" t="s">
        <v>46</v>
      </c>
      <c r="O85" s="8">
        <v>43103</v>
      </c>
      <c r="Q85">
        <f>Table39[[#This Row],[AGREEMENT VALUE OF UNIT]]-Table39[[#This Row],[AMOUNT RECEIVED TILL DATE]]</f>
        <v>599750</v>
      </c>
    </row>
    <row r="86" spans="2:17" x14ac:dyDescent="0.25">
      <c r="B86" s="5">
        <f t="shared" si="1"/>
        <v>84</v>
      </c>
      <c r="C86" s="6" t="s">
        <v>660</v>
      </c>
      <c r="D86" s="6" t="s">
        <v>191</v>
      </c>
      <c r="E86" s="6" t="s">
        <v>661</v>
      </c>
      <c r="F86" s="6">
        <v>550</v>
      </c>
      <c r="G86" s="6" t="s">
        <v>26</v>
      </c>
      <c r="H86" s="6"/>
      <c r="I86" s="6"/>
      <c r="J86" s="6"/>
      <c r="K86" s="7">
        <v>40830</v>
      </c>
      <c r="L86" s="6">
        <v>1187625</v>
      </c>
      <c r="M86" s="6">
        <v>1187625</v>
      </c>
      <c r="N86" s="6" t="s">
        <v>30</v>
      </c>
      <c r="O86" s="8">
        <v>43103</v>
      </c>
      <c r="Q86">
        <f>Table39[[#This Row],[AGREEMENT VALUE OF UNIT]]-Table39[[#This Row],[AMOUNT RECEIVED TILL DATE]]</f>
        <v>0</v>
      </c>
    </row>
    <row r="87" spans="2:17" x14ac:dyDescent="0.25">
      <c r="B87" s="5">
        <f t="shared" si="1"/>
        <v>85</v>
      </c>
      <c r="C87" s="6" t="s">
        <v>662</v>
      </c>
      <c r="D87" s="6" t="s">
        <v>191</v>
      </c>
      <c r="E87" s="6" t="s">
        <v>663</v>
      </c>
      <c r="F87" s="6">
        <v>550</v>
      </c>
      <c r="G87" s="6" t="s">
        <v>26</v>
      </c>
      <c r="H87" s="6"/>
      <c r="I87" s="6"/>
      <c r="J87" s="6"/>
      <c r="K87" s="7">
        <v>41005</v>
      </c>
      <c r="L87" s="6">
        <v>1216000</v>
      </c>
      <c r="M87" s="6">
        <v>1216000</v>
      </c>
      <c r="N87" s="6" t="s">
        <v>39</v>
      </c>
      <c r="O87" s="8">
        <v>43103</v>
      </c>
      <c r="Q87">
        <f>Table39[[#This Row],[AGREEMENT VALUE OF UNIT]]-Table39[[#This Row],[AMOUNT RECEIVED TILL DATE]]</f>
        <v>0</v>
      </c>
    </row>
    <row r="88" spans="2:17" x14ac:dyDescent="0.25">
      <c r="B88" s="5">
        <f t="shared" si="1"/>
        <v>86</v>
      </c>
      <c r="C88" s="6" t="s">
        <v>664</v>
      </c>
      <c r="D88" s="6" t="s">
        <v>191</v>
      </c>
      <c r="E88" s="6" t="s">
        <v>665</v>
      </c>
      <c r="F88" s="6">
        <v>550</v>
      </c>
      <c r="G88" s="6" t="s">
        <v>26</v>
      </c>
      <c r="H88" s="6"/>
      <c r="I88" s="6"/>
      <c r="J88" s="6"/>
      <c r="K88" s="7">
        <v>40831</v>
      </c>
      <c r="L88" s="6">
        <v>1342016</v>
      </c>
      <c r="M88" s="6">
        <v>1274227</v>
      </c>
      <c r="N88" s="6" t="s">
        <v>30</v>
      </c>
      <c r="O88" s="8">
        <v>43103</v>
      </c>
      <c r="Q88">
        <f>Table39[[#This Row],[AGREEMENT VALUE OF UNIT]]-Table39[[#This Row],[AMOUNT RECEIVED TILL DATE]]</f>
        <v>67789</v>
      </c>
    </row>
    <row r="89" spans="2:17" x14ac:dyDescent="0.25">
      <c r="B89" s="5">
        <f t="shared" si="1"/>
        <v>87</v>
      </c>
      <c r="C89" s="6" t="s">
        <v>666</v>
      </c>
      <c r="D89" s="6" t="s">
        <v>191</v>
      </c>
      <c r="E89" s="6" t="s">
        <v>667</v>
      </c>
      <c r="F89" s="6">
        <v>550</v>
      </c>
      <c r="G89" s="6" t="s">
        <v>26</v>
      </c>
      <c r="H89" s="6"/>
      <c r="I89" s="6"/>
      <c r="J89" s="6"/>
      <c r="K89" s="7">
        <v>40821</v>
      </c>
      <c r="L89" s="6">
        <v>1070000</v>
      </c>
      <c r="M89" s="6">
        <v>1070000</v>
      </c>
      <c r="N89" s="6" t="s">
        <v>30</v>
      </c>
      <c r="O89" s="8">
        <v>43103</v>
      </c>
      <c r="Q89">
        <f>Table39[[#This Row],[AGREEMENT VALUE OF UNIT]]-Table39[[#This Row],[AMOUNT RECEIVED TILL DATE]]</f>
        <v>0</v>
      </c>
    </row>
    <row r="90" spans="2:17" x14ac:dyDescent="0.25">
      <c r="B90" s="5">
        <f t="shared" si="1"/>
        <v>88</v>
      </c>
      <c r="C90" s="6" t="s">
        <v>668</v>
      </c>
      <c r="D90" s="6" t="s">
        <v>191</v>
      </c>
      <c r="E90" s="6" t="s">
        <v>669</v>
      </c>
      <c r="F90" s="6">
        <v>550</v>
      </c>
      <c r="G90" s="6" t="s">
        <v>26</v>
      </c>
      <c r="H90" s="6"/>
      <c r="I90" s="6"/>
      <c r="J90" s="6"/>
      <c r="K90" s="7">
        <v>41873</v>
      </c>
      <c r="L90" s="6">
        <v>1845000</v>
      </c>
      <c r="M90" s="6">
        <v>1845000</v>
      </c>
      <c r="N90" s="6" t="s">
        <v>39</v>
      </c>
      <c r="O90" s="8">
        <v>43103</v>
      </c>
      <c r="Q90">
        <f>Table39[[#This Row],[AGREEMENT VALUE OF UNIT]]-Table39[[#This Row],[AMOUNT RECEIVED TILL DATE]]</f>
        <v>0</v>
      </c>
    </row>
    <row r="91" spans="2:17" x14ac:dyDescent="0.25">
      <c r="B91" s="5">
        <f t="shared" si="1"/>
        <v>89</v>
      </c>
      <c r="C91" s="6" t="s">
        <v>670</v>
      </c>
      <c r="D91" s="6" t="s">
        <v>191</v>
      </c>
      <c r="E91" s="6" t="s">
        <v>671</v>
      </c>
      <c r="F91" s="6">
        <v>550</v>
      </c>
      <c r="G91" s="6" t="s">
        <v>26</v>
      </c>
      <c r="H91" s="6"/>
      <c r="I91" s="6"/>
      <c r="J91" s="6"/>
      <c r="K91" s="7">
        <v>40723</v>
      </c>
      <c r="L91" s="6">
        <v>1003950</v>
      </c>
      <c r="M91" s="6">
        <v>1003950</v>
      </c>
      <c r="N91" s="6" t="s">
        <v>30</v>
      </c>
      <c r="O91" s="8">
        <v>43103</v>
      </c>
      <c r="Q91">
        <f>Table39[[#This Row],[AGREEMENT VALUE OF UNIT]]-Table39[[#This Row],[AMOUNT RECEIVED TILL DATE]]</f>
        <v>0</v>
      </c>
    </row>
    <row r="92" spans="2:17" x14ac:dyDescent="0.25">
      <c r="B92" s="5">
        <f t="shared" si="1"/>
        <v>90</v>
      </c>
      <c r="C92" s="6" t="s">
        <v>672</v>
      </c>
      <c r="D92" s="6" t="s">
        <v>191</v>
      </c>
      <c r="E92" s="6" t="s">
        <v>673</v>
      </c>
      <c r="F92" s="6">
        <v>550</v>
      </c>
      <c r="G92" s="6" t="s">
        <v>26</v>
      </c>
      <c r="H92" s="6"/>
      <c r="I92" s="6"/>
      <c r="J92" s="6"/>
      <c r="K92" s="7">
        <v>41792</v>
      </c>
      <c r="L92" s="6">
        <v>2021000</v>
      </c>
      <c r="M92" s="6">
        <v>2018455</v>
      </c>
      <c r="N92" s="6" t="s">
        <v>30</v>
      </c>
      <c r="O92" s="8">
        <v>43103</v>
      </c>
      <c r="Q92">
        <f>Table39[[#This Row],[AGREEMENT VALUE OF UNIT]]-Table39[[#This Row],[AMOUNT RECEIVED TILL DATE]]</f>
        <v>2545</v>
      </c>
    </row>
    <row r="93" spans="2:17" x14ac:dyDescent="0.25">
      <c r="B93" s="5">
        <f t="shared" si="1"/>
        <v>91</v>
      </c>
      <c r="C93" s="6" t="s">
        <v>674</v>
      </c>
      <c r="D93" s="6" t="s">
        <v>191</v>
      </c>
      <c r="E93" s="6" t="s">
        <v>675</v>
      </c>
      <c r="F93" s="6">
        <v>550</v>
      </c>
      <c r="G93" s="6" t="s">
        <v>26</v>
      </c>
      <c r="H93" s="6"/>
      <c r="I93" s="6"/>
      <c r="J93" s="6"/>
      <c r="K93" s="7">
        <v>40723</v>
      </c>
      <c r="L93" s="6">
        <v>1003950</v>
      </c>
      <c r="M93" s="6">
        <v>1003950</v>
      </c>
      <c r="N93" s="6" t="s">
        <v>30</v>
      </c>
      <c r="O93" s="8">
        <v>43103</v>
      </c>
      <c r="Q93">
        <f>Table39[[#This Row],[AGREEMENT VALUE OF UNIT]]-Table39[[#This Row],[AMOUNT RECEIVED TILL DATE]]</f>
        <v>0</v>
      </c>
    </row>
    <row r="94" spans="2:17" x14ac:dyDescent="0.25">
      <c r="B94" s="5">
        <f t="shared" si="1"/>
        <v>92</v>
      </c>
      <c r="C94" s="6" t="s">
        <v>676</v>
      </c>
      <c r="D94" s="6" t="s">
        <v>191</v>
      </c>
      <c r="E94" s="6" t="s">
        <v>677</v>
      </c>
      <c r="F94" s="6">
        <v>550</v>
      </c>
      <c r="G94" s="6" t="s">
        <v>26</v>
      </c>
      <c r="H94" s="6"/>
      <c r="I94" s="6"/>
      <c r="J94" s="6"/>
      <c r="K94" s="7">
        <v>40744</v>
      </c>
      <c r="L94" s="6">
        <v>1020000</v>
      </c>
      <c r="M94" s="6">
        <v>1020000</v>
      </c>
      <c r="N94" s="6" t="s">
        <v>30</v>
      </c>
      <c r="O94" s="8">
        <v>43103</v>
      </c>
      <c r="Q94">
        <f>Table39[[#This Row],[AGREEMENT VALUE OF UNIT]]-Table39[[#This Row],[AMOUNT RECEIVED TILL DATE]]</f>
        <v>0</v>
      </c>
    </row>
    <row r="95" spans="2:17" x14ac:dyDescent="0.25">
      <c r="B95" s="5">
        <f t="shared" si="1"/>
        <v>93</v>
      </c>
      <c r="C95" s="6" t="s">
        <v>678</v>
      </c>
      <c r="D95" s="6" t="s">
        <v>191</v>
      </c>
      <c r="E95" s="6" t="s">
        <v>679</v>
      </c>
      <c r="F95" s="6">
        <v>550</v>
      </c>
      <c r="G95" s="6" t="s">
        <v>26</v>
      </c>
      <c r="H95" s="6"/>
      <c r="I95" s="6"/>
      <c r="J95" s="6"/>
      <c r="K95" s="7">
        <v>40830</v>
      </c>
      <c r="L95" s="6">
        <v>1000450</v>
      </c>
      <c r="M95" s="6">
        <v>1000450</v>
      </c>
      <c r="N95" s="6" t="s">
        <v>27</v>
      </c>
      <c r="O95" s="8">
        <v>43103</v>
      </c>
      <c r="Q95">
        <f>Table39[[#This Row],[AGREEMENT VALUE OF UNIT]]-Table39[[#This Row],[AMOUNT RECEIVED TILL DATE]]</f>
        <v>0</v>
      </c>
    </row>
    <row r="96" spans="2:17" x14ac:dyDescent="0.25">
      <c r="B96" s="5">
        <f t="shared" si="1"/>
        <v>94</v>
      </c>
      <c r="C96" s="6" t="s">
        <v>680</v>
      </c>
      <c r="D96" s="6" t="s">
        <v>191</v>
      </c>
      <c r="E96" s="6" t="s">
        <v>681</v>
      </c>
      <c r="F96" s="6">
        <v>550</v>
      </c>
      <c r="G96" s="6" t="s">
        <v>26</v>
      </c>
      <c r="H96" s="6"/>
      <c r="I96" s="6"/>
      <c r="J96" s="6"/>
      <c r="K96" s="7">
        <v>41029</v>
      </c>
      <c r="L96" s="6">
        <v>1290975</v>
      </c>
      <c r="M96" s="6">
        <v>1290975</v>
      </c>
      <c r="N96" s="6" t="s">
        <v>27</v>
      </c>
      <c r="O96" s="8">
        <v>43103</v>
      </c>
      <c r="Q96">
        <f>Table39[[#This Row],[AGREEMENT VALUE OF UNIT]]-Table39[[#This Row],[AMOUNT RECEIVED TILL DATE]]</f>
        <v>0</v>
      </c>
    </row>
    <row r="97" spans="2:17" x14ac:dyDescent="0.25">
      <c r="B97" s="5">
        <f t="shared" si="1"/>
        <v>95</v>
      </c>
      <c r="C97" s="6" t="s">
        <v>682</v>
      </c>
      <c r="D97" s="6" t="s">
        <v>191</v>
      </c>
      <c r="E97" s="6" t="s">
        <v>683</v>
      </c>
      <c r="F97" s="6">
        <v>550</v>
      </c>
      <c r="G97" s="6" t="s">
        <v>26</v>
      </c>
      <c r="H97" s="6"/>
      <c r="I97" s="6"/>
      <c r="J97" s="6"/>
      <c r="K97" s="7">
        <v>40830</v>
      </c>
      <c r="L97" s="6">
        <v>1000450</v>
      </c>
      <c r="M97" s="6">
        <v>1000450</v>
      </c>
      <c r="N97" s="6" t="s">
        <v>30</v>
      </c>
      <c r="O97" s="8">
        <v>43103</v>
      </c>
      <c r="Q97">
        <f>Table39[[#This Row],[AGREEMENT VALUE OF UNIT]]-Table39[[#This Row],[AMOUNT RECEIVED TILL DATE]]</f>
        <v>0</v>
      </c>
    </row>
    <row r="98" spans="2:17" x14ac:dyDescent="0.25">
      <c r="B98" s="5">
        <f t="shared" si="1"/>
        <v>96</v>
      </c>
      <c r="C98" s="6" t="s">
        <v>684</v>
      </c>
      <c r="D98" s="6" t="s">
        <v>191</v>
      </c>
      <c r="E98" s="6" t="s">
        <v>685</v>
      </c>
      <c r="F98" s="6">
        <v>550</v>
      </c>
      <c r="G98" s="6" t="s">
        <v>113</v>
      </c>
      <c r="H98" s="6"/>
      <c r="I98" s="6"/>
      <c r="J98" s="6"/>
      <c r="K98" s="7">
        <v>42806</v>
      </c>
      <c r="L98" s="6">
        <v>1580000</v>
      </c>
      <c r="M98" s="6">
        <v>1580000</v>
      </c>
      <c r="N98" s="6" t="s">
        <v>500</v>
      </c>
      <c r="O98" s="8">
        <v>43103</v>
      </c>
      <c r="Q98">
        <f>Table39[[#This Row],[AGREEMENT VALUE OF UNIT]]-Table39[[#This Row],[AMOUNT RECEIVED TILL DATE]]</f>
        <v>0</v>
      </c>
    </row>
    <row r="99" spans="2:17" x14ac:dyDescent="0.25">
      <c r="B99" s="5">
        <f t="shared" si="1"/>
        <v>97</v>
      </c>
      <c r="C99" s="6" t="s">
        <v>686</v>
      </c>
      <c r="D99" s="6" t="s">
        <v>191</v>
      </c>
      <c r="E99" s="6" t="s">
        <v>687</v>
      </c>
      <c r="F99" s="6">
        <v>550</v>
      </c>
      <c r="G99" s="6" t="s">
        <v>26</v>
      </c>
      <c r="H99" s="6"/>
      <c r="I99" s="6"/>
      <c r="J99" s="6"/>
      <c r="K99" s="7">
        <v>41299</v>
      </c>
      <c r="L99" s="6">
        <v>1453500</v>
      </c>
      <c r="M99" s="6">
        <v>1453500</v>
      </c>
      <c r="N99" s="6" t="s">
        <v>27</v>
      </c>
      <c r="O99" s="8">
        <v>43103</v>
      </c>
      <c r="Q99">
        <f>Table39[[#This Row],[AGREEMENT VALUE OF UNIT]]-Table39[[#This Row],[AMOUNT RECEIVED TILL DATE]]</f>
        <v>0</v>
      </c>
    </row>
    <row r="100" spans="2:17" x14ac:dyDescent="0.25">
      <c r="B100" s="5">
        <f t="shared" si="1"/>
        <v>98</v>
      </c>
      <c r="C100" s="6" t="s">
        <v>688</v>
      </c>
      <c r="D100" s="6" t="s">
        <v>191</v>
      </c>
      <c r="E100" s="6" t="s">
        <v>689</v>
      </c>
      <c r="F100" s="6">
        <v>550</v>
      </c>
      <c r="G100" s="6" t="s">
        <v>26</v>
      </c>
      <c r="H100" s="6"/>
      <c r="I100" s="6"/>
      <c r="J100" s="6"/>
      <c r="K100" s="7">
        <v>41879</v>
      </c>
      <c r="L100" s="6">
        <v>1775000</v>
      </c>
      <c r="M100" s="6">
        <v>1775000</v>
      </c>
      <c r="N100" s="6" t="s">
        <v>416</v>
      </c>
      <c r="O100" s="8">
        <v>43103</v>
      </c>
      <c r="Q100">
        <f>Table39[[#This Row],[AGREEMENT VALUE OF UNIT]]-Table39[[#This Row],[AMOUNT RECEIVED TILL DATE]]</f>
        <v>0</v>
      </c>
    </row>
    <row r="101" spans="2:17" x14ac:dyDescent="0.25">
      <c r="B101" s="5">
        <f t="shared" si="1"/>
        <v>99</v>
      </c>
      <c r="C101" s="6" t="s">
        <v>690</v>
      </c>
      <c r="D101" s="6" t="s">
        <v>191</v>
      </c>
      <c r="E101" s="6" t="s">
        <v>691</v>
      </c>
      <c r="F101" s="6">
        <v>550</v>
      </c>
      <c r="G101" s="6" t="s">
        <v>26</v>
      </c>
      <c r="H101" s="6"/>
      <c r="I101" s="6"/>
      <c r="J101" s="6"/>
      <c r="K101" s="7">
        <v>40753</v>
      </c>
      <c r="L101" s="6">
        <v>1020250</v>
      </c>
      <c r="M101" s="6">
        <v>1020250</v>
      </c>
      <c r="N101" s="6" t="s">
        <v>27</v>
      </c>
      <c r="O101" s="8">
        <v>43103</v>
      </c>
      <c r="Q101">
        <f>Table39[[#This Row],[AGREEMENT VALUE OF UNIT]]-Table39[[#This Row],[AMOUNT RECEIVED TILL DATE]]</f>
        <v>0</v>
      </c>
    </row>
    <row r="102" spans="2:17" x14ac:dyDescent="0.25">
      <c r="B102" s="5">
        <f t="shared" si="1"/>
        <v>100</v>
      </c>
      <c r="C102" s="6" t="s">
        <v>692</v>
      </c>
      <c r="D102" s="6" t="s">
        <v>191</v>
      </c>
      <c r="E102" s="6" t="s">
        <v>693</v>
      </c>
      <c r="F102" s="6">
        <v>550</v>
      </c>
      <c r="G102" s="6" t="s">
        <v>26</v>
      </c>
      <c r="H102" s="6"/>
      <c r="I102" s="6"/>
      <c r="J102" s="6"/>
      <c r="K102" s="7">
        <v>40872</v>
      </c>
      <c r="L102" s="6">
        <v>1085000</v>
      </c>
      <c r="M102" s="6">
        <v>1085000</v>
      </c>
      <c r="N102" s="6" t="s">
        <v>27</v>
      </c>
      <c r="O102" s="8">
        <v>43103</v>
      </c>
      <c r="Q102">
        <f>Table39[[#This Row],[AGREEMENT VALUE OF UNIT]]-Table39[[#This Row],[AMOUNT RECEIVED TILL DATE]]</f>
        <v>0</v>
      </c>
    </row>
    <row r="103" spans="2:17" x14ac:dyDescent="0.25">
      <c r="B103" s="5">
        <f t="shared" si="1"/>
        <v>101</v>
      </c>
      <c r="C103" s="6" t="s">
        <v>694</v>
      </c>
      <c r="D103" s="6" t="s">
        <v>191</v>
      </c>
      <c r="E103" s="6" t="s">
        <v>695</v>
      </c>
      <c r="F103" s="6">
        <v>550</v>
      </c>
      <c r="G103" s="6" t="s">
        <v>26</v>
      </c>
      <c r="H103" s="6"/>
      <c r="I103" s="6"/>
      <c r="J103" s="6"/>
      <c r="K103" s="7">
        <v>40717</v>
      </c>
      <c r="L103" s="6">
        <v>1154350</v>
      </c>
      <c r="M103" s="6">
        <v>1154350</v>
      </c>
      <c r="N103" s="6" t="s">
        <v>30</v>
      </c>
      <c r="O103" s="8">
        <v>43103</v>
      </c>
      <c r="Q103">
        <f>Table39[[#This Row],[AGREEMENT VALUE OF UNIT]]-Table39[[#This Row],[AMOUNT RECEIVED TILL DATE]]</f>
        <v>0</v>
      </c>
    </row>
    <row r="104" spans="2:17" x14ac:dyDescent="0.25">
      <c r="B104" s="5">
        <f t="shared" si="1"/>
        <v>102</v>
      </c>
      <c r="C104" s="6" t="s">
        <v>696</v>
      </c>
      <c r="D104" s="6" t="s">
        <v>191</v>
      </c>
      <c r="E104" s="6" t="s">
        <v>697</v>
      </c>
      <c r="F104" s="6">
        <v>550</v>
      </c>
      <c r="G104" s="6" t="s">
        <v>26</v>
      </c>
      <c r="H104" s="6"/>
      <c r="I104" s="6"/>
      <c r="J104" s="6"/>
      <c r="K104" s="7">
        <v>40962</v>
      </c>
      <c r="L104" s="6">
        <v>1132000</v>
      </c>
      <c r="M104" s="6">
        <v>1132000</v>
      </c>
      <c r="N104" s="6" t="s">
        <v>27</v>
      </c>
      <c r="O104" s="8">
        <v>43103</v>
      </c>
      <c r="Q104">
        <f>Table39[[#This Row],[AGREEMENT VALUE OF UNIT]]-Table39[[#This Row],[AMOUNT RECEIVED TILL DATE]]</f>
        <v>0</v>
      </c>
    </row>
    <row r="105" spans="2:17" x14ac:dyDescent="0.25">
      <c r="B105" s="5">
        <f t="shared" si="1"/>
        <v>103</v>
      </c>
      <c r="C105" s="6" t="s">
        <v>694</v>
      </c>
      <c r="D105" s="6" t="s">
        <v>191</v>
      </c>
      <c r="E105" s="6" t="s">
        <v>698</v>
      </c>
      <c r="F105" s="6">
        <v>550</v>
      </c>
      <c r="G105" s="6" t="s">
        <v>26</v>
      </c>
      <c r="H105" s="6"/>
      <c r="I105" s="6"/>
      <c r="J105" s="6"/>
      <c r="K105" s="7">
        <v>40717</v>
      </c>
      <c r="L105" s="6">
        <v>1154350</v>
      </c>
      <c r="M105" s="6">
        <v>1154350</v>
      </c>
      <c r="N105" s="6" t="s">
        <v>30</v>
      </c>
      <c r="O105" s="8">
        <v>43103</v>
      </c>
      <c r="Q105">
        <f>Table39[[#This Row],[AGREEMENT VALUE OF UNIT]]-Table39[[#This Row],[AMOUNT RECEIVED TILL DATE]]</f>
        <v>0</v>
      </c>
    </row>
    <row r="106" spans="2:17" x14ac:dyDescent="0.25">
      <c r="B106" s="5">
        <f t="shared" si="1"/>
        <v>104</v>
      </c>
      <c r="C106" s="6" t="s">
        <v>699</v>
      </c>
      <c r="D106" s="6" t="s">
        <v>191</v>
      </c>
      <c r="E106" s="6" t="s">
        <v>700</v>
      </c>
      <c r="F106" s="6">
        <v>550</v>
      </c>
      <c r="G106" s="6" t="s">
        <v>26</v>
      </c>
      <c r="H106" s="6"/>
      <c r="I106" s="6"/>
      <c r="J106" s="6"/>
      <c r="K106" s="7">
        <v>40984</v>
      </c>
      <c r="L106" s="6">
        <v>1126200</v>
      </c>
      <c r="M106" s="6">
        <v>1126200</v>
      </c>
      <c r="N106" s="6" t="s">
        <v>27</v>
      </c>
      <c r="O106" s="8">
        <v>43103</v>
      </c>
      <c r="Q106">
        <f>Table39[[#This Row],[AGREEMENT VALUE OF UNIT]]-Table39[[#This Row],[AMOUNT RECEIVED TILL DATE]]</f>
        <v>0</v>
      </c>
    </row>
    <row r="107" spans="2:17" x14ac:dyDescent="0.25">
      <c r="B107" s="5">
        <f t="shared" si="1"/>
        <v>105</v>
      </c>
      <c r="C107" s="6" t="s">
        <v>701</v>
      </c>
      <c r="D107" s="6" t="s">
        <v>191</v>
      </c>
      <c r="E107" s="6" t="s">
        <v>702</v>
      </c>
      <c r="F107" s="6">
        <v>550</v>
      </c>
      <c r="G107" s="6" t="s">
        <v>26</v>
      </c>
      <c r="H107" s="6"/>
      <c r="I107" s="6"/>
      <c r="J107" s="6"/>
      <c r="K107" s="7">
        <v>40863</v>
      </c>
      <c r="L107" s="6">
        <v>1030000</v>
      </c>
      <c r="M107" s="6">
        <v>1030000</v>
      </c>
      <c r="N107" s="6" t="s">
        <v>30</v>
      </c>
      <c r="O107" s="8">
        <v>43103</v>
      </c>
      <c r="Q107">
        <f>Table39[[#This Row],[AGREEMENT VALUE OF UNIT]]-Table39[[#This Row],[AMOUNT RECEIVED TILL DATE]]</f>
        <v>0</v>
      </c>
    </row>
    <row r="108" spans="2:17" x14ac:dyDescent="0.25">
      <c r="B108" s="5">
        <f t="shared" si="1"/>
        <v>106</v>
      </c>
      <c r="C108" s="6" t="s">
        <v>703</v>
      </c>
      <c r="D108" s="6" t="s">
        <v>191</v>
      </c>
      <c r="E108" s="6" t="s">
        <v>704</v>
      </c>
      <c r="F108" s="6">
        <v>550</v>
      </c>
      <c r="G108" s="6" t="s">
        <v>26</v>
      </c>
      <c r="H108" s="6"/>
      <c r="I108" s="6"/>
      <c r="J108" s="6"/>
      <c r="K108" s="7">
        <v>40978</v>
      </c>
      <c r="L108" s="6">
        <v>1145000</v>
      </c>
      <c r="M108" s="6">
        <v>1145000</v>
      </c>
      <c r="N108" s="6" t="s">
        <v>27</v>
      </c>
      <c r="O108" s="8">
        <v>43103</v>
      </c>
      <c r="Q108">
        <f>Table39[[#This Row],[AGREEMENT VALUE OF UNIT]]-Table39[[#This Row],[AMOUNT RECEIVED TILL DATE]]</f>
        <v>0</v>
      </c>
    </row>
    <row r="109" spans="2:17" x14ac:dyDescent="0.25">
      <c r="B109" s="5">
        <f t="shared" si="1"/>
        <v>107</v>
      </c>
      <c r="C109" s="6"/>
      <c r="D109" s="6" t="s">
        <v>191</v>
      </c>
      <c r="E109" s="6" t="s">
        <v>705</v>
      </c>
      <c r="F109" s="6">
        <v>550</v>
      </c>
      <c r="G109" s="6" t="s">
        <v>32</v>
      </c>
      <c r="H109" s="6"/>
      <c r="I109" s="6"/>
      <c r="J109" s="6"/>
      <c r="K109" s="7"/>
      <c r="L109" s="6"/>
      <c r="M109" s="6"/>
      <c r="N109" s="6"/>
      <c r="O109" s="8"/>
      <c r="Q109">
        <f>Table39[[#This Row],[AGREEMENT VALUE OF UNIT]]-Table39[[#This Row],[AMOUNT RECEIVED TILL DATE]]</f>
        <v>0</v>
      </c>
    </row>
    <row r="110" spans="2:17" x14ac:dyDescent="0.25">
      <c r="B110" s="5">
        <f t="shared" si="1"/>
        <v>108</v>
      </c>
      <c r="C110" s="6"/>
      <c r="D110" s="6" t="s">
        <v>191</v>
      </c>
      <c r="E110" s="6" t="s">
        <v>706</v>
      </c>
      <c r="F110" s="6">
        <v>550</v>
      </c>
      <c r="G110" s="6" t="s">
        <v>104</v>
      </c>
      <c r="H110" s="6"/>
      <c r="I110" s="6"/>
      <c r="J110" s="6"/>
      <c r="K110" s="7"/>
      <c r="L110" s="6"/>
      <c r="M110" s="6"/>
      <c r="N110" s="6"/>
      <c r="O110" s="8"/>
      <c r="Q110">
        <f>Table39[[#This Row],[AGREEMENT VALUE OF UNIT]]-Table39[[#This Row],[AMOUNT RECEIVED TILL DATE]]</f>
        <v>0</v>
      </c>
    </row>
    <row r="111" spans="2:17" x14ac:dyDescent="0.25">
      <c r="B111" s="5">
        <f t="shared" si="1"/>
        <v>109</v>
      </c>
      <c r="C111" s="6" t="s">
        <v>707</v>
      </c>
      <c r="D111" s="6" t="s">
        <v>191</v>
      </c>
      <c r="E111" s="6" t="s">
        <v>708</v>
      </c>
      <c r="F111" s="6">
        <v>550</v>
      </c>
      <c r="G111" s="6" t="s">
        <v>26</v>
      </c>
      <c r="H111" s="6"/>
      <c r="I111" s="6"/>
      <c r="J111" s="6"/>
      <c r="K111" s="7">
        <v>40908</v>
      </c>
      <c r="L111" s="6">
        <v>1090000</v>
      </c>
      <c r="M111" s="6">
        <v>1090000</v>
      </c>
      <c r="N111" s="6" t="s">
        <v>27</v>
      </c>
      <c r="O111" s="8">
        <v>43103</v>
      </c>
      <c r="Q111">
        <f>Table39[[#This Row],[AGREEMENT VALUE OF UNIT]]-Table39[[#This Row],[AMOUNT RECEIVED TILL DATE]]</f>
        <v>0</v>
      </c>
    </row>
    <row r="112" spans="2:17" x14ac:dyDescent="0.25">
      <c r="B112" s="5">
        <f t="shared" si="1"/>
        <v>110</v>
      </c>
      <c r="C112" s="6" t="s">
        <v>709</v>
      </c>
      <c r="D112" s="6" t="s">
        <v>191</v>
      </c>
      <c r="E112" s="6" t="s">
        <v>710</v>
      </c>
      <c r="F112" s="6">
        <v>550</v>
      </c>
      <c r="G112" s="6" t="s">
        <v>26</v>
      </c>
      <c r="H112" s="6"/>
      <c r="I112" s="6"/>
      <c r="J112" s="6"/>
      <c r="K112" s="7">
        <v>40939</v>
      </c>
      <c r="L112" s="6">
        <v>1150000</v>
      </c>
      <c r="M112" s="6">
        <v>1150000</v>
      </c>
      <c r="N112" s="6" t="s">
        <v>39</v>
      </c>
      <c r="O112" s="8">
        <v>43103</v>
      </c>
      <c r="Q112">
        <f>Table39[[#This Row],[AGREEMENT VALUE OF UNIT]]-Table39[[#This Row],[AMOUNT RECEIVED TILL DATE]]</f>
        <v>0</v>
      </c>
    </row>
    <row r="113" spans="2:17" x14ac:dyDescent="0.25">
      <c r="B113" s="5">
        <f t="shared" si="1"/>
        <v>111</v>
      </c>
      <c r="C113" s="6"/>
      <c r="D113" s="6" t="s">
        <v>191</v>
      </c>
      <c r="E113" s="6" t="s">
        <v>711</v>
      </c>
      <c r="F113" s="6">
        <v>550</v>
      </c>
      <c r="G113" s="6" t="s">
        <v>104</v>
      </c>
      <c r="H113" s="6"/>
      <c r="I113" s="6"/>
      <c r="J113" s="6"/>
      <c r="K113" s="7"/>
      <c r="L113" s="6"/>
      <c r="M113" s="6"/>
      <c r="N113" s="6"/>
      <c r="O113" s="8"/>
      <c r="Q113">
        <f>Table39[[#This Row],[AGREEMENT VALUE OF UNIT]]-Table39[[#This Row],[AMOUNT RECEIVED TILL DATE]]</f>
        <v>0</v>
      </c>
    </row>
    <row r="114" spans="2:17" x14ac:dyDescent="0.25">
      <c r="B114" s="5">
        <f t="shared" si="1"/>
        <v>112</v>
      </c>
      <c r="C114" s="6"/>
      <c r="D114" s="6" t="s">
        <v>191</v>
      </c>
      <c r="E114" s="6" t="s">
        <v>712</v>
      </c>
      <c r="F114" s="6">
        <v>550</v>
      </c>
      <c r="G114" s="6" t="s">
        <v>104</v>
      </c>
      <c r="H114" s="6"/>
      <c r="I114" s="6"/>
      <c r="J114" s="6"/>
      <c r="K114" s="7"/>
      <c r="L114" s="6"/>
      <c r="M114" s="6"/>
      <c r="N114" s="6"/>
      <c r="O114" s="8"/>
      <c r="Q114">
        <f>Table39[[#This Row],[AGREEMENT VALUE OF UNIT]]-Table39[[#This Row],[AMOUNT RECEIVED TILL DATE]]</f>
        <v>0</v>
      </c>
    </row>
    <row r="115" spans="2:17" x14ac:dyDescent="0.25">
      <c r="B115" s="5">
        <f t="shared" si="1"/>
        <v>113</v>
      </c>
      <c r="C115" s="6"/>
      <c r="D115" s="6" t="s">
        <v>191</v>
      </c>
      <c r="E115" s="6" t="s">
        <v>713</v>
      </c>
      <c r="F115" s="6">
        <v>550</v>
      </c>
      <c r="G115" s="6" t="s">
        <v>104</v>
      </c>
      <c r="H115" s="6"/>
      <c r="I115" s="6"/>
      <c r="J115" s="6"/>
      <c r="K115" s="7"/>
      <c r="L115" s="6"/>
      <c r="M115" s="6"/>
      <c r="N115" s="6"/>
      <c r="O115" s="8"/>
      <c r="Q115">
        <f>Table39[[#This Row],[AGREEMENT VALUE OF UNIT]]-Table39[[#This Row],[AMOUNT RECEIVED TILL DATE]]</f>
        <v>0</v>
      </c>
    </row>
    <row r="116" spans="2:17" x14ac:dyDescent="0.25">
      <c r="B116" s="5">
        <f t="shared" si="1"/>
        <v>114</v>
      </c>
      <c r="C116" s="6"/>
      <c r="D116" s="6" t="s">
        <v>191</v>
      </c>
      <c r="E116" s="6" t="s">
        <v>714</v>
      </c>
      <c r="F116" s="6">
        <v>550</v>
      </c>
      <c r="G116" s="6" t="s">
        <v>104</v>
      </c>
      <c r="H116" s="6"/>
      <c r="I116" s="6"/>
      <c r="J116" s="6"/>
      <c r="K116" s="7"/>
      <c r="L116" s="6"/>
      <c r="M116" s="6"/>
      <c r="N116" s="6"/>
      <c r="O116" s="8"/>
      <c r="Q116">
        <f>Table39[[#This Row],[AGREEMENT VALUE OF UNIT]]-Table39[[#This Row],[AMOUNT RECEIVED TILL DATE]]</f>
        <v>0</v>
      </c>
    </row>
    <row r="117" spans="2:17" x14ac:dyDescent="0.25">
      <c r="B117" s="5">
        <f t="shared" si="1"/>
        <v>115</v>
      </c>
      <c r="C117" s="6" t="s">
        <v>715</v>
      </c>
      <c r="D117" s="6" t="s">
        <v>191</v>
      </c>
      <c r="E117" s="6" t="s">
        <v>716</v>
      </c>
      <c r="F117" s="6">
        <v>550</v>
      </c>
      <c r="G117" s="6" t="s">
        <v>113</v>
      </c>
      <c r="H117" s="6"/>
      <c r="I117" s="6"/>
      <c r="J117" s="6"/>
      <c r="K117" s="7">
        <v>43011</v>
      </c>
      <c r="L117" s="6">
        <v>1634000</v>
      </c>
      <c r="M117" s="6">
        <v>131000</v>
      </c>
      <c r="N117" s="6" t="s">
        <v>30</v>
      </c>
      <c r="O117" s="8">
        <v>43103</v>
      </c>
      <c r="Q117">
        <f>Table39[[#This Row],[AGREEMENT VALUE OF UNIT]]-Table39[[#This Row],[AMOUNT RECEIVED TILL DATE]]</f>
        <v>1503000</v>
      </c>
    </row>
    <row r="118" spans="2:17" x14ac:dyDescent="0.25">
      <c r="B118" s="5">
        <f t="shared" si="1"/>
        <v>116</v>
      </c>
      <c r="C118" s="6" t="s">
        <v>428</v>
      </c>
      <c r="D118" s="6" t="s">
        <v>191</v>
      </c>
      <c r="E118" s="6" t="s">
        <v>717</v>
      </c>
      <c r="F118" s="6">
        <v>550</v>
      </c>
      <c r="G118" s="6" t="s">
        <v>113</v>
      </c>
      <c r="H118" s="6"/>
      <c r="I118" s="6"/>
      <c r="J118" s="6"/>
      <c r="K118" s="7">
        <v>42936</v>
      </c>
      <c r="L118" s="6">
        <v>1600000</v>
      </c>
      <c r="M118" s="6">
        <v>211000</v>
      </c>
      <c r="N118" s="6" t="s">
        <v>30</v>
      </c>
      <c r="O118" s="8">
        <v>43103</v>
      </c>
      <c r="Q118">
        <f>Table39[[#This Row],[AGREEMENT VALUE OF UNIT]]-Table39[[#This Row],[AMOUNT RECEIVED TILL DATE]]</f>
        <v>1389000</v>
      </c>
    </row>
    <row r="119" spans="2:17" x14ac:dyDescent="0.25">
      <c r="B119" s="5">
        <f t="shared" si="1"/>
        <v>117</v>
      </c>
      <c r="C119" s="6" t="s">
        <v>718</v>
      </c>
      <c r="D119" s="6" t="s">
        <v>191</v>
      </c>
      <c r="E119" s="6" t="s">
        <v>719</v>
      </c>
      <c r="F119" s="6">
        <v>550</v>
      </c>
      <c r="G119" s="6" t="s">
        <v>26</v>
      </c>
      <c r="H119" s="6"/>
      <c r="I119" s="6"/>
      <c r="J119" s="6"/>
      <c r="K119" s="7">
        <v>40831</v>
      </c>
      <c r="L119" s="6">
        <v>1140000</v>
      </c>
      <c r="M119" s="6">
        <v>1140000</v>
      </c>
      <c r="N119" s="6" t="s">
        <v>30</v>
      </c>
      <c r="O119" s="8">
        <v>43103</v>
      </c>
      <c r="Q119">
        <f>Table39[[#This Row],[AGREEMENT VALUE OF UNIT]]-Table39[[#This Row],[AMOUNT RECEIVED TILL DATE]]</f>
        <v>0</v>
      </c>
    </row>
    <row r="120" spans="2:17" x14ac:dyDescent="0.25">
      <c r="B120" s="5">
        <f t="shared" si="1"/>
        <v>118</v>
      </c>
      <c r="C120" s="6" t="s">
        <v>720</v>
      </c>
      <c r="D120" s="6" t="s">
        <v>191</v>
      </c>
      <c r="E120" s="6" t="s">
        <v>721</v>
      </c>
      <c r="F120" s="6">
        <v>550</v>
      </c>
      <c r="G120" s="6" t="s">
        <v>26</v>
      </c>
      <c r="H120" s="6"/>
      <c r="I120" s="6"/>
      <c r="J120" s="6"/>
      <c r="K120" s="7">
        <v>40863</v>
      </c>
      <c r="L120" s="6">
        <v>1230000</v>
      </c>
      <c r="M120" s="6">
        <v>1230000</v>
      </c>
      <c r="N120" s="6" t="s">
        <v>27</v>
      </c>
      <c r="O120" s="8">
        <v>43103</v>
      </c>
      <c r="Q120">
        <f>Table39[[#This Row],[AGREEMENT VALUE OF UNIT]]-Table39[[#This Row],[AMOUNT RECEIVED TILL DATE]]</f>
        <v>0</v>
      </c>
    </row>
    <row r="121" spans="2:17" x14ac:dyDescent="0.25">
      <c r="B121" s="5">
        <f t="shared" si="1"/>
        <v>119</v>
      </c>
      <c r="C121" s="6" t="s">
        <v>722</v>
      </c>
      <c r="D121" s="6" t="s">
        <v>191</v>
      </c>
      <c r="E121" s="6" t="s">
        <v>723</v>
      </c>
      <c r="F121" s="6">
        <v>550</v>
      </c>
      <c r="G121" s="6" t="s">
        <v>26</v>
      </c>
      <c r="H121" s="6"/>
      <c r="I121" s="6"/>
      <c r="J121" s="6"/>
      <c r="K121" s="7">
        <v>40938</v>
      </c>
      <c r="L121" s="6">
        <v>1220000</v>
      </c>
      <c r="M121" s="6">
        <v>1220000</v>
      </c>
      <c r="N121" s="6" t="s">
        <v>46</v>
      </c>
      <c r="O121" s="8">
        <v>43103</v>
      </c>
      <c r="Q121">
        <f>Table39[[#This Row],[AGREEMENT VALUE OF UNIT]]-Table39[[#This Row],[AMOUNT RECEIVED TILL DATE]]</f>
        <v>0</v>
      </c>
    </row>
    <row r="122" spans="2:17" x14ac:dyDescent="0.25">
      <c r="B122" s="5">
        <f t="shared" si="1"/>
        <v>120</v>
      </c>
      <c r="C122" s="6" t="s">
        <v>724</v>
      </c>
      <c r="D122" s="6" t="s">
        <v>191</v>
      </c>
      <c r="E122" s="6" t="s">
        <v>725</v>
      </c>
      <c r="F122" s="6">
        <v>550</v>
      </c>
      <c r="G122" s="6" t="s">
        <v>26</v>
      </c>
      <c r="H122" s="6"/>
      <c r="I122" s="6"/>
      <c r="J122" s="6"/>
      <c r="K122" s="7">
        <v>40837</v>
      </c>
      <c r="L122" s="6">
        <v>1310000</v>
      </c>
      <c r="M122" s="6">
        <v>1310000</v>
      </c>
      <c r="N122" s="6" t="s">
        <v>30</v>
      </c>
      <c r="O122" s="8">
        <v>43103</v>
      </c>
      <c r="Q122">
        <f>Table39[[#This Row],[AGREEMENT VALUE OF UNIT]]-Table39[[#This Row],[AMOUNT RECEIVED TILL DATE]]</f>
        <v>0</v>
      </c>
    </row>
    <row r="123" spans="2:17" x14ac:dyDescent="0.25">
      <c r="B123" s="5">
        <f t="shared" si="1"/>
        <v>121</v>
      </c>
      <c r="C123" s="6" t="s">
        <v>726</v>
      </c>
      <c r="D123" s="6" t="s">
        <v>191</v>
      </c>
      <c r="E123" s="6" t="s">
        <v>727</v>
      </c>
      <c r="F123" s="6">
        <v>550</v>
      </c>
      <c r="G123" s="6" t="s">
        <v>26</v>
      </c>
      <c r="H123" s="6"/>
      <c r="I123" s="6"/>
      <c r="J123" s="6"/>
      <c r="K123" s="7">
        <v>40874</v>
      </c>
      <c r="L123" s="6">
        <v>1203300</v>
      </c>
      <c r="M123" s="6">
        <v>1203300</v>
      </c>
      <c r="N123" s="6" t="s">
        <v>30</v>
      </c>
      <c r="O123" s="8">
        <v>43103</v>
      </c>
      <c r="Q123">
        <f>Table39[[#This Row],[AGREEMENT VALUE OF UNIT]]-Table39[[#This Row],[AMOUNT RECEIVED TILL DATE]]</f>
        <v>0</v>
      </c>
    </row>
    <row r="124" spans="2:17" x14ac:dyDescent="0.25">
      <c r="B124" s="5">
        <f t="shared" si="1"/>
        <v>122</v>
      </c>
      <c r="C124" s="6" t="s">
        <v>728</v>
      </c>
      <c r="D124" s="6" t="s">
        <v>191</v>
      </c>
      <c r="E124" s="6" t="s">
        <v>729</v>
      </c>
      <c r="F124" s="6">
        <v>550</v>
      </c>
      <c r="G124" s="6" t="s">
        <v>26</v>
      </c>
      <c r="H124" s="6"/>
      <c r="I124" s="6"/>
      <c r="J124" s="6"/>
      <c r="K124" s="7">
        <v>40933</v>
      </c>
      <c r="L124" s="6">
        <v>1260000</v>
      </c>
      <c r="M124" s="6">
        <v>1260000</v>
      </c>
      <c r="N124" s="6" t="s">
        <v>30</v>
      </c>
      <c r="O124" s="8">
        <v>43103</v>
      </c>
      <c r="Q124">
        <f>Table39[[#This Row],[AGREEMENT VALUE OF UNIT]]-Table39[[#This Row],[AMOUNT RECEIVED TILL DATE]]</f>
        <v>0</v>
      </c>
    </row>
    <row r="125" spans="2:17" x14ac:dyDescent="0.25">
      <c r="B125" s="5">
        <f t="shared" si="1"/>
        <v>123</v>
      </c>
      <c r="C125" s="6" t="s">
        <v>730</v>
      </c>
      <c r="D125" s="6" t="s">
        <v>191</v>
      </c>
      <c r="E125" s="6" t="s">
        <v>731</v>
      </c>
      <c r="F125" s="6">
        <v>550</v>
      </c>
      <c r="G125" s="6" t="s">
        <v>26</v>
      </c>
      <c r="H125" s="6"/>
      <c r="I125" s="6"/>
      <c r="J125" s="6"/>
      <c r="K125" s="7">
        <v>40849</v>
      </c>
      <c r="L125" s="6">
        <v>1166000</v>
      </c>
      <c r="M125" s="6">
        <v>1166000</v>
      </c>
      <c r="N125" s="6" t="s">
        <v>27</v>
      </c>
      <c r="O125" s="8">
        <v>43103</v>
      </c>
      <c r="Q125">
        <f>Table39[[#This Row],[AGREEMENT VALUE OF UNIT]]-Table39[[#This Row],[AMOUNT RECEIVED TILL DATE]]</f>
        <v>0</v>
      </c>
    </row>
    <row r="126" spans="2:17" x14ac:dyDescent="0.25">
      <c r="B126" s="5">
        <f t="shared" si="1"/>
        <v>124</v>
      </c>
      <c r="C126" s="6" t="s">
        <v>732</v>
      </c>
      <c r="D126" s="6" t="s">
        <v>191</v>
      </c>
      <c r="E126" s="6" t="s">
        <v>733</v>
      </c>
      <c r="F126" s="6">
        <v>550</v>
      </c>
      <c r="G126" s="6" t="s">
        <v>113</v>
      </c>
      <c r="H126" s="6"/>
      <c r="I126" s="6"/>
      <c r="J126" s="6"/>
      <c r="K126" s="7">
        <v>42978</v>
      </c>
      <c r="L126" s="6">
        <v>1714000</v>
      </c>
      <c r="M126" s="6">
        <v>182400</v>
      </c>
      <c r="N126" s="6" t="s">
        <v>46</v>
      </c>
      <c r="O126" s="8">
        <v>43103</v>
      </c>
      <c r="Q126">
        <f>Table39[[#This Row],[AGREEMENT VALUE OF UNIT]]-Table39[[#This Row],[AMOUNT RECEIVED TILL DATE]]</f>
        <v>1531600</v>
      </c>
    </row>
    <row r="127" spans="2:17" x14ac:dyDescent="0.25">
      <c r="B127" s="5">
        <f t="shared" si="1"/>
        <v>125</v>
      </c>
      <c r="C127" s="6" t="s">
        <v>734</v>
      </c>
      <c r="D127" s="6" t="s">
        <v>191</v>
      </c>
      <c r="E127" s="6" t="s">
        <v>735</v>
      </c>
      <c r="F127" s="6">
        <v>550</v>
      </c>
      <c r="G127" s="6" t="s">
        <v>26</v>
      </c>
      <c r="H127" s="6"/>
      <c r="I127" s="6"/>
      <c r="J127" s="6"/>
      <c r="K127" s="7">
        <v>40863</v>
      </c>
      <c r="L127" s="6">
        <v>1260000</v>
      </c>
      <c r="M127" s="6">
        <v>1260000</v>
      </c>
      <c r="N127" s="6" t="s">
        <v>30</v>
      </c>
      <c r="O127" s="8">
        <v>43103</v>
      </c>
      <c r="Q127">
        <f>Table39[[#This Row],[AGREEMENT VALUE OF UNIT]]-Table39[[#This Row],[AMOUNT RECEIVED TILL DATE]]</f>
        <v>0</v>
      </c>
    </row>
    <row r="128" spans="2:17" x14ac:dyDescent="0.25">
      <c r="B128" s="5">
        <f t="shared" si="1"/>
        <v>126</v>
      </c>
      <c r="C128" s="6" t="s">
        <v>736</v>
      </c>
      <c r="D128" s="6" t="s">
        <v>191</v>
      </c>
      <c r="E128" s="6" t="s">
        <v>737</v>
      </c>
      <c r="F128" s="6">
        <v>550</v>
      </c>
      <c r="G128" s="6" t="s">
        <v>113</v>
      </c>
      <c r="H128" s="6"/>
      <c r="I128" s="6"/>
      <c r="J128" s="6"/>
      <c r="K128" s="7">
        <v>42981</v>
      </c>
      <c r="L128" s="6">
        <v>1924000</v>
      </c>
      <c r="M128" s="6">
        <v>224000</v>
      </c>
      <c r="N128" s="6" t="s">
        <v>46</v>
      </c>
      <c r="O128" s="8">
        <v>43103</v>
      </c>
      <c r="Q128">
        <f>Table39[[#This Row],[AGREEMENT VALUE OF UNIT]]-Table39[[#This Row],[AMOUNT RECEIVED TILL DATE]]</f>
        <v>1700000</v>
      </c>
    </row>
    <row r="129" spans="2:17" x14ac:dyDescent="0.25">
      <c r="B129" s="5">
        <f t="shared" si="1"/>
        <v>127</v>
      </c>
      <c r="C129" s="6" t="s">
        <v>738</v>
      </c>
      <c r="D129" s="6" t="s">
        <v>191</v>
      </c>
      <c r="E129" s="6" t="s">
        <v>739</v>
      </c>
      <c r="F129" s="6">
        <v>550</v>
      </c>
      <c r="G129" s="6" t="s">
        <v>26</v>
      </c>
      <c r="H129" s="6"/>
      <c r="I129" s="6"/>
      <c r="J129" s="6"/>
      <c r="K129" s="7">
        <v>40862</v>
      </c>
      <c r="L129" s="6">
        <v>1260000</v>
      </c>
      <c r="M129" s="6">
        <v>1260000</v>
      </c>
      <c r="N129" s="6" t="s">
        <v>46</v>
      </c>
      <c r="O129" s="8">
        <v>43103</v>
      </c>
      <c r="Q129">
        <f>Table39[[#This Row],[AGREEMENT VALUE OF UNIT]]-Table39[[#This Row],[AMOUNT RECEIVED TILL DATE]]</f>
        <v>0</v>
      </c>
    </row>
    <row r="130" spans="2:17" x14ac:dyDescent="0.25">
      <c r="B130" s="5">
        <f t="shared" si="1"/>
        <v>128</v>
      </c>
      <c r="C130" s="6" t="s">
        <v>740</v>
      </c>
      <c r="D130" s="6" t="s">
        <v>191</v>
      </c>
      <c r="E130" s="6" t="s">
        <v>741</v>
      </c>
      <c r="F130" s="6">
        <v>550</v>
      </c>
      <c r="G130" s="6" t="s">
        <v>26</v>
      </c>
      <c r="H130" s="6"/>
      <c r="I130" s="6"/>
      <c r="J130" s="6"/>
      <c r="K130" s="7">
        <v>40874</v>
      </c>
      <c r="L130" s="6">
        <v>1209600</v>
      </c>
      <c r="M130" s="6">
        <v>1209600</v>
      </c>
      <c r="N130" s="6" t="s">
        <v>46</v>
      </c>
      <c r="O130" s="8">
        <v>43103</v>
      </c>
      <c r="Q130">
        <f>Table39[[#This Row],[AGREEMENT VALUE OF UNIT]]-Table39[[#This Row],[AMOUNT RECEIVED TILL DATE]]</f>
        <v>0</v>
      </c>
    </row>
    <row r="131" spans="2:17" x14ac:dyDescent="0.25">
      <c r="B131" s="5">
        <f t="shared" si="1"/>
        <v>129</v>
      </c>
      <c r="C131" s="6" t="s">
        <v>742</v>
      </c>
      <c r="D131" s="6" t="s">
        <v>191</v>
      </c>
      <c r="E131" s="6" t="s">
        <v>743</v>
      </c>
      <c r="F131" s="6">
        <v>550</v>
      </c>
      <c r="G131" s="6" t="s">
        <v>26</v>
      </c>
      <c r="H131" s="6"/>
      <c r="I131" s="6"/>
      <c r="J131" s="6"/>
      <c r="K131" s="7">
        <v>42234</v>
      </c>
      <c r="L131" s="6">
        <v>1948920</v>
      </c>
      <c r="M131" s="6">
        <v>1948920</v>
      </c>
      <c r="N131" s="6" t="s">
        <v>46</v>
      </c>
      <c r="O131" s="8">
        <v>43103</v>
      </c>
      <c r="Q131">
        <f>Table39[[#This Row],[AGREEMENT VALUE OF UNIT]]-Table39[[#This Row],[AMOUNT RECEIVED TILL DATE]]</f>
        <v>0</v>
      </c>
    </row>
    <row r="132" spans="2:17" x14ac:dyDescent="0.25">
      <c r="B132" s="5">
        <f t="shared" ref="B132:B195" si="2">B131+1</f>
        <v>130</v>
      </c>
      <c r="C132" s="6" t="s">
        <v>744</v>
      </c>
      <c r="D132" s="6" t="s">
        <v>191</v>
      </c>
      <c r="E132" s="6" t="s">
        <v>745</v>
      </c>
      <c r="F132" s="6">
        <v>550</v>
      </c>
      <c r="G132" s="6" t="s">
        <v>26</v>
      </c>
      <c r="H132" s="6"/>
      <c r="I132" s="6"/>
      <c r="J132" s="6"/>
      <c r="K132" s="7">
        <v>40838</v>
      </c>
      <c r="L132" s="6">
        <v>1186200</v>
      </c>
      <c r="M132" s="6">
        <v>1186200</v>
      </c>
      <c r="N132" s="6" t="s">
        <v>57</v>
      </c>
      <c r="O132" s="8">
        <v>43103</v>
      </c>
      <c r="Q132">
        <f>Table39[[#This Row],[AGREEMENT VALUE OF UNIT]]-Table39[[#This Row],[AMOUNT RECEIVED TILL DATE]]</f>
        <v>0</v>
      </c>
    </row>
    <row r="133" spans="2:17" x14ac:dyDescent="0.25">
      <c r="B133" s="5">
        <f t="shared" si="2"/>
        <v>131</v>
      </c>
      <c r="C133" s="6" t="s">
        <v>746</v>
      </c>
      <c r="D133" s="6" t="s">
        <v>191</v>
      </c>
      <c r="E133" s="6" t="s">
        <v>747</v>
      </c>
      <c r="F133" s="6">
        <v>550</v>
      </c>
      <c r="G133" s="6" t="s">
        <v>26</v>
      </c>
      <c r="H133" s="6"/>
      <c r="I133" s="6"/>
      <c r="J133" s="6"/>
      <c r="K133" s="7">
        <v>40938</v>
      </c>
      <c r="L133" s="6">
        <v>1170000</v>
      </c>
      <c r="M133" s="6">
        <v>1170000</v>
      </c>
      <c r="N133" s="6" t="s">
        <v>46</v>
      </c>
      <c r="O133" s="8">
        <v>43103</v>
      </c>
      <c r="Q133">
        <f>Table39[[#This Row],[AGREEMENT VALUE OF UNIT]]-Table39[[#This Row],[AMOUNT RECEIVED TILL DATE]]</f>
        <v>0</v>
      </c>
    </row>
    <row r="134" spans="2:17" x14ac:dyDescent="0.25">
      <c r="B134" s="5">
        <f t="shared" si="2"/>
        <v>132</v>
      </c>
      <c r="C134" s="6" t="s">
        <v>748</v>
      </c>
      <c r="D134" s="6" t="s">
        <v>191</v>
      </c>
      <c r="E134" s="6" t="s">
        <v>749</v>
      </c>
      <c r="F134" s="6">
        <v>550</v>
      </c>
      <c r="G134" s="6" t="s">
        <v>26</v>
      </c>
      <c r="H134" s="6"/>
      <c r="I134" s="6"/>
      <c r="J134" s="6"/>
      <c r="K134" s="7">
        <v>41876</v>
      </c>
      <c r="L134" s="6">
        <v>1978000</v>
      </c>
      <c r="M134" s="6">
        <v>1978000</v>
      </c>
      <c r="N134" s="6" t="s">
        <v>46</v>
      </c>
      <c r="O134" s="8">
        <v>43103</v>
      </c>
      <c r="Q134">
        <f>Table39[[#This Row],[AGREEMENT VALUE OF UNIT]]-Table39[[#This Row],[AMOUNT RECEIVED TILL DATE]]</f>
        <v>0</v>
      </c>
    </row>
    <row r="135" spans="2:17" x14ac:dyDescent="0.25">
      <c r="B135" s="5">
        <f t="shared" si="2"/>
        <v>133</v>
      </c>
      <c r="C135" s="6" t="s">
        <v>750</v>
      </c>
      <c r="D135" s="6" t="s">
        <v>191</v>
      </c>
      <c r="E135" s="6" t="s">
        <v>751</v>
      </c>
      <c r="F135" s="6">
        <v>550</v>
      </c>
      <c r="G135" s="6" t="s">
        <v>26</v>
      </c>
      <c r="H135" s="6"/>
      <c r="I135" s="6"/>
      <c r="J135" s="6"/>
      <c r="K135" s="7">
        <v>42124</v>
      </c>
      <c r="L135" s="6">
        <v>1950000</v>
      </c>
      <c r="M135" s="6">
        <v>1950000</v>
      </c>
      <c r="N135" s="6" t="s">
        <v>46</v>
      </c>
      <c r="O135" s="8">
        <v>43103</v>
      </c>
      <c r="Q135">
        <f>Table39[[#This Row],[AGREEMENT VALUE OF UNIT]]-Table39[[#This Row],[AMOUNT RECEIVED TILL DATE]]</f>
        <v>0</v>
      </c>
    </row>
    <row r="136" spans="2:17" x14ac:dyDescent="0.25">
      <c r="B136" s="5">
        <f t="shared" si="2"/>
        <v>134</v>
      </c>
      <c r="C136" s="6" t="s">
        <v>752</v>
      </c>
      <c r="D136" s="6" t="s">
        <v>191</v>
      </c>
      <c r="E136" s="6" t="s">
        <v>753</v>
      </c>
      <c r="F136" s="6">
        <v>550</v>
      </c>
      <c r="G136" s="6" t="s">
        <v>26</v>
      </c>
      <c r="H136" s="6"/>
      <c r="I136" s="6"/>
      <c r="J136" s="6"/>
      <c r="K136" s="7">
        <v>40831</v>
      </c>
      <c r="L136" s="6">
        <v>1170000</v>
      </c>
      <c r="M136" s="6">
        <v>884833</v>
      </c>
      <c r="N136" s="6" t="s">
        <v>30</v>
      </c>
      <c r="O136" s="8">
        <v>43103</v>
      </c>
      <c r="Q136">
        <f>Table39[[#This Row],[AGREEMENT VALUE OF UNIT]]-Table39[[#This Row],[AMOUNT RECEIVED TILL DATE]]</f>
        <v>285167</v>
      </c>
    </row>
    <row r="137" spans="2:17" x14ac:dyDescent="0.25">
      <c r="B137" s="5">
        <f t="shared" si="2"/>
        <v>135</v>
      </c>
      <c r="C137" s="6" t="s">
        <v>462</v>
      </c>
      <c r="D137" s="6" t="s">
        <v>191</v>
      </c>
      <c r="E137" s="6" t="s">
        <v>754</v>
      </c>
      <c r="F137" s="6">
        <v>550</v>
      </c>
      <c r="G137" s="6" t="s">
        <v>26</v>
      </c>
      <c r="H137" s="6"/>
      <c r="I137" s="6"/>
      <c r="J137" s="6"/>
      <c r="K137" s="7">
        <v>40831</v>
      </c>
      <c r="L137" s="6">
        <v>1134900</v>
      </c>
      <c r="M137" s="6">
        <v>1134900</v>
      </c>
      <c r="N137" s="6" t="s">
        <v>27</v>
      </c>
      <c r="O137" s="8">
        <v>43103</v>
      </c>
      <c r="Q137">
        <f>Table39[[#This Row],[AGREEMENT VALUE OF UNIT]]-Table39[[#This Row],[AMOUNT RECEIVED TILL DATE]]</f>
        <v>0</v>
      </c>
    </row>
    <row r="138" spans="2:17" x14ac:dyDescent="0.25">
      <c r="B138" s="5">
        <f t="shared" si="2"/>
        <v>136</v>
      </c>
      <c r="C138" s="6" t="s">
        <v>755</v>
      </c>
      <c r="D138" s="6" t="s">
        <v>191</v>
      </c>
      <c r="E138" s="6" t="s">
        <v>756</v>
      </c>
      <c r="F138" s="6">
        <v>550</v>
      </c>
      <c r="G138" s="6" t="s">
        <v>26</v>
      </c>
      <c r="H138" s="6"/>
      <c r="I138" s="6"/>
      <c r="J138" s="6"/>
      <c r="K138" s="7">
        <v>40849</v>
      </c>
      <c r="L138" s="6">
        <v>1200000</v>
      </c>
      <c r="M138" s="6">
        <v>1200000</v>
      </c>
      <c r="N138" s="6" t="s">
        <v>27</v>
      </c>
      <c r="O138" s="8">
        <v>43103</v>
      </c>
      <c r="Q138">
        <f>Table39[[#This Row],[AGREEMENT VALUE OF UNIT]]-Table39[[#This Row],[AMOUNT RECEIVED TILL DATE]]</f>
        <v>0</v>
      </c>
    </row>
    <row r="139" spans="2:17" x14ac:dyDescent="0.25">
      <c r="B139" s="5">
        <f t="shared" si="2"/>
        <v>137</v>
      </c>
      <c r="C139" s="6" t="s">
        <v>379</v>
      </c>
      <c r="D139" s="6" t="s">
        <v>191</v>
      </c>
      <c r="E139" s="6" t="s">
        <v>757</v>
      </c>
      <c r="F139" s="6">
        <v>550</v>
      </c>
      <c r="G139" s="6" t="s">
        <v>26</v>
      </c>
      <c r="H139" s="6"/>
      <c r="I139" s="6"/>
      <c r="J139" s="6"/>
      <c r="K139" s="7">
        <v>40872</v>
      </c>
      <c r="L139" s="6">
        <v>1230000</v>
      </c>
      <c r="M139" s="6">
        <v>1230000</v>
      </c>
      <c r="N139" s="6" t="s">
        <v>30</v>
      </c>
      <c r="O139" s="8">
        <v>43103</v>
      </c>
      <c r="Q139">
        <f>Table39[[#This Row],[AGREEMENT VALUE OF UNIT]]-Table39[[#This Row],[AMOUNT RECEIVED TILL DATE]]</f>
        <v>0</v>
      </c>
    </row>
    <row r="140" spans="2:17" x14ac:dyDescent="0.25">
      <c r="B140" s="5">
        <f t="shared" si="2"/>
        <v>138</v>
      </c>
      <c r="C140" s="6" t="s">
        <v>758</v>
      </c>
      <c r="D140" s="6" t="s">
        <v>191</v>
      </c>
      <c r="E140" s="6" t="s">
        <v>759</v>
      </c>
      <c r="F140" s="6">
        <v>550</v>
      </c>
      <c r="G140" s="6" t="s">
        <v>26</v>
      </c>
      <c r="H140" s="6"/>
      <c r="I140" s="6"/>
      <c r="J140" s="6"/>
      <c r="K140" s="7">
        <v>40927</v>
      </c>
      <c r="L140" s="6">
        <v>1325400</v>
      </c>
      <c r="M140" s="6">
        <v>1325400</v>
      </c>
      <c r="N140" s="6" t="s">
        <v>39</v>
      </c>
      <c r="O140" s="8">
        <v>43103</v>
      </c>
      <c r="Q140">
        <f>Table39[[#This Row],[AGREEMENT VALUE OF UNIT]]-Table39[[#This Row],[AMOUNT RECEIVED TILL DATE]]</f>
        <v>0</v>
      </c>
    </row>
    <row r="141" spans="2:17" x14ac:dyDescent="0.25">
      <c r="B141" s="5">
        <f t="shared" si="2"/>
        <v>139</v>
      </c>
      <c r="C141" s="6" t="s">
        <v>379</v>
      </c>
      <c r="D141" s="6" t="s">
        <v>191</v>
      </c>
      <c r="E141" s="6" t="s">
        <v>760</v>
      </c>
      <c r="F141" s="6">
        <v>550</v>
      </c>
      <c r="G141" s="6" t="s">
        <v>26</v>
      </c>
      <c r="H141" s="6"/>
      <c r="I141" s="6"/>
      <c r="J141" s="6"/>
      <c r="K141" s="7">
        <v>40872</v>
      </c>
      <c r="L141" s="6">
        <v>1230000</v>
      </c>
      <c r="M141" s="6">
        <v>1230000</v>
      </c>
      <c r="N141" s="6" t="s">
        <v>30</v>
      </c>
      <c r="O141" s="8">
        <v>43103</v>
      </c>
      <c r="Q141">
        <f>Table39[[#This Row],[AGREEMENT VALUE OF UNIT]]-Table39[[#This Row],[AMOUNT RECEIVED TILL DATE]]</f>
        <v>0</v>
      </c>
    </row>
    <row r="142" spans="2:17" x14ac:dyDescent="0.25">
      <c r="B142" s="5">
        <f t="shared" si="2"/>
        <v>140</v>
      </c>
      <c r="C142" s="6" t="s">
        <v>761</v>
      </c>
      <c r="D142" s="6" t="s">
        <v>191</v>
      </c>
      <c r="E142" s="6" t="s">
        <v>762</v>
      </c>
      <c r="F142" s="6">
        <v>550</v>
      </c>
      <c r="G142" s="6" t="s">
        <v>26</v>
      </c>
      <c r="H142" s="6"/>
      <c r="I142" s="6"/>
      <c r="J142" s="6"/>
      <c r="K142" s="7">
        <v>40872</v>
      </c>
      <c r="L142" s="6">
        <v>1230000</v>
      </c>
      <c r="M142" s="6">
        <v>1230000</v>
      </c>
      <c r="N142" s="6" t="s">
        <v>30</v>
      </c>
      <c r="O142" s="8">
        <v>43103</v>
      </c>
      <c r="Q142">
        <f>Table39[[#This Row],[AGREEMENT VALUE OF UNIT]]-Table39[[#This Row],[AMOUNT RECEIVED TILL DATE]]</f>
        <v>0</v>
      </c>
    </row>
    <row r="143" spans="2:17" x14ac:dyDescent="0.25">
      <c r="B143" s="5">
        <f t="shared" si="2"/>
        <v>141</v>
      </c>
      <c r="C143" s="6" t="s">
        <v>763</v>
      </c>
      <c r="D143" s="6" t="s">
        <v>191</v>
      </c>
      <c r="E143" s="6" t="s">
        <v>764</v>
      </c>
      <c r="F143" s="6">
        <v>550</v>
      </c>
      <c r="G143" s="6" t="s">
        <v>26</v>
      </c>
      <c r="H143" s="6"/>
      <c r="I143" s="6"/>
      <c r="J143" s="6"/>
      <c r="K143" s="7">
        <v>41988</v>
      </c>
      <c r="L143" s="6">
        <v>1905000</v>
      </c>
      <c r="M143" s="6">
        <v>1905000</v>
      </c>
      <c r="N143" s="6" t="s">
        <v>416</v>
      </c>
      <c r="O143" s="8">
        <v>43103</v>
      </c>
      <c r="Q143">
        <f>Table39[[#This Row],[AGREEMENT VALUE OF UNIT]]-Table39[[#This Row],[AMOUNT RECEIVED TILL DATE]]</f>
        <v>0</v>
      </c>
    </row>
    <row r="144" spans="2:17" x14ac:dyDescent="0.25">
      <c r="B144" s="5">
        <f t="shared" si="2"/>
        <v>142</v>
      </c>
      <c r="C144" s="6" t="s">
        <v>765</v>
      </c>
      <c r="D144" s="6" t="s">
        <v>191</v>
      </c>
      <c r="E144" s="6" t="s">
        <v>766</v>
      </c>
      <c r="F144" s="6">
        <v>550</v>
      </c>
      <c r="G144" s="6" t="s">
        <v>26</v>
      </c>
      <c r="H144" s="6"/>
      <c r="I144" s="6"/>
      <c r="J144" s="6"/>
      <c r="K144" s="7">
        <v>40923</v>
      </c>
      <c r="L144" s="6">
        <v>888850</v>
      </c>
      <c r="M144" s="6">
        <v>888850</v>
      </c>
      <c r="N144" s="6" t="s">
        <v>30</v>
      </c>
      <c r="O144" s="8">
        <v>43103</v>
      </c>
      <c r="Q144">
        <f>Table39[[#This Row],[AGREEMENT VALUE OF UNIT]]-Table39[[#This Row],[AMOUNT RECEIVED TILL DATE]]</f>
        <v>0</v>
      </c>
    </row>
    <row r="145" spans="2:17" x14ac:dyDescent="0.25">
      <c r="B145" s="5">
        <f t="shared" si="2"/>
        <v>143</v>
      </c>
      <c r="C145" s="6" t="s">
        <v>767</v>
      </c>
      <c r="D145" s="6" t="s">
        <v>191</v>
      </c>
      <c r="E145" s="6" t="s">
        <v>768</v>
      </c>
      <c r="F145" s="6">
        <v>550</v>
      </c>
      <c r="G145" s="6" t="s">
        <v>26</v>
      </c>
      <c r="H145" s="6"/>
      <c r="I145" s="6"/>
      <c r="J145" s="6"/>
      <c r="K145" s="7">
        <v>40801</v>
      </c>
      <c r="L145" s="6">
        <v>1216219</v>
      </c>
      <c r="M145" s="6">
        <v>1063364</v>
      </c>
      <c r="N145" s="6" t="s">
        <v>66</v>
      </c>
      <c r="O145" s="8">
        <v>43103</v>
      </c>
      <c r="Q145">
        <f>Table39[[#This Row],[AGREEMENT VALUE OF UNIT]]-Table39[[#This Row],[AMOUNT RECEIVED TILL DATE]]</f>
        <v>152855</v>
      </c>
    </row>
    <row r="146" spans="2:17" x14ac:dyDescent="0.25">
      <c r="B146" s="5">
        <f t="shared" si="2"/>
        <v>144</v>
      </c>
      <c r="C146" s="6" t="s">
        <v>769</v>
      </c>
      <c r="D146" s="6" t="s">
        <v>191</v>
      </c>
      <c r="E146" s="6" t="s">
        <v>770</v>
      </c>
      <c r="F146" s="6">
        <v>550</v>
      </c>
      <c r="G146" s="6" t="s">
        <v>26</v>
      </c>
      <c r="H146" s="6"/>
      <c r="I146" s="6"/>
      <c r="J146" s="6"/>
      <c r="K146" s="7">
        <v>40968</v>
      </c>
      <c r="L146" s="6">
        <v>1270000</v>
      </c>
      <c r="M146" s="6">
        <v>1270000</v>
      </c>
      <c r="N146" s="6" t="s">
        <v>46</v>
      </c>
      <c r="O146" s="8">
        <v>43103</v>
      </c>
      <c r="Q146">
        <f>Table39[[#This Row],[AGREEMENT VALUE OF UNIT]]-Table39[[#This Row],[AMOUNT RECEIVED TILL DATE]]</f>
        <v>0</v>
      </c>
    </row>
    <row r="147" spans="2:17" x14ac:dyDescent="0.25">
      <c r="B147" s="5">
        <f t="shared" si="2"/>
        <v>145</v>
      </c>
      <c r="C147" s="6" t="s">
        <v>771</v>
      </c>
      <c r="D147" s="6" t="s">
        <v>191</v>
      </c>
      <c r="E147" s="6" t="s">
        <v>772</v>
      </c>
      <c r="F147" s="6">
        <v>550</v>
      </c>
      <c r="G147" s="6" t="s">
        <v>26</v>
      </c>
      <c r="H147" s="6"/>
      <c r="I147" s="6"/>
      <c r="J147" s="6"/>
      <c r="K147" s="7">
        <v>40801</v>
      </c>
      <c r="L147" s="6">
        <v>1291219</v>
      </c>
      <c r="M147" s="6">
        <v>1197834</v>
      </c>
      <c r="N147" s="6" t="s">
        <v>27</v>
      </c>
      <c r="O147" s="8">
        <v>43103</v>
      </c>
      <c r="Q147">
        <f>Table39[[#This Row],[AGREEMENT VALUE OF UNIT]]-Table39[[#This Row],[AMOUNT RECEIVED TILL DATE]]</f>
        <v>93385</v>
      </c>
    </row>
    <row r="148" spans="2:17" x14ac:dyDescent="0.25">
      <c r="B148" s="5">
        <f t="shared" si="2"/>
        <v>146</v>
      </c>
      <c r="C148" s="6" t="s">
        <v>773</v>
      </c>
      <c r="D148" s="6" t="s">
        <v>191</v>
      </c>
      <c r="E148" s="6" t="s">
        <v>774</v>
      </c>
      <c r="F148" s="6">
        <v>550</v>
      </c>
      <c r="G148" s="6" t="s">
        <v>26</v>
      </c>
      <c r="H148" s="6"/>
      <c r="I148" s="6"/>
      <c r="J148" s="6"/>
      <c r="K148" s="7">
        <v>40908</v>
      </c>
      <c r="L148" s="6">
        <v>1132700</v>
      </c>
      <c r="M148" s="6">
        <v>1077480</v>
      </c>
      <c r="N148" s="6" t="s">
        <v>30</v>
      </c>
      <c r="O148" s="8">
        <v>43103</v>
      </c>
      <c r="Q148">
        <f>Table39[[#This Row],[AGREEMENT VALUE OF UNIT]]-Table39[[#This Row],[AMOUNT RECEIVED TILL DATE]]</f>
        <v>55220</v>
      </c>
    </row>
    <row r="149" spans="2:17" x14ac:dyDescent="0.25">
      <c r="B149" s="5">
        <f t="shared" si="2"/>
        <v>147</v>
      </c>
      <c r="C149" s="6" t="s">
        <v>775</v>
      </c>
      <c r="D149" s="6" t="s">
        <v>191</v>
      </c>
      <c r="E149" s="6" t="s">
        <v>776</v>
      </c>
      <c r="F149" s="6">
        <v>550</v>
      </c>
      <c r="G149" s="6" t="s">
        <v>26</v>
      </c>
      <c r="H149" s="6"/>
      <c r="I149" s="6"/>
      <c r="J149" s="6"/>
      <c r="K149" s="7">
        <v>40985</v>
      </c>
      <c r="L149" s="6">
        <v>1365000</v>
      </c>
      <c r="M149" s="6">
        <v>1365000</v>
      </c>
      <c r="N149" s="6" t="s">
        <v>30</v>
      </c>
      <c r="O149" s="8">
        <v>43103</v>
      </c>
      <c r="Q149">
        <f>Table39[[#This Row],[AGREEMENT VALUE OF UNIT]]-Table39[[#This Row],[AMOUNT RECEIVED TILL DATE]]</f>
        <v>0</v>
      </c>
    </row>
    <row r="150" spans="2:17" x14ac:dyDescent="0.25">
      <c r="B150" s="5">
        <f t="shared" si="2"/>
        <v>148</v>
      </c>
      <c r="C150" s="6" t="s">
        <v>777</v>
      </c>
      <c r="D150" s="6" t="s">
        <v>191</v>
      </c>
      <c r="E150" s="6" t="s">
        <v>778</v>
      </c>
      <c r="F150" s="6">
        <v>550</v>
      </c>
      <c r="G150" s="6" t="s">
        <v>26</v>
      </c>
      <c r="H150" s="6"/>
      <c r="I150" s="6"/>
      <c r="J150" s="6"/>
      <c r="K150" s="7">
        <v>40879</v>
      </c>
      <c r="L150" s="6">
        <v>1210900</v>
      </c>
      <c r="M150" s="6">
        <v>1210900</v>
      </c>
      <c r="N150" s="6" t="s">
        <v>30</v>
      </c>
      <c r="O150" s="8">
        <v>43103</v>
      </c>
      <c r="Q150">
        <f>Table39[[#This Row],[AGREEMENT VALUE OF UNIT]]-Table39[[#This Row],[AMOUNT RECEIVED TILL DATE]]</f>
        <v>0</v>
      </c>
    </row>
    <row r="151" spans="2:17" x14ac:dyDescent="0.25">
      <c r="B151" s="5">
        <f t="shared" si="2"/>
        <v>149</v>
      </c>
      <c r="C151" s="6" t="s">
        <v>779</v>
      </c>
      <c r="D151" s="6" t="s">
        <v>191</v>
      </c>
      <c r="E151" s="6" t="s">
        <v>780</v>
      </c>
      <c r="F151" s="6">
        <v>550</v>
      </c>
      <c r="G151" s="6" t="s">
        <v>26</v>
      </c>
      <c r="H151" s="6"/>
      <c r="I151" s="6"/>
      <c r="J151" s="6"/>
      <c r="K151" s="7">
        <v>40978</v>
      </c>
      <c r="L151" s="6">
        <v>1212000</v>
      </c>
      <c r="M151" s="6">
        <v>1212000</v>
      </c>
      <c r="N151" s="6" t="s">
        <v>30</v>
      </c>
      <c r="O151" s="8">
        <v>43103</v>
      </c>
      <c r="Q151">
        <f>Table39[[#This Row],[AGREEMENT VALUE OF UNIT]]-Table39[[#This Row],[AMOUNT RECEIVED TILL DATE]]</f>
        <v>0</v>
      </c>
    </row>
    <row r="152" spans="2:17" x14ac:dyDescent="0.25">
      <c r="B152" s="5">
        <f t="shared" si="2"/>
        <v>150</v>
      </c>
      <c r="C152" s="6" t="s">
        <v>777</v>
      </c>
      <c r="D152" s="6" t="s">
        <v>191</v>
      </c>
      <c r="E152" s="6" t="s">
        <v>781</v>
      </c>
      <c r="F152" s="6">
        <v>550</v>
      </c>
      <c r="G152" s="6" t="s">
        <v>26</v>
      </c>
      <c r="H152" s="6"/>
      <c r="I152" s="6"/>
      <c r="J152" s="6"/>
      <c r="K152" s="7">
        <v>40879</v>
      </c>
      <c r="L152" s="6">
        <v>1240900</v>
      </c>
      <c r="M152" s="6">
        <v>1240900</v>
      </c>
      <c r="N152" s="6" t="s">
        <v>30</v>
      </c>
      <c r="O152" s="8">
        <v>43103</v>
      </c>
      <c r="Q152">
        <f>Table39[[#This Row],[AGREEMENT VALUE OF UNIT]]-Table39[[#This Row],[AMOUNT RECEIVED TILL DATE]]</f>
        <v>0</v>
      </c>
    </row>
    <row r="153" spans="2:17" x14ac:dyDescent="0.25">
      <c r="B153" s="5">
        <f t="shared" si="2"/>
        <v>151</v>
      </c>
      <c r="C153" s="6" t="s">
        <v>782</v>
      </c>
      <c r="D153" s="6" t="s">
        <v>191</v>
      </c>
      <c r="E153" s="6" t="s">
        <v>783</v>
      </c>
      <c r="F153" s="6">
        <v>550</v>
      </c>
      <c r="G153" s="6" t="s">
        <v>26</v>
      </c>
      <c r="H153" s="6"/>
      <c r="I153" s="6"/>
      <c r="J153" s="6"/>
      <c r="K153" s="7">
        <v>40978</v>
      </c>
      <c r="L153" s="6">
        <v>1211250</v>
      </c>
      <c r="M153" s="6">
        <v>1211250</v>
      </c>
      <c r="N153" s="6" t="s">
        <v>27</v>
      </c>
      <c r="O153" s="8">
        <v>43103</v>
      </c>
      <c r="Q153">
        <f>Table39[[#This Row],[AGREEMENT VALUE OF UNIT]]-Table39[[#This Row],[AMOUNT RECEIVED TILL DATE]]</f>
        <v>0</v>
      </c>
    </row>
    <row r="154" spans="2:17" x14ac:dyDescent="0.25">
      <c r="B154" s="5">
        <f t="shared" si="2"/>
        <v>152</v>
      </c>
      <c r="C154" s="6" t="s">
        <v>786</v>
      </c>
      <c r="D154" s="6" t="s">
        <v>191</v>
      </c>
      <c r="E154" s="6" t="s">
        <v>787</v>
      </c>
      <c r="F154" s="6">
        <v>550</v>
      </c>
      <c r="G154" s="6" t="s">
        <v>26</v>
      </c>
      <c r="H154" s="6"/>
      <c r="I154" s="6"/>
      <c r="J154" s="6"/>
      <c r="K154" s="7">
        <v>40831</v>
      </c>
      <c r="L154" s="6">
        <v>1064000</v>
      </c>
      <c r="M154" s="6">
        <v>1064000</v>
      </c>
      <c r="N154" s="6" t="s">
        <v>46</v>
      </c>
      <c r="O154" s="8">
        <v>43103</v>
      </c>
      <c r="Q154">
        <f>Table39[[#This Row],[AGREEMENT VALUE OF UNIT]]-Table39[[#This Row],[AMOUNT RECEIVED TILL DATE]]</f>
        <v>0</v>
      </c>
    </row>
    <row r="155" spans="2:17" x14ac:dyDescent="0.25">
      <c r="B155" s="5">
        <f t="shared" si="2"/>
        <v>153</v>
      </c>
      <c r="C155" s="6" t="s">
        <v>788</v>
      </c>
      <c r="D155" s="6" t="s">
        <v>191</v>
      </c>
      <c r="E155" s="6" t="s">
        <v>789</v>
      </c>
      <c r="F155" s="6">
        <v>550</v>
      </c>
      <c r="G155" s="6" t="s">
        <v>26</v>
      </c>
      <c r="H155" s="6"/>
      <c r="I155" s="6"/>
      <c r="J155" s="6"/>
      <c r="K155" s="7">
        <v>40872</v>
      </c>
      <c r="L155" s="6">
        <v>1210000</v>
      </c>
      <c r="M155" s="6">
        <v>1210000</v>
      </c>
      <c r="N155" s="6" t="s">
        <v>27</v>
      </c>
      <c r="O155" s="8">
        <v>43103</v>
      </c>
      <c r="Q155">
        <f>Table39[[#This Row],[AGREEMENT VALUE OF UNIT]]-Table39[[#This Row],[AMOUNT RECEIVED TILL DATE]]</f>
        <v>0</v>
      </c>
    </row>
    <row r="156" spans="2:17" x14ac:dyDescent="0.25">
      <c r="B156" s="5">
        <f t="shared" si="2"/>
        <v>154</v>
      </c>
      <c r="C156" s="6" t="s">
        <v>790</v>
      </c>
      <c r="D156" s="6" t="s">
        <v>191</v>
      </c>
      <c r="E156" s="6" t="s">
        <v>791</v>
      </c>
      <c r="F156" s="6">
        <v>550</v>
      </c>
      <c r="G156" s="6" t="s">
        <v>26</v>
      </c>
      <c r="H156" s="6"/>
      <c r="I156" s="6"/>
      <c r="J156" s="6"/>
      <c r="K156" s="7">
        <v>40830</v>
      </c>
      <c r="L156" s="6">
        <v>1064000</v>
      </c>
      <c r="M156" s="6">
        <v>1011839</v>
      </c>
      <c r="N156" s="6" t="s">
        <v>30</v>
      </c>
      <c r="O156" s="8">
        <v>43103</v>
      </c>
      <c r="Q156">
        <f>Table39[[#This Row],[AGREEMENT VALUE OF UNIT]]-Table39[[#This Row],[AMOUNT RECEIVED TILL DATE]]</f>
        <v>52161</v>
      </c>
    </row>
    <row r="157" spans="2:17" x14ac:dyDescent="0.25">
      <c r="B157" s="5">
        <f t="shared" si="2"/>
        <v>155</v>
      </c>
      <c r="C157" s="6" t="s">
        <v>792</v>
      </c>
      <c r="D157" s="6" t="s">
        <v>191</v>
      </c>
      <c r="E157" s="6" t="s">
        <v>793</v>
      </c>
      <c r="F157" s="6">
        <v>550</v>
      </c>
      <c r="G157" s="6" t="s">
        <v>26</v>
      </c>
      <c r="H157" s="6"/>
      <c r="I157" s="6"/>
      <c r="J157" s="6"/>
      <c r="K157" s="7">
        <v>40979</v>
      </c>
      <c r="L157" s="6">
        <v>1217500</v>
      </c>
      <c r="M157" s="6">
        <v>1217500</v>
      </c>
      <c r="N157" s="6" t="s">
        <v>27</v>
      </c>
      <c r="O157" s="8">
        <v>43103</v>
      </c>
      <c r="Q157">
        <f>Table39[[#This Row],[AGREEMENT VALUE OF UNIT]]-Table39[[#This Row],[AMOUNT RECEIVED TILL DATE]]</f>
        <v>0</v>
      </c>
    </row>
    <row r="158" spans="2:17" x14ac:dyDescent="0.25">
      <c r="B158" s="5">
        <f t="shared" si="2"/>
        <v>156</v>
      </c>
      <c r="C158" s="6" t="s">
        <v>794</v>
      </c>
      <c r="D158" s="6" t="s">
        <v>191</v>
      </c>
      <c r="E158" s="6" t="s">
        <v>795</v>
      </c>
      <c r="F158" s="6">
        <v>550</v>
      </c>
      <c r="G158" s="6" t="s">
        <v>26</v>
      </c>
      <c r="H158" s="6"/>
      <c r="I158" s="6"/>
      <c r="J158" s="6"/>
      <c r="K158" s="7">
        <v>42788</v>
      </c>
      <c r="L158" s="6">
        <v>1633000</v>
      </c>
      <c r="M158" s="6">
        <v>1633000</v>
      </c>
      <c r="N158" s="6" t="s">
        <v>500</v>
      </c>
      <c r="O158" s="8">
        <v>43103</v>
      </c>
      <c r="Q158">
        <f>Table39[[#This Row],[AGREEMENT VALUE OF UNIT]]-Table39[[#This Row],[AMOUNT RECEIVED TILL DATE]]</f>
        <v>0</v>
      </c>
    </row>
    <row r="159" spans="2:17" x14ac:dyDescent="0.25">
      <c r="B159" s="5">
        <f t="shared" si="2"/>
        <v>157</v>
      </c>
      <c r="C159" s="6" t="s">
        <v>796</v>
      </c>
      <c r="D159" s="6" t="s">
        <v>191</v>
      </c>
      <c r="E159" s="6" t="s">
        <v>797</v>
      </c>
      <c r="F159" s="6">
        <v>550</v>
      </c>
      <c r="G159" s="6" t="s">
        <v>26</v>
      </c>
      <c r="H159" s="6"/>
      <c r="I159" s="6"/>
      <c r="J159" s="6"/>
      <c r="K159" s="7">
        <v>40872</v>
      </c>
      <c r="L159" s="6">
        <v>1180000</v>
      </c>
      <c r="M159" s="6">
        <v>1180000</v>
      </c>
      <c r="N159" s="6" t="s">
        <v>626</v>
      </c>
      <c r="O159" s="8">
        <v>43103</v>
      </c>
      <c r="Q159">
        <f>Table39[[#This Row],[AGREEMENT VALUE OF UNIT]]-Table39[[#This Row],[AMOUNT RECEIVED TILL DATE]]</f>
        <v>0</v>
      </c>
    </row>
    <row r="160" spans="2:17" x14ac:dyDescent="0.25">
      <c r="B160" s="5">
        <f t="shared" si="2"/>
        <v>158</v>
      </c>
      <c r="C160" s="6" t="s">
        <v>798</v>
      </c>
      <c r="D160" s="6" t="s">
        <v>191</v>
      </c>
      <c r="E160" s="6" t="s">
        <v>799</v>
      </c>
      <c r="F160" s="6">
        <v>550</v>
      </c>
      <c r="G160" s="6" t="s">
        <v>26</v>
      </c>
      <c r="H160" s="6"/>
      <c r="I160" s="6"/>
      <c r="J160" s="6"/>
      <c r="K160" s="7">
        <v>40879</v>
      </c>
      <c r="L160" s="6">
        <v>1180000</v>
      </c>
      <c r="M160" s="6">
        <v>1180000</v>
      </c>
      <c r="N160" s="6" t="s">
        <v>46</v>
      </c>
      <c r="O160" s="8">
        <v>43103</v>
      </c>
      <c r="Q160">
        <f>Table39[[#This Row],[AGREEMENT VALUE OF UNIT]]-Table39[[#This Row],[AMOUNT RECEIVED TILL DATE]]</f>
        <v>0</v>
      </c>
    </row>
    <row r="161" spans="2:17" x14ac:dyDescent="0.25">
      <c r="B161" s="5">
        <f t="shared" si="2"/>
        <v>159</v>
      </c>
      <c r="C161" s="6" t="s">
        <v>800</v>
      </c>
      <c r="D161" s="6" t="s">
        <v>191</v>
      </c>
      <c r="E161" s="6" t="s">
        <v>801</v>
      </c>
      <c r="F161" s="6">
        <v>550</v>
      </c>
      <c r="G161" s="6" t="s">
        <v>26</v>
      </c>
      <c r="H161" s="6"/>
      <c r="I161" s="6"/>
      <c r="J161" s="6"/>
      <c r="K161" s="7">
        <v>40917</v>
      </c>
      <c r="L161" s="6">
        <v>1193000</v>
      </c>
      <c r="M161" s="6">
        <v>1193000</v>
      </c>
      <c r="N161" s="6" t="s">
        <v>27</v>
      </c>
      <c r="O161" s="8">
        <v>43103</v>
      </c>
      <c r="Q161">
        <f>Table39[[#This Row],[AGREEMENT VALUE OF UNIT]]-Table39[[#This Row],[AMOUNT RECEIVED TILL DATE]]</f>
        <v>0</v>
      </c>
    </row>
    <row r="162" spans="2:17" x14ac:dyDescent="0.25">
      <c r="B162" s="5">
        <f t="shared" si="2"/>
        <v>160</v>
      </c>
      <c r="C162" s="6" t="s">
        <v>649</v>
      </c>
      <c r="D162" s="6" t="s">
        <v>191</v>
      </c>
      <c r="E162" s="6" t="s">
        <v>802</v>
      </c>
      <c r="F162" s="6">
        <v>550</v>
      </c>
      <c r="G162" s="6" t="s">
        <v>26</v>
      </c>
      <c r="H162" s="6"/>
      <c r="I162" s="6"/>
      <c r="J162" s="6"/>
      <c r="K162" s="7">
        <v>40939</v>
      </c>
      <c r="L162" s="6">
        <v>1250000</v>
      </c>
      <c r="M162" s="6">
        <v>1250000</v>
      </c>
      <c r="N162" s="6" t="s">
        <v>27</v>
      </c>
      <c r="O162" s="8">
        <v>43103</v>
      </c>
      <c r="Q162">
        <f>Table39[[#This Row],[AGREEMENT VALUE OF UNIT]]-Table39[[#This Row],[AMOUNT RECEIVED TILL DATE]]</f>
        <v>0</v>
      </c>
    </row>
    <row r="163" spans="2:17" x14ac:dyDescent="0.25">
      <c r="B163" s="5">
        <f t="shared" si="2"/>
        <v>161</v>
      </c>
      <c r="C163" s="6" t="s">
        <v>803</v>
      </c>
      <c r="D163" s="6" t="s">
        <v>191</v>
      </c>
      <c r="E163" s="6" t="s">
        <v>804</v>
      </c>
      <c r="F163" s="6">
        <v>550</v>
      </c>
      <c r="G163" s="6" t="s">
        <v>26</v>
      </c>
      <c r="H163" s="6"/>
      <c r="I163" s="6"/>
      <c r="J163" s="6"/>
      <c r="K163" s="7">
        <v>41199</v>
      </c>
      <c r="L163" s="6">
        <v>1522800</v>
      </c>
      <c r="M163" s="6">
        <v>1522800</v>
      </c>
      <c r="N163" s="6" t="s">
        <v>30</v>
      </c>
      <c r="O163" s="8">
        <v>43103</v>
      </c>
      <c r="Q163">
        <f>Table39[[#This Row],[AGREEMENT VALUE OF UNIT]]-Table39[[#This Row],[AMOUNT RECEIVED TILL DATE]]</f>
        <v>0</v>
      </c>
    </row>
    <row r="164" spans="2:17" x14ac:dyDescent="0.25">
      <c r="B164" s="5">
        <f t="shared" si="2"/>
        <v>162</v>
      </c>
      <c r="C164" s="6" t="s">
        <v>805</v>
      </c>
      <c r="D164" s="6" t="s">
        <v>191</v>
      </c>
      <c r="E164" s="6" t="s">
        <v>806</v>
      </c>
      <c r="F164" s="6">
        <v>550</v>
      </c>
      <c r="G164" s="6" t="s">
        <v>26</v>
      </c>
      <c r="H164" s="6"/>
      <c r="I164" s="6"/>
      <c r="J164" s="6"/>
      <c r="K164" s="7">
        <v>41940</v>
      </c>
      <c r="L164" s="6">
        <v>1901200</v>
      </c>
      <c r="M164" s="6">
        <v>1901200</v>
      </c>
      <c r="N164" s="6" t="s">
        <v>46</v>
      </c>
      <c r="O164" s="8">
        <v>43103</v>
      </c>
      <c r="Q164">
        <f>Table39[[#This Row],[AGREEMENT VALUE OF UNIT]]-Table39[[#This Row],[AMOUNT RECEIVED TILL DATE]]</f>
        <v>0</v>
      </c>
    </row>
    <row r="165" spans="2:17" x14ac:dyDescent="0.25">
      <c r="B165" s="5">
        <f t="shared" si="2"/>
        <v>163</v>
      </c>
      <c r="C165" s="6" t="s">
        <v>807</v>
      </c>
      <c r="D165" s="6" t="s">
        <v>191</v>
      </c>
      <c r="E165" s="6" t="s">
        <v>808</v>
      </c>
      <c r="F165" s="6">
        <v>550</v>
      </c>
      <c r="G165" s="6" t="s">
        <v>26</v>
      </c>
      <c r="H165" s="6"/>
      <c r="I165" s="6"/>
      <c r="J165" s="6"/>
      <c r="K165" s="7">
        <v>40938</v>
      </c>
      <c r="L165" s="6">
        <v>1144600</v>
      </c>
      <c r="M165" s="6">
        <v>1144600</v>
      </c>
      <c r="N165" s="6" t="s">
        <v>144</v>
      </c>
      <c r="O165" s="8">
        <v>43103</v>
      </c>
      <c r="Q165">
        <f>Table39[[#This Row],[AGREEMENT VALUE OF UNIT]]-Table39[[#This Row],[AMOUNT RECEIVED TILL DATE]]</f>
        <v>0</v>
      </c>
    </row>
    <row r="166" spans="2:17" x14ac:dyDescent="0.25">
      <c r="B166" s="5">
        <f t="shared" si="2"/>
        <v>164</v>
      </c>
      <c r="C166" s="6" t="s">
        <v>809</v>
      </c>
      <c r="D166" s="6" t="s">
        <v>191</v>
      </c>
      <c r="E166" s="6" t="s">
        <v>810</v>
      </c>
      <c r="F166" s="6">
        <v>550</v>
      </c>
      <c r="G166" s="6" t="s">
        <v>26</v>
      </c>
      <c r="H166" s="6"/>
      <c r="I166" s="6"/>
      <c r="J166" s="6"/>
      <c r="K166" s="7">
        <v>42794</v>
      </c>
      <c r="L166" s="6">
        <v>1723800</v>
      </c>
      <c r="M166" s="6">
        <v>1723800</v>
      </c>
      <c r="N166" s="6" t="s">
        <v>46</v>
      </c>
      <c r="O166" s="8">
        <v>43103</v>
      </c>
      <c r="Q166">
        <f>Table39[[#This Row],[AGREEMENT VALUE OF UNIT]]-Table39[[#This Row],[AMOUNT RECEIVED TILL DATE]]</f>
        <v>0</v>
      </c>
    </row>
    <row r="167" spans="2:17" x14ac:dyDescent="0.25">
      <c r="B167" s="5">
        <f t="shared" si="2"/>
        <v>165</v>
      </c>
      <c r="C167" s="6" t="s">
        <v>811</v>
      </c>
      <c r="D167" s="6" t="s">
        <v>191</v>
      </c>
      <c r="E167" s="6" t="s">
        <v>812</v>
      </c>
      <c r="F167" s="6">
        <v>550</v>
      </c>
      <c r="G167" s="6" t="s">
        <v>26</v>
      </c>
      <c r="H167" s="6"/>
      <c r="I167" s="6"/>
      <c r="J167" s="6"/>
      <c r="K167" s="7">
        <v>40940</v>
      </c>
      <c r="L167" s="6">
        <v>1210000</v>
      </c>
      <c r="M167" s="6">
        <v>1210000</v>
      </c>
      <c r="N167" s="6" t="s">
        <v>46</v>
      </c>
      <c r="O167" s="8">
        <v>43103</v>
      </c>
      <c r="Q167">
        <f>Table39[[#This Row],[AGREEMENT VALUE OF UNIT]]-Table39[[#This Row],[AMOUNT RECEIVED TILL DATE]]</f>
        <v>0</v>
      </c>
    </row>
    <row r="168" spans="2:17" x14ac:dyDescent="0.25">
      <c r="B168" s="5">
        <f t="shared" si="2"/>
        <v>166</v>
      </c>
      <c r="C168" s="6" t="s">
        <v>813</v>
      </c>
      <c r="D168" s="6" t="s">
        <v>191</v>
      </c>
      <c r="E168" s="6" t="s">
        <v>814</v>
      </c>
      <c r="F168" s="6">
        <v>550</v>
      </c>
      <c r="G168" s="6" t="s">
        <v>26</v>
      </c>
      <c r="H168" s="6"/>
      <c r="I168" s="6"/>
      <c r="J168" s="6"/>
      <c r="K168" s="7">
        <v>42302</v>
      </c>
      <c r="L168" s="6">
        <v>1791500</v>
      </c>
      <c r="M168" s="6">
        <v>1791500</v>
      </c>
      <c r="N168" s="6" t="s">
        <v>46</v>
      </c>
      <c r="O168" s="8">
        <v>43103</v>
      </c>
      <c r="Q168">
        <f>Table39[[#This Row],[AGREEMENT VALUE OF UNIT]]-Table39[[#This Row],[AMOUNT RECEIVED TILL DATE]]</f>
        <v>0</v>
      </c>
    </row>
    <row r="169" spans="2:17" x14ac:dyDescent="0.25">
      <c r="B169" s="5">
        <f t="shared" si="2"/>
        <v>167</v>
      </c>
      <c r="C169" s="6" t="s">
        <v>815</v>
      </c>
      <c r="D169" s="6" t="s">
        <v>191</v>
      </c>
      <c r="E169" s="6" t="s">
        <v>816</v>
      </c>
      <c r="F169" s="6">
        <v>550</v>
      </c>
      <c r="G169" s="6" t="s">
        <v>26</v>
      </c>
      <c r="H169" s="6"/>
      <c r="I169" s="6"/>
      <c r="J169" s="6"/>
      <c r="K169" s="7">
        <v>40979</v>
      </c>
      <c r="L169" s="6">
        <v>1210000</v>
      </c>
      <c r="M169" s="6">
        <v>1210000</v>
      </c>
      <c r="N169" s="6" t="s">
        <v>27</v>
      </c>
      <c r="O169" s="8">
        <v>43103</v>
      </c>
      <c r="Q169">
        <f>Table39[[#This Row],[AGREEMENT VALUE OF UNIT]]-Table39[[#This Row],[AMOUNT RECEIVED TILL DATE]]</f>
        <v>0</v>
      </c>
    </row>
    <row r="170" spans="2:17" x14ac:dyDescent="0.25">
      <c r="B170" s="5">
        <f t="shared" si="2"/>
        <v>168</v>
      </c>
      <c r="C170" s="6" t="s">
        <v>817</v>
      </c>
      <c r="D170" s="6" t="s">
        <v>191</v>
      </c>
      <c r="E170" s="6" t="s">
        <v>818</v>
      </c>
      <c r="F170" s="6">
        <v>550</v>
      </c>
      <c r="G170" s="6" t="s">
        <v>26</v>
      </c>
      <c r="H170" s="6"/>
      <c r="I170" s="6"/>
      <c r="J170" s="6"/>
      <c r="K170" s="7">
        <v>40945</v>
      </c>
      <c r="L170" s="6">
        <v>1151500</v>
      </c>
      <c r="M170" s="6">
        <v>1151500</v>
      </c>
      <c r="N170" s="6" t="s">
        <v>30</v>
      </c>
      <c r="O170" s="8">
        <v>43103</v>
      </c>
      <c r="Q170">
        <f>Table39[[#This Row],[AGREEMENT VALUE OF UNIT]]-Table39[[#This Row],[AMOUNT RECEIVED TILL DATE]]</f>
        <v>0</v>
      </c>
    </row>
    <row r="171" spans="2:17" x14ac:dyDescent="0.25">
      <c r="B171" s="5">
        <f t="shared" si="2"/>
        <v>169</v>
      </c>
      <c r="C171" s="6" t="s">
        <v>819</v>
      </c>
      <c r="D171" s="6" t="s">
        <v>191</v>
      </c>
      <c r="E171" s="6" t="s">
        <v>820</v>
      </c>
      <c r="F171" s="6">
        <v>550</v>
      </c>
      <c r="G171" s="6" t="s">
        <v>26</v>
      </c>
      <c r="H171" s="6"/>
      <c r="I171" s="6"/>
      <c r="J171" s="6"/>
      <c r="K171" s="7">
        <v>40892</v>
      </c>
      <c r="L171" s="6">
        <v>1115000</v>
      </c>
      <c r="M171" s="6">
        <v>1115000</v>
      </c>
      <c r="N171" s="6" t="s">
        <v>27</v>
      </c>
      <c r="O171" s="8">
        <v>43103</v>
      </c>
      <c r="Q171">
        <f>Table39[[#This Row],[AGREEMENT VALUE OF UNIT]]-Table39[[#This Row],[AMOUNT RECEIVED TILL DATE]]</f>
        <v>0</v>
      </c>
    </row>
    <row r="172" spans="2:17" x14ac:dyDescent="0.25">
      <c r="B172" s="5">
        <f t="shared" si="2"/>
        <v>170</v>
      </c>
      <c r="C172" s="6" t="s">
        <v>821</v>
      </c>
      <c r="D172" s="6" t="s">
        <v>191</v>
      </c>
      <c r="E172" s="6" t="s">
        <v>822</v>
      </c>
      <c r="F172" s="6">
        <v>550</v>
      </c>
      <c r="G172" s="6" t="s">
        <v>26</v>
      </c>
      <c r="H172" s="6"/>
      <c r="I172" s="6"/>
      <c r="J172" s="6"/>
      <c r="K172" s="7">
        <v>41005</v>
      </c>
      <c r="L172" s="6">
        <v>1318800</v>
      </c>
      <c r="M172" s="6">
        <v>1318800</v>
      </c>
      <c r="N172" s="6" t="s">
        <v>30</v>
      </c>
      <c r="O172" s="8">
        <v>43103</v>
      </c>
      <c r="Q172">
        <f>Table39[[#This Row],[AGREEMENT VALUE OF UNIT]]-Table39[[#This Row],[AMOUNT RECEIVED TILL DATE]]</f>
        <v>0</v>
      </c>
    </row>
    <row r="173" spans="2:17" x14ac:dyDescent="0.25">
      <c r="B173" s="5">
        <f t="shared" si="2"/>
        <v>171</v>
      </c>
      <c r="C173" s="6" t="s">
        <v>823</v>
      </c>
      <c r="D173" s="6" t="s">
        <v>191</v>
      </c>
      <c r="E173" s="6" t="s">
        <v>824</v>
      </c>
      <c r="F173" s="6">
        <v>550</v>
      </c>
      <c r="G173" s="6" t="s">
        <v>26</v>
      </c>
      <c r="H173" s="6"/>
      <c r="I173" s="6"/>
      <c r="J173" s="6"/>
      <c r="K173" s="7">
        <v>40922</v>
      </c>
      <c r="L173" s="6">
        <v>1155000</v>
      </c>
      <c r="M173" s="6">
        <v>1155000</v>
      </c>
      <c r="N173" s="6" t="s">
        <v>27</v>
      </c>
      <c r="O173" s="8">
        <v>43103</v>
      </c>
      <c r="Q173">
        <f>Table39[[#This Row],[AGREEMENT VALUE OF UNIT]]-Table39[[#This Row],[AMOUNT RECEIVED TILL DATE]]</f>
        <v>0</v>
      </c>
    </row>
    <row r="174" spans="2:17" x14ac:dyDescent="0.25">
      <c r="B174" s="5">
        <f t="shared" si="2"/>
        <v>172</v>
      </c>
      <c r="C174" s="6" t="s">
        <v>825</v>
      </c>
      <c r="D174" s="6" t="s">
        <v>191</v>
      </c>
      <c r="E174" s="6" t="s">
        <v>826</v>
      </c>
      <c r="F174" s="6">
        <v>550</v>
      </c>
      <c r="G174" s="6" t="s">
        <v>26</v>
      </c>
      <c r="H174" s="6"/>
      <c r="I174" s="6"/>
      <c r="J174" s="6"/>
      <c r="K174" s="7">
        <v>40904</v>
      </c>
      <c r="L174" s="6">
        <v>1090000</v>
      </c>
      <c r="M174" s="6">
        <v>1090000</v>
      </c>
      <c r="N174" s="6" t="s">
        <v>30</v>
      </c>
      <c r="O174" s="8">
        <v>43103</v>
      </c>
      <c r="Q174">
        <f>Table39[[#This Row],[AGREEMENT VALUE OF UNIT]]-Table39[[#This Row],[AMOUNT RECEIVED TILL DATE]]</f>
        <v>0</v>
      </c>
    </row>
    <row r="175" spans="2:17" x14ac:dyDescent="0.25">
      <c r="B175" s="5">
        <f t="shared" si="2"/>
        <v>173</v>
      </c>
      <c r="C175" s="6" t="s">
        <v>827</v>
      </c>
      <c r="D175" s="6" t="s">
        <v>191</v>
      </c>
      <c r="E175" s="6" t="s">
        <v>828</v>
      </c>
      <c r="F175" s="6">
        <v>550</v>
      </c>
      <c r="G175" s="6" t="s">
        <v>26</v>
      </c>
      <c r="H175" s="6"/>
      <c r="I175" s="6"/>
      <c r="J175" s="6"/>
      <c r="K175" s="7">
        <v>41162</v>
      </c>
      <c r="L175" s="6">
        <v>1335500</v>
      </c>
      <c r="M175" s="6">
        <v>1335500</v>
      </c>
      <c r="N175" s="6" t="s">
        <v>30</v>
      </c>
      <c r="O175" s="8">
        <v>43103</v>
      </c>
      <c r="Q175">
        <f>Table39[[#This Row],[AGREEMENT VALUE OF UNIT]]-Table39[[#This Row],[AMOUNT RECEIVED TILL DATE]]</f>
        <v>0</v>
      </c>
    </row>
    <row r="176" spans="2:17" x14ac:dyDescent="0.25">
      <c r="B176" s="5">
        <f t="shared" si="2"/>
        <v>174</v>
      </c>
      <c r="C176" s="6" t="s">
        <v>829</v>
      </c>
      <c r="D176" s="6" t="s">
        <v>191</v>
      </c>
      <c r="E176" s="6" t="s">
        <v>830</v>
      </c>
      <c r="F176" s="6">
        <v>550</v>
      </c>
      <c r="G176" s="6" t="s">
        <v>26</v>
      </c>
      <c r="H176" s="6"/>
      <c r="I176" s="6"/>
      <c r="J176" s="6"/>
      <c r="K176" s="7">
        <v>40904</v>
      </c>
      <c r="L176" s="6">
        <v>1090000</v>
      </c>
      <c r="M176" s="6">
        <v>1090000</v>
      </c>
      <c r="N176" s="6" t="s">
        <v>30</v>
      </c>
      <c r="O176" s="8">
        <v>43103</v>
      </c>
      <c r="Q176">
        <f>Table39[[#This Row],[AGREEMENT VALUE OF UNIT]]-Table39[[#This Row],[AMOUNT RECEIVED TILL DATE]]</f>
        <v>0</v>
      </c>
    </row>
    <row r="177" spans="2:17" x14ac:dyDescent="0.25">
      <c r="B177" s="5">
        <f t="shared" si="2"/>
        <v>175</v>
      </c>
      <c r="C177" s="6" t="s">
        <v>831</v>
      </c>
      <c r="D177" s="6" t="s">
        <v>191</v>
      </c>
      <c r="E177" s="6" t="s">
        <v>832</v>
      </c>
      <c r="F177" s="6">
        <v>550</v>
      </c>
      <c r="G177" s="6" t="s">
        <v>26</v>
      </c>
      <c r="H177" s="6"/>
      <c r="I177" s="6"/>
      <c r="J177" s="6"/>
      <c r="K177" s="7">
        <v>40993</v>
      </c>
      <c r="L177" s="6">
        <v>1224600</v>
      </c>
      <c r="M177" s="6">
        <v>1224600</v>
      </c>
      <c r="N177" s="6" t="s">
        <v>30</v>
      </c>
      <c r="O177" s="8">
        <v>43103</v>
      </c>
      <c r="Q177">
        <f>Table39[[#This Row],[AGREEMENT VALUE OF UNIT]]-Table39[[#This Row],[AMOUNT RECEIVED TILL DATE]]</f>
        <v>0</v>
      </c>
    </row>
    <row r="178" spans="2:17" x14ac:dyDescent="0.25">
      <c r="B178" s="5">
        <f t="shared" si="2"/>
        <v>176</v>
      </c>
      <c r="C178" s="6" t="s">
        <v>833</v>
      </c>
      <c r="D178" s="6" t="s">
        <v>191</v>
      </c>
      <c r="E178" s="6" t="s">
        <v>834</v>
      </c>
      <c r="F178" s="6">
        <v>550</v>
      </c>
      <c r="G178" s="6" t="s">
        <v>26</v>
      </c>
      <c r="H178" s="6"/>
      <c r="I178" s="6"/>
      <c r="J178" s="6"/>
      <c r="K178" s="7">
        <v>40917</v>
      </c>
      <c r="L178" s="6">
        <v>1084800</v>
      </c>
      <c r="M178" s="6">
        <v>1084800</v>
      </c>
      <c r="N178" s="6" t="s">
        <v>39</v>
      </c>
      <c r="O178" s="8">
        <v>43103</v>
      </c>
      <c r="Q178">
        <f>Table39[[#This Row],[AGREEMENT VALUE OF UNIT]]-Table39[[#This Row],[AMOUNT RECEIVED TILL DATE]]</f>
        <v>0</v>
      </c>
    </row>
    <row r="179" spans="2:17" x14ac:dyDescent="0.25">
      <c r="B179" s="5">
        <f t="shared" si="2"/>
        <v>177</v>
      </c>
      <c r="C179" s="6" t="s">
        <v>835</v>
      </c>
      <c r="D179" s="6" t="s">
        <v>191</v>
      </c>
      <c r="E179" s="6" t="s">
        <v>836</v>
      </c>
      <c r="F179" s="6">
        <v>550</v>
      </c>
      <c r="G179" s="6" t="s">
        <v>26</v>
      </c>
      <c r="H179" s="6"/>
      <c r="I179" s="6"/>
      <c r="J179" s="6"/>
      <c r="K179" s="7">
        <v>40874</v>
      </c>
      <c r="L179" s="6">
        <v>1126100</v>
      </c>
      <c r="M179" s="6">
        <v>1126100</v>
      </c>
      <c r="N179" s="6" t="s">
        <v>30</v>
      </c>
      <c r="O179" s="8">
        <v>43103</v>
      </c>
      <c r="Q179">
        <f>Table39[[#This Row],[AGREEMENT VALUE OF UNIT]]-Table39[[#This Row],[AMOUNT RECEIVED TILL DATE]]</f>
        <v>0</v>
      </c>
    </row>
    <row r="180" spans="2:17" x14ac:dyDescent="0.25">
      <c r="B180" s="5">
        <f t="shared" si="2"/>
        <v>178</v>
      </c>
      <c r="C180" s="6" t="s">
        <v>837</v>
      </c>
      <c r="D180" s="6" t="s">
        <v>191</v>
      </c>
      <c r="E180" s="6" t="s">
        <v>838</v>
      </c>
      <c r="F180" s="6">
        <v>550</v>
      </c>
      <c r="G180" s="6" t="s">
        <v>26</v>
      </c>
      <c r="H180" s="6"/>
      <c r="I180" s="6"/>
      <c r="J180" s="6"/>
      <c r="K180" s="7">
        <v>41015</v>
      </c>
      <c r="L180" s="6">
        <v>1185975</v>
      </c>
      <c r="M180" s="6">
        <v>1185975</v>
      </c>
      <c r="N180" s="6" t="s">
        <v>30</v>
      </c>
      <c r="O180" s="8">
        <v>43103</v>
      </c>
      <c r="Q180">
        <f>Table39[[#This Row],[AGREEMENT VALUE OF UNIT]]-Table39[[#This Row],[AMOUNT RECEIVED TILL DATE]]</f>
        <v>0</v>
      </c>
    </row>
    <row r="181" spans="2:17" x14ac:dyDescent="0.25">
      <c r="B181" s="5">
        <f t="shared" si="2"/>
        <v>179</v>
      </c>
      <c r="C181" s="6" t="s">
        <v>839</v>
      </c>
      <c r="D181" s="6" t="s">
        <v>191</v>
      </c>
      <c r="E181" s="6" t="s">
        <v>840</v>
      </c>
      <c r="F181" s="6">
        <v>550</v>
      </c>
      <c r="G181" s="6" t="s">
        <v>26</v>
      </c>
      <c r="H181" s="6"/>
      <c r="I181" s="6"/>
      <c r="J181" s="6"/>
      <c r="K181" s="7">
        <v>40991</v>
      </c>
      <c r="L181" s="6">
        <v>1234800</v>
      </c>
      <c r="M181" s="6">
        <v>1234800</v>
      </c>
      <c r="N181" s="6" t="s">
        <v>30</v>
      </c>
      <c r="O181" s="8">
        <v>43103</v>
      </c>
      <c r="Q181">
        <f>Table39[[#This Row],[AGREEMENT VALUE OF UNIT]]-Table39[[#This Row],[AMOUNT RECEIVED TILL DATE]]</f>
        <v>0</v>
      </c>
    </row>
    <row r="182" spans="2:17" x14ac:dyDescent="0.25">
      <c r="B182" s="5">
        <f t="shared" si="2"/>
        <v>180</v>
      </c>
      <c r="C182" s="6" t="s">
        <v>841</v>
      </c>
      <c r="D182" s="6" t="s">
        <v>191</v>
      </c>
      <c r="E182" s="6" t="s">
        <v>842</v>
      </c>
      <c r="F182" s="6">
        <v>550</v>
      </c>
      <c r="G182" s="6" t="s">
        <v>26</v>
      </c>
      <c r="H182" s="6"/>
      <c r="I182" s="6"/>
      <c r="J182" s="6"/>
      <c r="K182" s="7">
        <v>40967</v>
      </c>
      <c r="L182" s="6">
        <v>1152000</v>
      </c>
      <c r="M182" s="6">
        <v>1152000</v>
      </c>
      <c r="N182" s="6" t="s">
        <v>500</v>
      </c>
      <c r="O182" s="8">
        <v>43103</v>
      </c>
      <c r="Q182">
        <f>Table39[[#This Row],[AGREEMENT VALUE OF UNIT]]-Table39[[#This Row],[AMOUNT RECEIVED TILL DATE]]</f>
        <v>0</v>
      </c>
    </row>
    <row r="183" spans="2:17" x14ac:dyDescent="0.25">
      <c r="B183" s="5">
        <f t="shared" si="2"/>
        <v>181</v>
      </c>
      <c r="C183" s="6" t="s">
        <v>843</v>
      </c>
      <c r="D183" s="6" t="s">
        <v>191</v>
      </c>
      <c r="E183" s="6" t="s">
        <v>844</v>
      </c>
      <c r="F183" s="6">
        <v>550</v>
      </c>
      <c r="G183" s="6" t="s">
        <v>26</v>
      </c>
      <c r="H183" s="6"/>
      <c r="I183" s="6"/>
      <c r="J183" s="6"/>
      <c r="K183" s="7">
        <v>40967</v>
      </c>
      <c r="L183" s="6">
        <v>1152000</v>
      </c>
      <c r="M183" s="6">
        <v>1152000</v>
      </c>
      <c r="N183" s="6" t="s">
        <v>57</v>
      </c>
      <c r="O183" s="8">
        <v>43103</v>
      </c>
      <c r="Q183">
        <f>Table39[[#This Row],[AGREEMENT VALUE OF UNIT]]-Table39[[#This Row],[AMOUNT RECEIVED TILL DATE]]</f>
        <v>0</v>
      </c>
    </row>
    <row r="184" spans="2:17" x14ac:dyDescent="0.25">
      <c r="B184" s="5">
        <f t="shared" si="2"/>
        <v>182</v>
      </c>
      <c r="C184" s="6" t="s">
        <v>845</v>
      </c>
      <c r="D184" s="6" t="s">
        <v>191</v>
      </c>
      <c r="E184" s="6" t="s">
        <v>846</v>
      </c>
      <c r="F184" s="6">
        <v>550</v>
      </c>
      <c r="G184" s="6" t="s">
        <v>26</v>
      </c>
      <c r="H184" s="6"/>
      <c r="I184" s="6"/>
      <c r="J184" s="6"/>
      <c r="K184" s="7">
        <v>41038</v>
      </c>
      <c r="L184" s="6">
        <v>1185975</v>
      </c>
      <c r="M184" s="6">
        <v>1185975</v>
      </c>
      <c r="N184" s="6" t="s">
        <v>27</v>
      </c>
      <c r="O184" s="8">
        <v>43103</v>
      </c>
      <c r="Q184">
        <f>Table39[[#This Row],[AGREEMENT VALUE OF UNIT]]-Table39[[#This Row],[AMOUNT RECEIVED TILL DATE]]</f>
        <v>0</v>
      </c>
    </row>
    <row r="185" spans="2:17" x14ac:dyDescent="0.25">
      <c r="B185" s="5">
        <f t="shared" si="2"/>
        <v>183</v>
      </c>
      <c r="C185" s="6" t="s">
        <v>847</v>
      </c>
      <c r="D185" s="6" t="s">
        <v>191</v>
      </c>
      <c r="E185" s="6" t="s">
        <v>848</v>
      </c>
      <c r="F185" s="6">
        <v>550</v>
      </c>
      <c r="G185" s="6" t="s">
        <v>26</v>
      </c>
      <c r="H185" s="6"/>
      <c r="I185" s="6"/>
      <c r="J185" s="6"/>
      <c r="K185" s="7">
        <v>40959</v>
      </c>
      <c r="L185" s="6">
        <v>1170000</v>
      </c>
      <c r="M185" s="6">
        <v>1170000</v>
      </c>
      <c r="N185" s="6" t="s">
        <v>27</v>
      </c>
      <c r="O185" s="8">
        <v>43103</v>
      </c>
      <c r="Q185">
        <f>Table39[[#This Row],[AGREEMENT VALUE OF UNIT]]-Table39[[#This Row],[AMOUNT RECEIVED TILL DATE]]</f>
        <v>0</v>
      </c>
    </row>
    <row r="186" spans="2:17" x14ac:dyDescent="0.25">
      <c r="B186" s="5">
        <f t="shared" si="2"/>
        <v>184</v>
      </c>
      <c r="C186" s="6" t="s">
        <v>849</v>
      </c>
      <c r="D186" s="6" t="s">
        <v>191</v>
      </c>
      <c r="E186" s="6" t="s">
        <v>850</v>
      </c>
      <c r="F186" s="6">
        <v>550</v>
      </c>
      <c r="G186" s="6" t="s">
        <v>26</v>
      </c>
      <c r="H186" s="6"/>
      <c r="I186" s="6"/>
      <c r="J186" s="6"/>
      <c r="K186" s="7">
        <v>41038</v>
      </c>
      <c r="L186" s="6">
        <v>1185975</v>
      </c>
      <c r="M186" s="6">
        <v>1185975</v>
      </c>
      <c r="N186" s="6" t="s">
        <v>27</v>
      </c>
      <c r="O186" s="8">
        <v>43103</v>
      </c>
      <c r="Q186">
        <f>Table39[[#This Row],[AGREEMENT VALUE OF UNIT]]-Table39[[#This Row],[AMOUNT RECEIVED TILL DATE]]</f>
        <v>0</v>
      </c>
    </row>
    <row r="187" spans="2:17" x14ac:dyDescent="0.25">
      <c r="B187" s="5">
        <f t="shared" si="2"/>
        <v>185</v>
      </c>
      <c r="C187" s="6" t="s">
        <v>851</v>
      </c>
      <c r="D187" s="6" t="s">
        <v>191</v>
      </c>
      <c r="E187" s="6" t="s">
        <v>852</v>
      </c>
      <c r="F187" s="6">
        <v>550</v>
      </c>
      <c r="G187" s="6" t="s">
        <v>26</v>
      </c>
      <c r="H187" s="6"/>
      <c r="I187" s="6"/>
      <c r="J187" s="6"/>
      <c r="K187" s="7">
        <v>41930</v>
      </c>
      <c r="L187" s="6">
        <v>1816000</v>
      </c>
      <c r="M187" s="6">
        <v>1816000</v>
      </c>
      <c r="N187" s="6" t="s">
        <v>46</v>
      </c>
      <c r="O187" s="8">
        <v>43103</v>
      </c>
      <c r="Q187">
        <f>Table39[[#This Row],[AGREEMENT VALUE OF UNIT]]-Table39[[#This Row],[AMOUNT RECEIVED TILL DATE]]</f>
        <v>0</v>
      </c>
    </row>
    <row r="188" spans="2:17" x14ac:dyDescent="0.25">
      <c r="B188" s="5">
        <f t="shared" si="2"/>
        <v>186</v>
      </c>
      <c r="C188" s="6" t="s">
        <v>853</v>
      </c>
      <c r="D188" s="6" t="s">
        <v>191</v>
      </c>
      <c r="E188" s="6" t="s">
        <v>854</v>
      </c>
      <c r="F188" s="6">
        <v>550</v>
      </c>
      <c r="G188" s="6" t="s">
        <v>26</v>
      </c>
      <c r="H188" s="6"/>
      <c r="I188" s="6"/>
      <c r="J188" s="6"/>
      <c r="K188" s="7">
        <v>41038</v>
      </c>
      <c r="L188" s="6">
        <v>1185975</v>
      </c>
      <c r="M188" s="6">
        <v>1185975</v>
      </c>
      <c r="N188" s="6" t="s">
        <v>27</v>
      </c>
      <c r="O188" s="8">
        <v>43103</v>
      </c>
      <c r="Q188">
        <f>Table39[[#This Row],[AGREEMENT VALUE OF UNIT]]-Table39[[#This Row],[AMOUNT RECEIVED TILL DATE]]</f>
        <v>0</v>
      </c>
    </row>
    <row r="189" spans="2:17" x14ac:dyDescent="0.25">
      <c r="B189" s="5">
        <f t="shared" si="2"/>
        <v>187</v>
      </c>
      <c r="C189" s="6" t="s">
        <v>855</v>
      </c>
      <c r="D189" s="6" t="s">
        <v>191</v>
      </c>
      <c r="E189" s="6" t="s">
        <v>856</v>
      </c>
      <c r="F189" s="6">
        <v>550</v>
      </c>
      <c r="G189" s="6" t="s">
        <v>113</v>
      </c>
      <c r="H189" s="6"/>
      <c r="I189" s="6"/>
      <c r="J189" s="6"/>
      <c r="K189" s="7">
        <v>42788</v>
      </c>
      <c r="L189" s="6">
        <v>1410000</v>
      </c>
      <c r="M189" s="6">
        <v>1410000</v>
      </c>
      <c r="N189" s="6" t="s">
        <v>416</v>
      </c>
      <c r="O189" s="8">
        <v>43103</v>
      </c>
      <c r="Q189">
        <f>Table39[[#This Row],[AGREEMENT VALUE OF UNIT]]-Table39[[#This Row],[AMOUNT RECEIVED TILL DATE]]</f>
        <v>0</v>
      </c>
    </row>
    <row r="190" spans="2:17" x14ac:dyDescent="0.25">
      <c r="B190" s="5">
        <f t="shared" si="2"/>
        <v>188</v>
      </c>
      <c r="C190" s="6" t="s">
        <v>857</v>
      </c>
      <c r="D190" s="6" t="s">
        <v>191</v>
      </c>
      <c r="E190" s="6" t="s">
        <v>858</v>
      </c>
      <c r="F190" s="6">
        <v>550</v>
      </c>
      <c r="G190" s="6" t="s">
        <v>26</v>
      </c>
      <c r="H190" s="6"/>
      <c r="I190" s="6"/>
      <c r="J190" s="6"/>
      <c r="K190" s="7">
        <v>41933</v>
      </c>
      <c r="L190" s="6">
        <v>1784800</v>
      </c>
      <c r="M190" s="6">
        <v>1784800</v>
      </c>
      <c r="N190" s="6" t="s">
        <v>144</v>
      </c>
      <c r="O190" s="8">
        <v>43103</v>
      </c>
      <c r="Q190">
        <f>Table39[[#This Row],[AGREEMENT VALUE OF UNIT]]-Table39[[#This Row],[AMOUNT RECEIVED TILL DATE]]</f>
        <v>0</v>
      </c>
    </row>
    <row r="191" spans="2:17" x14ac:dyDescent="0.25">
      <c r="B191" s="5">
        <f t="shared" si="2"/>
        <v>189</v>
      </c>
      <c r="C191" s="6" t="s">
        <v>859</v>
      </c>
      <c r="D191" s="6" t="s">
        <v>191</v>
      </c>
      <c r="E191" s="6" t="s">
        <v>860</v>
      </c>
      <c r="F191" s="6">
        <v>550</v>
      </c>
      <c r="G191" s="6" t="s">
        <v>26</v>
      </c>
      <c r="H191" s="6"/>
      <c r="I191" s="6"/>
      <c r="J191" s="6"/>
      <c r="K191" s="7">
        <v>40837</v>
      </c>
      <c r="L191" s="6">
        <v>1060000</v>
      </c>
      <c r="M191" s="6">
        <v>1060000</v>
      </c>
      <c r="N191" s="6" t="s">
        <v>144</v>
      </c>
      <c r="O191" s="8">
        <v>43103</v>
      </c>
      <c r="Q191">
        <f>Table39[[#This Row],[AGREEMENT VALUE OF UNIT]]-Table39[[#This Row],[AMOUNT RECEIVED TILL DATE]]</f>
        <v>0</v>
      </c>
    </row>
    <row r="192" spans="2:17" x14ac:dyDescent="0.25">
      <c r="B192" s="5">
        <f t="shared" si="2"/>
        <v>190</v>
      </c>
      <c r="C192" s="6" t="s">
        <v>861</v>
      </c>
      <c r="D192" s="6" t="s">
        <v>191</v>
      </c>
      <c r="E192" s="6" t="s">
        <v>862</v>
      </c>
      <c r="F192" s="6">
        <v>550</v>
      </c>
      <c r="G192" s="6" t="s">
        <v>26</v>
      </c>
      <c r="H192" s="6"/>
      <c r="I192" s="6"/>
      <c r="J192" s="6"/>
      <c r="K192" s="7">
        <v>42028</v>
      </c>
      <c r="L192" s="6">
        <v>1744600</v>
      </c>
      <c r="M192" s="6">
        <v>1744600</v>
      </c>
      <c r="N192" s="6" t="s">
        <v>46</v>
      </c>
      <c r="O192" s="8">
        <v>43103</v>
      </c>
      <c r="Q192">
        <f>Table39[[#This Row],[AGREEMENT VALUE OF UNIT]]-Table39[[#This Row],[AMOUNT RECEIVED TILL DATE]]</f>
        <v>0</v>
      </c>
    </row>
    <row r="193" spans="2:17" x14ac:dyDescent="0.25">
      <c r="B193" s="5">
        <f t="shared" si="2"/>
        <v>191</v>
      </c>
      <c r="C193" s="6" t="s">
        <v>863</v>
      </c>
      <c r="D193" s="6" t="s">
        <v>191</v>
      </c>
      <c r="E193" s="6" t="s">
        <v>864</v>
      </c>
      <c r="F193" s="6">
        <v>550</v>
      </c>
      <c r="G193" s="6" t="s">
        <v>26</v>
      </c>
      <c r="H193" s="6"/>
      <c r="I193" s="6"/>
      <c r="J193" s="6"/>
      <c r="K193" s="7">
        <v>40999</v>
      </c>
      <c r="L193" s="6">
        <v>1178175</v>
      </c>
      <c r="M193" s="6">
        <v>1178175</v>
      </c>
      <c r="N193" s="6" t="s">
        <v>27</v>
      </c>
      <c r="O193" s="8">
        <v>43103</v>
      </c>
      <c r="Q193">
        <f>Table39[[#This Row],[AGREEMENT VALUE OF UNIT]]-Table39[[#This Row],[AMOUNT RECEIVED TILL DATE]]</f>
        <v>0</v>
      </c>
    </row>
    <row r="194" spans="2:17" x14ac:dyDescent="0.25">
      <c r="B194" s="5">
        <f t="shared" si="2"/>
        <v>192</v>
      </c>
      <c r="C194" s="6" t="s">
        <v>865</v>
      </c>
      <c r="D194" s="6" t="s">
        <v>191</v>
      </c>
      <c r="E194" s="6" t="s">
        <v>866</v>
      </c>
      <c r="F194" s="6">
        <v>550</v>
      </c>
      <c r="G194" s="6" t="s">
        <v>26</v>
      </c>
      <c r="H194" s="6"/>
      <c r="I194" s="6"/>
      <c r="J194" s="6"/>
      <c r="K194" s="7">
        <v>40939</v>
      </c>
      <c r="L194" s="6">
        <v>1150000</v>
      </c>
      <c r="M194" s="6">
        <v>1150000</v>
      </c>
      <c r="N194" s="6" t="s">
        <v>30</v>
      </c>
      <c r="O194" s="8">
        <v>43103</v>
      </c>
      <c r="Q194">
        <f>Table39[[#This Row],[AGREEMENT VALUE OF UNIT]]-Table39[[#This Row],[AMOUNT RECEIVED TILL DATE]]</f>
        <v>0</v>
      </c>
    </row>
    <row r="195" spans="2:17" x14ac:dyDescent="0.25">
      <c r="B195" s="5">
        <f t="shared" si="2"/>
        <v>193</v>
      </c>
      <c r="C195" s="6" t="s">
        <v>867</v>
      </c>
      <c r="D195" s="6" t="s">
        <v>191</v>
      </c>
      <c r="E195" s="6" t="s">
        <v>868</v>
      </c>
      <c r="F195" s="6">
        <v>550</v>
      </c>
      <c r="G195" s="6" t="s">
        <v>113</v>
      </c>
      <c r="H195" s="6"/>
      <c r="I195" s="6"/>
      <c r="J195" s="6"/>
      <c r="K195" s="7">
        <v>42795</v>
      </c>
      <c r="L195" s="6">
        <v>1530000</v>
      </c>
      <c r="M195" s="6">
        <v>1530000</v>
      </c>
      <c r="N195" s="6" t="s">
        <v>46</v>
      </c>
      <c r="O195" s="8">
        <v>43103</v>
      </c>
      <c r="Q195">
        <f>Table39[[#This Row],[AGREEMENT VALUE OF UNIT]]-Table39[[#This Row],[AMOUNT RECEIVED TILL DATE]]</f>
        <v>0</v>
      </c>
    </row>
    <row r="196" spans="2:17" x14ac:dyDescent="0.25">
      <c r="B196" s="5">
        <f t="shared" ref="B196:B259" si="3">B195+1</f>
        <v>194</v>
      </c>
      <c r="C196" s="6" t="s">
        <v>869</v>
      </c>
      <c r="D196" s="6" t="s">
        <v>191</v>
      </c>
      <c r="E196" s="6" t="s">
        <v>870</v>
      </c>
      <c r="F196" s="6">
        <v>550</v>
      </c>
      <c r="G196" s="6" t="s">
        <v>26</v>
      </c>
      <c r="H196" s="6"/>
      <c r="I196" s="6"/>
      <c r="J196" s="6"/>
      <c r="K196" s="9"/>
      <c r="L196" s="6">
        <v>1030000</v>
      </c>
      <c r="M196" s="6">
        <v>1030000</v>
      </c>
      <c r="N196" s="6" t="s">
        <v>27</v>
      </c>
      <c r="O196" s="8">
        <v>43103</v>
      </c>
      <c r="Q196">
        <f>Table39[[#This Row],[AGREEMENT VALUE OF UNIT]]-Table39[[#This Row],[AMOUNT RECEIVED TILL DATE]]</f>
        <v>0</v>
      </c>
    </row>
    <row r="197" spans="2:17" x14ac:dyDescent="0.25">
      <c r="B197" s="5">
        <f t="shared" si="3"/>
        <v>195</v>
      </c>
      <c r="C197" s="6" t="s">
        <v>871</v>
      </c>
      <c r="D197" s="6" t="s">
        <v>191</v>
      </c>
      <c r="E197" s="6" t="s">
        <v>872</v>
      </c>
      <c r="F197" s="6">
        <v>550</v>
      </c>
      <c r="G197" s="6" t="s">
        <v>26</v>
      </c>
      <c r="H197" s="6"/>
      <c r="I197" s="6"/>
      <c r="J197" s="6"/>
      <c r="K197" s="7">
        <v>40838</v>
      </c>
      <c r="L197" s="6">
        <v>1060000</v>
      </c>
      <c r="M197" s="6">
        <v>1060000</v>
      </c>
      <c r="N197" s="6" t="s">
        <v>30</v>
      </c>
      <c r="O197" s="8">
        <v>43103</v>
      </c>
      <c r="Q197">
        <f>Table39[[#This Row],[AGREEMENT VALUE OF UNIT]]-Table39[[#This Row],[AMOUNT RECEIVED TILL DATE]]</f>
        <v>0</v>
      </c>
    </row>
    <row r="198" spans="2:17" x14ac:dyDescent="0.25">
      <c r="B198" s="5">
        <f t="shared" si="3"/>
        <v>196</v>
      </c>
      <c r="C198" s="6" t="s">
        <v>873</v>
      </c>
      <c r="D198" s="6" t="s">
        <v>191</v>
      </c>
      <c r="E198" s="6" t="s">
        <v>874</v>
      </c>
      <c r="F198" s="6">
        <v>550</v>
      </c>
      <c r="G198" s="6" t="s">
        <v>26</v>
      </c>
      <c r="H198" s="6"/>
      <c r="I198" s="6"/>
      <c r="J198" s="6"/>
      <c r="K198" s="7">
        <v>40849</v>
      </c>
      <c r="L198" s="6">
        <v>1030000</v>
      </c>
      <c r="M198" s="6">
        <v>1030000</v>
      </c>
      <c r="N198" s="6" t="s">
        <v>57</v>
      </c>
      <c r="O198" s="8">
        <v>43103</v>
      </c>
      <c r="Q198">
        <f>Table39[[#This Row],[AGREEMENT VALUE OF UNIT]]-Table39[[#This Row],[AMOUNT RECEIVED TILL DATE]]</f>
        <v>0</v>
      </c>
    </row>
    <row r="199" spans="2:17" x14ac:dyDescent="0.25">
      <c r="B199" s="5">
        <f t="shared" si="3"/>
        <v>197</v>
      </c>
      <c r="C199" s="6" t="s">
        <v>875</v>
      </c>
      <c r="D199" s="6" t="s">
        <v>191</v>
      </c>
      <c r="E199" s="6" t="s">
        <v>876</v>
      </c>
      <c r="F199" s="6">
        <v>550</v>
      </c>
      <c r="G199" s="6" t="s">
        <v>26</v>
      </c>
      <c r="H199" s="6"/>
      <c r="I199" s="6"/>
      <c r="J199" s="6"/>
      <c r="K199" s="7">
        <v>40939</v>
      </c>
      <c r="L199" s="6">
        <v>1180000</v>
      </c>
      <c r="M199" s="6">
        <v>1180000</v>
      </c>
      <c r="N199" s="6" t="s">
        <v>39</v>
      </c>
      <c r="O199" s="8">
        <v>43103</v>
      </c>
      <c r="Q199">
        <f>Table39[[#This Row],[AGREEMENT VALUE OF UNIT]]-Table39[[#This Row],[AMOUNT RECEIVED TILL DATE]]</f>
        <v>0</v>
      </c>
    </row>
    <row r="200" spans="2:17" x14ac:dyDescent="0.25">
      <c r="B200" s="5">
        <f t="shared" si="3"/>
        <v>198</v>
      </c>
      <c r="C200" s="6"/>
      <c r="D200" s="6" t="s">
        <v>191</v>
      </c>
      <c r="E200" s="6" t="s">
        <v>877</v>
      </c>
      <c r="F200" s="6">
        <v>550</v>
      </c>
      <c r="G200" s="6" t="s">
        <v>32</v>
      </c>
      <c r="H200" s="6"/>
      <c r="I200" s="6"/>
      <c r="J200" s="6"/>
      <c r="K200" s="7">
        <v>40849</v>
      </c>
      <c r="L200" s="6"/>
      <c r="M200" s="6"/>
      <c r="N200" s="6"/>
      <c r="O200" s="8"/>
      <c r="Q200">
        <f>Table39[[#This Row],[AGREEMENT VALUE OF UNIT]]-Table39[[#This Row],[AMOUNT RECEIVED TILL DATE]]</f>
        <v>0</v>
      </c>
    </row>
    <row r="201" spans="2:17" x14ac:dyDescent="0.25">
      <c r="B201" s="5">
        <f t="shared" si="3"/>
        <v>199</v>
      </c>
      <c r="C201" s="6" t="s">
        <v>878</v>
      </c>
      <c r="D201" s="6" t="s">
        <v>191</v>
      </c>
      <c r="E201" s="6" t="s">
        <v>879</v>
      </c>
      <c r="F201" s="6">
        <v>550</v>
      </c>
      <c r="G201" s="6" t="s">
        <v>26</v>
      </c>
      <c r="H201" s="6"/>
      <c r="I201" s="6"/>
      <c r="J201" s="6"/>
      <c r="K201" s="7">
        <v>40906</v>
      </c>
      <c r="L201" s="6">
        <v>1090000</v>
      </c>
      <c r="M201" s="6">
        <v>1090000</v>
      </c>
      <c r="N201" s="6" t="s">
        <v>57</v>
      </c>
      <c r="O201" s="8">
        <v>43103</v>
      </c>
      <c r="Q201">
        <f>Table39[[#This Row],[AGREEMENT VALUE OF UNIT]]-Table39[[#This Row],[AMOUNT RECEIVED TILL DATE]]</f>
        <v>0</v>
      </c>
    </row>
    <row r="202" spans="2:17" x14ac:dyDescent="0.25">
      <c r="B202" s="5">
        <f t="shared" si="3"/>
        <v>200</v>
      </c>
      <c r="C202" s="6" t="s">
        <v>190</v>
      </c>
      <c r="D202" s="6" t="s">
        <v>191</v>
      </c>
      <c r="E202" s="6" t="s">
        <v>192</v>
      </c>
      <c r="F202" s="6">
        <v>800</v>
      </c>
      <c r="G202" s="6" t="s">
        <v>26</v>
      </c>
      <c r="H202" s="6"/>
      <c r="I202" s="6"/>
      <c r="J202" s="6"/>
      <c r="K202" s="7">
        <v>42551</v>
      </c>
      <c r="L202" s="6">
        <v>2936000</v>
      </c>
      <c r="M202" s="6">
        <v>1856000</v>
      </c>
      <c r="N202" s="6" t="s">
        <v>46</v>
      </c>
      <c r="O202" s="8">
        <v>43103</v>
      </c>
      <c r="Q202">
        <f>Table39[[#This Row],[AGREEMENT VALUE OF UNIT]]-Table39[[#This Row],[AMOUNT RECEIVED TILL DATE]]</f>
        <v>1080000</v>
      </c>
    </row>
    <row r="203" spans="2:17" x14ac:dyDescent="0.25">
      <c r="B203" s="5">
        <f t="shared" si="3"/>
        <v>201</v>
      </c>
      <c r="C203" s="6" t="s">
        <v>193</v>
      </c>
      <c r="D203" s="6" t="s">
        <v>191</v>
      </c>
      <c r="E203" s="6" t="s">
        <v>194</v>
      </c>
      <c r="F203" s="6">
        <v>800</v>
      </c>
      <c r="G203" s="6" t="s">
        <v>113</v>
      </c>
      <c r="H203" s="6"/>
      <c r="I203" s="6"/>
      <c r="J203" s="6"/>
      <c r="K203" s="7">
        <v>43073</v>
      </c>
      <c r="L203" s="6">
        <v>2509000</v>
      </c>
      <c r="M203" s="6">
        <v>251000</v>
      </c>
      <c r="N203" s="6" t="s">
        <v>30</v>
      </c>
      <c r="O203" s="8">
        <v>43103</v>
      </c>
      <c r="Q203">
        <f>Table39[[#This Row],[AGREEMENT VALUE OF UNIT]]-Table39[[#This Row],[AMOUNT RECEIVED TILL DATE]]</f>
        <v>2258000</v>
      </c>
    </row>
    <row r="204" spans="2:17" x14ac:dyDescent="0.25">
      <c r="B204" s="5">
        <f t="shared" si="3"/>
        <v>202</v>
      </c>
      <c r="C204" s="6" t="s">
        <v>195</v>
      </c>
      <c r="D204" s="6" t="s">
        <v>191</v>
      </c>
      <c r="E204" s="6" t="s">
        <v>196</v>
      </c>
      <c r="F204" s="6">
        <v>800</v>
      </c>
      <c r="G204" s="6" t="s">
        <v>113</v>
      </c>
      <c r="H204" s="6"/>
      <c r="I204" s="6"/>
      <c r="J204" s="6"/>
      <c r="K204" s="7">
        <v>42894</v>
      </c>
      <c r="L204" s="6">
        <v>2427750</v>
      </c>
      <c r="M204" s="6">
        <v>1567250</v>
      </c>
      <c r="N204" s="6" t="s">
        <v>30</v>
      </c>
      <c r="O204" s="8">
        <v>43103</v>
      </c>
      <c r="Q204">
        <f>Table39[[#This Row],[AGREEMENT VALUE OF UNIT]]-Table39[[#This Row],[AMOUNT RECEIVED TILL DATE]]</f>
        <v>860500</v>
      </c>
    </row>
    <row r="205" spans="2:17" x14ac:dyDescent="0.25">
      <c r="B205" s="5">
        <f t="shared" si="3"/>
        <v>203</v>
      </c>
      <c r="C205" s="6" t="s">
        <v>197</v>
      </c>
      <c r="D205" s="6" t="s">
        <v>191</v>
      </c>
      <c r="E205" s="6" t="s">
        <v>198</v>
      </c>
      <c r="F205" s="6">
        <v>800</v>
      </c>
      <c r="G205" s="6" t="s">
        <v>113</v>
      </c>
      <c r="H205" s="6"/>
      <c r="I205" s="6"/>
      <c r="J205" s="6"/>
      <c r="K205" s="7">
        <v>43084</v>
      </c>
      <c r="L205" s="6">
        <v>2509000</v>
      </c>
      <c r="M205" s="6">
        <v>2291000</v>
      </c>
      <c r="N205" s="6" t="s">
        <v>46</v>
      </c>
      <c r="O205" s="8">
        <v>43103</v>
      </c>
      <c r="Q205">
        <f>Table39[[#This Row],[AGREEMENT VALUE OF UNIT]]-Table39[[#This Row],[AMOUNT RECEIVED TILL DATE]]</f>
        <v>218000</v>
      </c>
    </row>
    <row r="206" spans="2:17" x14ac:dyDescent="0.25">
      <c r="B206" s="5">
        <f t="shared" si="3"/>
        <v>204</v>
      </c>
      <c r="C206" s="6" t="s">
        <v>203</v>
      </c>
      <c r="D206" s="6" t="s">
        <v>191</v>
      </c>
      <c r="E206" s="6" t="s">
        <v>204</v>
      </c>
      <c r="F206" s="6">
        <v>800</v>
      </c>
      <c r="G206" s="6" t="s">
        <v>26</v>
      </c>
      <c r="H206" s="6"/>
      <c r="I206" s="6"/>
      <c r="J206" s="6"/>
      <c r="K206" s="7">
        <v>40801</v>
      </c>
      <c r="L206" s="6">
        <v>1644150</v>
      </c>
      <c r="M206" s="6">
        <v>1644150</v>
      </c>
      <c r="N206" s="6" t="s">
        <v>27</v>
      </c>
      <c r="O206" s="8">
        <v>43103</v>
      </c>
      <c r="Q206">
        <f>Table39[[#This Row],[AGREEMENT VALUE OF UNIT]]-Table39[[#This Row],[AMOUNT RECEIVED TILL DATE]]</f>
        <v>0</v>
      </c>
    </row>
    <row r="207" spans="2:17" x14ac:dyDescent="0.25">
      <c r="B207" s="5">
        <f t="shared" si="3"/>
        <v>205</v>
      </c>
      <c r="C207" s="6" t="s">
        <v>205</v>
      </c>
      <c r="D207" s="6" t="s">
        <v>191</v>
      </c>
      <c r="E207" s="6" t="s">
        <v>206</v>
      </c>
      <c r="F207" s="6">
        <v>800</v>
      </c>
      <c r="G207" s="6" t="s">
        <v>26</v>
      </c>
      <c r="H207" s="6"/>
      <c r="I207" s="6"/>
      <c r="J207" s="6"/>
      <c r="K207" s="7">
        <v>40752</v>
      </c>
      <c r="L207" s="6">
        <v>1690000</v>
      </c>
      <c r="M207" s="6">
        <v>1690000</v>
      </c>
      <c r="N207" s="6" t="s">
        <v>39</v>
      </c>
      <c r="O207" s="8">
        <v>43103</v>
      </c>
      <c r="Q207">
        <f>Table39[[#This Row],[AGREEMENT VALUE OF UNIT]]-Table39[[#This Row],[AMOUNT RECEIVED TILL DATE]]</f>
        <v>0</v>
      </c>
    </row>
    <row r="208" spans="2:17" x14ac:dyDescent="0.25">
      <c r="B208" s="5">
        <f t="shared" si="3"/>
        <v>206</v>
      </c>
      <c r="C208" s="6" t="s">
        <v>207</v>
      </c>
      <c r="D208" s="6" t="s">
        <v>191</v>
      </c>
      <c r="E208" s="6" t="s">
        <v>208</v>
      </c>
      <c r="F208" s="6">
        <v>800</v>
      </c>
      <c r="G208" s="6" t="s">
        <v>26</v>
      </c>
      <c r="H208" s="6"/>
      <c r="I208" s="6"/>
      <c r="J208" s="6"/>
      <c r="K208" s="7">
        <v>40801</v>
      </c>
      <c r="L208" s="6">
        <v>1650000</v>
      </c>
      <c r="M208" s="6">
        <v>1650000</v>
      </c>
      <c r="N208" s="6" t="s">
        <v>39</v>
      </c>
      <c r="O208" s="8">
        <v>43103</v>
      </c>
      <c r="Q208">
        <f>Table39[[#This Row],[AGREEMENT VALUE OF UNIT]]-Table39[[#This Row],[AMOUNT RECEIVED TILL DATE]]</f>
        <v>0</v>
      </c>
    </row>
    <row r="209" spans="2:17" x14ac:dyDescent="0.25">
      <c r="B209" s="5">
        <f t="shared" si="3"/>
        <v>207</v>
      </c>
      <c r="C209" s="6" t="s">
        <v>209</v>
      </c>
      <c r="D209" s="6" t="s">
        <v>191</v>
      </c>
      <c r="E209" s="6" t="s">
        <v>210</v>
      </c>
      <c r="F209" s="6">
        <v>800</v>
      </c>
      <c r="G209" s="6" t="s">
        <v>26</v>
      </c>
      <c r="H209" s="6"/>
      <c r="I209" s="6"/>
      <c r="J209" s="6"/>
      <c r="K209" s="7">
        <v>40752</v>
      </c>
      <c r="L209" s="6">
        <v>1690000</v>
      </c>
      <c r="M209" s="6">
        <v>1613557</v>
      </c>
      <c r="N209" s="6" t="s">
        <v>30</v>
      </c>
      <c r="O209" s="8">
        <v>43103</v>
      </c>
      <c r="Q209">
        <f>Table39[[#This Row],[AGREEMENT VALUE OF UNIT]]-Table39[[#This Row],[AMOUNT RECEIVED TILL DATE]]</f>
        <v>76443</v>
      </c>
    </row>
    <row r="210" spans="2:17" x14ac:dyDescent="0.25">
      <c r="B210" s="5">
        <f t="shared" si="3"/>
        <v>208</v>
      </c>
      <c r="C210" s="6" t="s">
        <v>215</v>
      </c>
      <c r="D210" s="6" t="s">
        <v>191</v>
      </c>
      <c r="E210" s="6" t="s">
        <v>216</v>
      </c>
      <c r="F210" s="6">
        <v>800</v>
      </c>
      <c r="G210" s="6" t="s">
        <v>26</v>
      </c>
      <c r="H210" s="6"/>
      <c r="I210" s="6"/>
      <c r="J210" s="6"/>
      <c r="K210" s="7">
        <v>42759</v>
      </c>
      <c r="L210" s="6">
        <v>2265000</v>
      </c>
      <c r="M210" s="6">
        <v>1519220</v>
      </c>
      <c r="N210" s="6" t="s">
        <v>165</v>
      </c>
      <c r="O210" s="8">
        <v>43103</v>
      </c>
      <c r="Q210">
        <f>Table39[[#This Row],[AGREEMENT VALUE OF UNIT]]-Table39[[#This Row],[AMOUNT RECEIVED TILL DATE]]</f>
        <v>745780</v>
      </c>
    </row>
    <row r="211" spans="2:17" x14ac:dyDescent="0.25">
      <c r="B211" s="5">
        <f t="shared" si="3"/>
        <v>209</v>
      </c>
      <c r="C211" s="6" t="s">
        <v>217</v>
      </c>
      <c r="D211" s="6" t="s">
        <v>191</v>
      </c>
      <c r="E211" s="6" t="s">
        <v>218</v>
      </c>
      <c r="F211" s="6">
        <v>800</v>
      </c>
      <c r="G211" s="6" t="s">
        <v>26</v>
      </c>
      <c r="H211" s="6"/>
      <c r="I211" s="6"/>
      <c r="J211" s="6"/>
      <c r="K211" s="7">
        <v>40821</v>
      </c>
      <c r="L211" s="6">
        <v>1689025</v>
      </c>
      <c r="M211" s="6">
        <v>1689025</v>
      </c>
      <c r="N211" s="6" t="s">
        <v>27</v>
      </c>
      <c r="O211" s="8">
        <v>43103</v>
      </c>
      <c r="Q211">
        <f>Table39[[#This Row],[AGREEMENT VALUE OF UNIT]]-Table39[[#This Row],[AMOUNT RECEIVED TILL DATE]]</f>
        <v>0</v>
      </c>
    </row>
    <row r="212" spans="2:17" x14ac:dyDescent="0.25">
      <c r="B212" s="5">
        <f t="shared" si="3"/>
        <v>210</v>
      </c>
      <c r="C212" s="6" t="s">
        <v>219</v>
      </c>
      <c r="D212" s="6" t="s">
        <v>191</v>
      </c>
      <c r="E212" s="6" t="s">
        <v>220</v>
      </c>
      <c r="F212" s="6">
        <v>800</v>
      </c>
      <c r="G212" s="6" t="s">
        <v>26</v>
      </c>
      <c r="H212" s="6"/>
      <c r="I212" s="6"/>
      <c r="J212" s="6"/>
      <c r="K212" s="7">
        <v>40837</v>
      </c>
      <c r="L212" s="6">
        <v>1660000</v>
      </c>
      <c r="M212" s="6">
        <v>1660000</v>
      </c>
      <c r="N212" s="6" t="s">
        <v>39</v>
      </c>
      <c r="O212" s="8">
        <v>43103</v>
      </c>
      <c r="Q212">
        <f>Table39[[#This Row],[AGREEMENT VALUE OF UNIT]]-Table39[[#This Row],[AMOUNT RECEIVED TILL DATE]]</f>
        <v>0</v>
      </c>
    </row>
    <row r="213" spans="2:17" x14ac:dyDescent="0.25">
      <c r="B213" s="5">
        <f t="shared" si="3"/>
        <v>211</v>
      </c>
      <c r="C213" s="6" t="s">
        <v>221</v>
      </c>
      <c r="D213" s="6" t="s">
        <v>191</v>
      </c>
      <c r="E213" s="6" t="s">
        <v>222</v>
      </c>
      <c r="F213" s="6">
        <v>800</v>
      </c>
      <c r="G213" s="6" t="s">
        <v>26</v>
      </c>
      <c r="H213" s="6"/>
      <c r="I213" s="6"/>
      <c r="J213" s="6"/>
      <c r="K213" s="7">
        <v>40831</v>
      </c>
      <c r="L213" s="6">
        <v>1764025</v>
      </c>
      <c r="M213" s="6">
        <v>1764025</v>
      </c>
      <c r="N213" s="6" t="s">
        <v>30</v>
      </c>
      <c r="O213" s="8">
        <v>43103</v>
      </c>
      <c r="Q213">
        <f>Table39[[#This Row],[AGREEMENT VALUE OF UNIT]]-Table39[[#This Row],[AMOUNT RECEIVED TILL DATE]]</f>
        <v>0</v>
      </c>
    </row>
    <row r="214" spans="2:17" x14ac:dyDescent="0.25">
      <c r="B214" s="5">
        <f t="shared" si="3"/>
        <v>212</v>
      </c>
      <c r="C214" s="6" t="s">
        <v>227</v>
      </c>
      <c r="D214" s="6" t="s">
        <v>191</v>
      </c>
      <c r="E214" s="6" t="s">
        <v>228</v>
      </c>
      <c r="F214" s="6">
        <v>800</v>
      </c>
      <c r="G214" s="6" t="s">
        <v>26</v>
      </c>
      <c r="H214" s="6"/>
      <c r="I214" s="6"/>
      <c r="J214" s="6"/>
      <c r="K214" s="7">
        <v>40823</v>
      </c>
      <c r="L214" s="6">
        <v>1626000</v>
      </c>
      <c r="M214" s="6">
        <v>1626000</v>
      </c>
      <c r="N214" s="6" t="s">
        <v>27</v>
      </c>
      <c r="O214" s="8">
        <v>43103</v>
      </c>
      <c r="Q214">
        <f>Table39[[#This Row],[AGREEMENT VALUE OF UNIT]]-Table39[[#This Row],[AMOUNT RECEIVED TILL DATE]]</f>
        <v>0</v>
      </c>
    </row>
    <row r="215" spans="2:17" x14ac:dyDescent="0.25">
      <c r="B215" s="5">
        <f t="shared" si="3"/>
        <v>213</v>
      </c>
      <c r="C215" s="6" t="s">
        <v>229</v>
      </c>
      <c r="D215" s="6" t="s">
        <v>191</v>
      </c>
      <c r="E215" s="6" t="s">
        <v>230</v>
      </c>
      <c r="F215" s="6">
        <v>800</v>
      </c>
      <c r="G215" s="6" t="s">
        <v>26</v>
      </c>
      <c r="H215" s="6"/>
      <c r="I215" s="6"/>
      <c r="J215" s="6"/>
      <c r="K215" s="7">
        <v>40800</v>
      </c>
      <c r="L215" s="6">
        <v>1672000</v>
      </c>
      <c r="M215" s="6">
        <v>1672000</v>
      </c>
      <c r="N215" s="6" t="s">
        <v>30</v>
      </c>
      <c r="O215" s="8">
        <v>43103</v>
      </c>
      <c r="Q215">
        <f>Table39[[#This Row],[AGREEMENT VALUE OF UNIT]]-Table39[[#This Row],[AMOUNT RECEIVED TILL DATE]]</f>
        <v>0</v>
      </c>
    </row>
    <row r="216" spans="2:17" x14ac:dyDescent="0.25">
      <c r="B216" s="5">
        <f t="shared" si="3"/>
        <v>214</v>
      </c>
      <c r="C216" s="6" t="s">
        <v>231</v>
      </c>
      <c r="D216" s="6" t="s">
        <v>191</v>
      </c>
      <c r="E216" s="6" t="s">
        <v>232</v>
      </c>
      <c r="F216" s="6">
        <v>800</v>
      </c>
      <c r="G216" s="6" t="s">
        <v>26</v>
      </c>
      <c r="H216" s="6"/>
      <c r="I216" s="6"/>
      <c r="J216" s="6"/>
      <c r="K216" s="7">
        <v>41061</v>
      </c>
      <c r="L216" s="6">
        <v>1970000</v>
      </c>
      <c r="M216" s="6">
        <v>1970000</v>
      </c>
      <c r="N216" s="6" t="s">
        <v>39</v>
      </c>
      <c r="O216" s="8">
        <v>43103</v>
      </c>
      <c r="Q216">
        <f>Table39[[#This Row],[AGREEMENT VALUE OF UNIT]]-Table39[[#This Row],[AMOUNT RECEIVED TILL DATE]]</f>
        <v>0</v>
      </c>
    </row>
    <row r="217" spans="2:17" x14ac:dyDescent="0.25">
      <c r="B217" s="5">
        <f t="shared" si="3"/>
        <v>215</v>
      </c>
      <c r="C217" s="6" t="s">
        <v>229</v>
      </c>
      <c r="D217" s="6" t="s">
        <v>191</v>
      </c>
      <c r="E217" s="6" t="s">
        <v>233</v>
      </c>
      <c r="F217" s="6">
        <v>800</v>
      </c>
      <c r="G217" s="6" t="s">
        <v>26</v>
      </c>
      <c r="H217" s="6"/>
      <c r="I217" s="6"/>
      <c r="J217" s="6"/>
      <c r="K217" s="7">
        <v>40817</v>
      </c>
      <c r="L217" s="6">
        <v>1747000</v>
      </c>
      <c r="M217" s="6">
        <v>1747000</v>
      </c>
      <c r="N217" s="6" t="s">
        <v>30</v>
      </c>
      <c r="O217" s="8">
        <v>43103</v>
      </c>
      <c r="Q217">
        <f>Table39[[#This Row],[AGREEMENT VALUE OF UNIT]]-Table39[[#This Row],[AMOUNT RECEIVED TILL DATE]]</f>
        <v>0</v>
      </c>
    </row>
    <row r="218" spans="2:17" x14ac:dyDescent="0.25">
      <c r="B218" s="5">
        <f t="shared" si="3"/>
        <v>216</v>
      </c>
      <c r="C218" s="6" t="s">
        <v>238</v>
      </c>
      <c r="D218" s="6" t="s">
        <v>191</v>
      </c>
      <c r="E218" s="6" t="s">
        <v>239</v>
      </c>
      <c r="F218" s="6">
        <v>800</v>
      </c>
      <c r="G218" s="6" t="s">
        <v>26</v>
      </c>
      <c r="H218" s="6"/>
      <c r="I218" s="6"/>
      <c r="J218" s="6"/>
      <c r="K218" s="7">
        <v>40772</v>
      </c>
      <c r="L218" s="6">
        <v>1598000</v>
      </c>
      <c r="M218" s="6">
        <v>1598000</v>
      </c>
      <c r="N218" s="6" t="s">
        <v>30</v>
      </c>
      <c r="O218" s="8">
        <v>43103</v>
      </c>
      <c r="Q218">
        <f>Table39[[#This Row],[AGREEMENT VALUE OF UNIT]]-Table39[[#This Row],[AMOUNT RECEIVED TILL DATE]]</f>
        <v>0</v>
      </c>
    </row>
    <row r="219" spans="2:17" x14ac:dyDescent="0.25">
      <c r="B219" s="5">
        <f t="shared" si="3"/>
        <v>217</v>
      </c>
      <c r="C219" s="6" t="s">
        <v>240</v>
      </c>
      <c r="D219" s="6" t="s">
        <v>191</v>
      </c>
      <c r="E219" s="6" t="s">
        <v>241</v>
      </c>
      <c r="F219" s="6">
        <v>800</v>
      </c>
      <c r="G219" s="6" t="s">
        <v>26</v>
      </c>
      <c r="H219" s="6"/>
      <c r="I219" s="6"/>
      <c r="J219" s="6"/>
      <c r="K219" s="7">
        <v>40838</v>
      </c>
      <c r="L219" s="6">
        <v>1655000</v>
      </c>
      <c r="M219" s="6">
        <v>1655000</v>
      </c>
      <c r="N219" s="6" t="s">
        <v>57</v>
      </c>
      <c r="O219" s="8">
        <v>43103</v>
      </c>
      <c r="Q219">
        <f>Table39[[#This Row],[AGREEMENT VALUE OF UNIT]]-Table39[[#This Row],[AMOUNT RECEIVED TILL DATE]]</f>
        <v>0</v>
      </c>
    </row>
    <row r="220" spans="2:17" x14ac:dyDescent="0.25">
      <c r="B220" s="5">
        <f t="shared" si="3"/>
        <v>218</v>
      </c>
      <c r="C220" s="6" t="s">
        <v>238</v>
      </c>
      <c r="D220" s="6" t="s">
        <v>191</v>
      </c>
      <c r="E220" s="6" t="s">
        <v>242</v>
      </c>
      <c r="F220" s="6">
        <v>800</v>
      </c>
      <c r="G220" s="6" t="s">
        <v>26</v>
      </c>
      <c r="H220" s="6"/>
      <c r="I220" s="6"/>
      <c r="J220" s="6"/>
      <c r="K220" s="7">
        <v>40772</v>
      </c>
      <c r="L220" s="6">
        <v>1598000</v>
      </c>
      <c r="M220" s="6">
        <v>1598000</v>
      </c>
      <c r="N220" s="6" t="s">
        <v>30</v>
      </c>
      <c r="O220" s="8">
        <v>43103</v>
      </c>
      <c r="Q220">
        <f>Table39[[#This Row],[AGREEMENT VALUE OF UNIT]]-Table39[[#This Row],[AMOUNT RECEIVED TILL DATE]]</f>
        <v>0</v>
      </c>
    </row>
    <row r="221" spans="2:17" x14ac:dyDescent="0.25">
      <c r="B221" s="5">
        <f t="shared" si="3"/>
        <v>219</v>
      </c>
      <c r="C221" s="6" t="s">
        <v>243</v>
      </c>
      <c r="D221" s="6" t="s">
        <v>191</v>
      </c>
      <c r="E221" s="6" t="s">
        <v>244</v>
      </c>
      <c r="F221" s="6">
        <v>800</v>
      </c>
      <c r="G221" s="6" t="s">
        <v>26</v>
      </c>
      <c r="H221" s="6"/>
      <c r="I221" s="6"/>
      <c r="J221" s="6"/>
      <c r="K221" s="7">
        <v>40831</v>
      </c>
      <c r="L221" s="6">
        <v>1655000</v>
      </c>
      <c r="M221" s="6">
        <v>1655000</v>
      </c>
      <c r="N221" s="6" t="s">
        <v>27</v>
      </c>
      <c r="O221" s="8">
        <v>43103</v>
      </c>
      <c r="Q221">
        <f>Table39[[#This Row],[AGREEMENT VALUE OF UNIT]]-Table39[[#This Row],[AMOUNT RECEIVED TILL DATE]]</f>
        <v>0</v>
      </c>
    </row>
    <row r="222" spans="2:17" x14ac:dyDescent="0.25">
      <c r="B222" s="5">
        <f t="shared" si="3"/>
        <v>220</v>
      </c>
      <c r="C222" s="6" t="s">
        <v>249</v>
      </c>
      <c r="D222" s="6" t="s">
        <v>191</v>
      </c>
      <c r="E222" s="6" t="s">
        <v>250</v>
      </c>
      <c r="F222" s="6">
        <v>800</v>
      </c>
      <c r="G222" s="6" t="s">
        <v>26</v>
      </c>
      <c r="H222" s="6"/>
      <c r="I222" s="6"/>
      <c r="J222" s="6"/>
      <c r="K222" s="7">
        <v>40816</v>
      </c>
      <c r="L222" s="6">
        <v>1581750</v>
      </c>
      <c r="M222" s="6">
        <v>1581750</v>
      </c>
      <c r="N222" s="6" t="s">
        <v>27</v>
      </c>
      <c r="O222" s="8">
        <v>43103</v>
      </c>
      <c r="Q222">
        <f>Table39[[#This Row],[AGREEMENT VALUE OF UNIT]]-Table39[[#This Row],[AMOUNT RECEIVED TILL DATE]]</f>
        <v>0</v>
      </c>
    </row>
    <row r="223" spans="2:17" x14ac:dyDescent="0.25">
      <c r="B223" s="5">
        <f t="shared" si="3"/>
        <v>221</v>
      </c>
      <c r="C223" s="6" t="s">
        <v>251</v>
      </c>
      <c r="D223" s="6" t="s">
        <v>191</v>
      </c>
      <c r="E223" s="6" t="s">
        <v>252</v>
      </c>
      <c r="F223" s="6">
        <v>800</v>
      </c>
      <c r="G223" s="6" t="s">
        <v>26</v>
      </c>
      <c r="H223" s="6"/>
      <c r="I223" s="6"/>
      <c r="J223" s="6"/>
      <c r="K223" s="7">
        <v>40788</v>
      </c>
      <c r="L223" s="6">
        <v>1605000</v>
      </c>
      <c r="M223" s="6">
        <v>1605000</v>
      </c>
      <c r="N223" s="6" t="s">
        <v>57</v>
      </c>
      <c r="O223" s="8">
        <v>43103</v>
      </c>
      <c r="Q223">
        <f>Table39[[#This Row],[AGREEMENT VALUE OF UNIT]]-Table39[[#This Row],[AMOUNT RECEIVED TILL DATE]]</f>
        <v>0</v>
      </c>
    </row>
    <row r="224" spans="2:17" x14ac:dyDescent="0.25">
      <c r="B224" s="5">
        <f t="shared" si="3"/>
        <v>222</v>
      </c>
      <c r="C224" s="6" t="s">
        <v>253</v>
      </c>
      <c r="D224" s="6" t="s">
        <v>191</v>
      </c>
      <c r="E224" s="6" t="s">
        <v>254</v>
      </c>
      <c r="F224" s="6">
        <v>800</v>
      </c>
      <c r="G224" s="6" t="s">
        <v>26</v>
      </c>
      <c r="H224" s="6"/>
      <c r="I224" s="6"/>
      <c r="J224" s="6"/>
      <c r="K224" s="7">
        <v>40831</v>
      </c>
      <c r="L224" s="6">
        <v>1598400</v>
      </c>
      <c r="M224" s="6">
        <v>1598400</v>
      </c>
      <c r="N224" s="6" t="s">
        <v>27</v>
      </c>
      <c r="O224" s="8">
        <v>43103</v>
      </c>
      <c r="Q224">
        <f>Table39[[#This Row],[AGREEMENT VALUE OF UNIT]]-Table39[[#This Row],[AMOUNT RECEIVED TILL DATE]]</f>
        <v>0</v>
      </c>
    </row>
    <row r="225" spans="2:17" x14ac:dyDescent="0.25">
      <c r="B225" s="5">
        <f t="shared" si="3"/>
        <v>223</v>
      </c>
      <c r="C225" s="6" t="s">
        <v>255</v>
      </c>
      <c r="D225" s="6" t="s">
        <v>191</v>
      </c>
      <c r="E225" s="6" t="s">
        <v>256</v>
      </c>
      <c r="F225" s="6">
        <v>800</v>
      </c>
      <c r="G225" s="6" t="s">
        <v>26</v>
      </c>
      <c r="H225" s="6"/>
      <c r="I225" s="6"/>
      <c r="J225" s="6"/>
      <c r="K225" s="7">
        <v>40752</v>
      </c>
      <c r="L225" s="6">
        <v>1589250</v>
      </c>
      <c r="M225" s="6">
        <v>1589250</v>
      </c>
      <c r="N225" s="6" t="s">
        <v>30</v>
      </c>
      <c r="O225" s="8">
        <v>43103</v>
      </c>
      <c r="Q225">
        <f>Table39[[#This Row],[AGREEMENT VALUE OF UNIT]]-Table39[[#This Row],[AMOUNT RECEIVED TILL DATE]]</f>
        <v>0</v>
      </c>
    </row>
    <row r="226" spans="2:17" x14ac:dyDescent="0.25">
      <c r="B226" s="5">
        <f t="shared" si="3"/>
        <v>224</v>
      </c>
      <c r="C226" s="6" t="s">
        <v>261</v>
      </c>
      <c r="D226" s="6" t="s">
        <v>191</v>
      </c>
      <c r="E226" s="6" t="s">
        <v>262</v>
      </c>
      <c r="F226" s="6">
        <v>800</v>
      </c>
      <c r="G226" s="6" t="s">
        <v>26</v>
      </c>
      <c r="H226" s="6"/>
      <c r="I226" s="6"/>
      <c r="J226" s="6"/>
      <c r="K226" s="7">
        <v>40831</v>
      </c>
      <c r="L226" s="6">
        <v>1581750</v>
      </c>
      <c r="M226" s="6">
        <v>1581750</v>
      </c>
      <c r="N226" s="6" t="s">
        <v>27</v>
      </c>
      <c r="O226" s="8">
        <v>43103</v>
      </c>
      <c r="Q226">
        <f>Table39[[#This Row],[AGREEMENT VALUE OF UNIT]]-Table39[[#This Row],[AMOUNT RECEIVED TILL DATE]]</f>
        <v>0</v>
      </c>
    </row>
    <row r="227" spans="2:17" x14ac:dyDescent="0.25">
      <c r="B227" s="5">
        <f t="shared" si="3"/>
        <v>225</v>
      </c>
      <c r="C227" s="6" t="s">
        <v>263</v>
      </c>
      <c r="D227" s="6" t="s">
        <v>191</v>
      </c>
      <c r="E227" s="6" t="s">
        <v>264</v>
      </c>
      <c r="F227" s="6">
        <v>800</v>
      </c>
      <c r="G227" s="6" t="s">
        <v>26</v>
      </c>
      <c r="H227" s="6"/>
      <c r="I227" s="6"/>
      <c r="J227" s="6"/>
      <c r="K227" s="7">
        <v>40821</v>
      </c>
      <c r="L227" s="6">
        <v>1605100</v>
      </c>
      <c r="M227" s="6">
        <v>1605100</v>
      </c>
      <c r="N227" s="6" t="s">
        <v>30</v>
      </c>
      <c r="O227" s="8">
        <v>43103</v>
      </c>
      <c r="Q227">
        <f>Table39[[#This Row],[AGREEMENT VALUE OF UNIT]]-Table39[[#This Row],[AMOUNT RECEIVED TILL DATE]]</f>
        <v>0</v>
      </c>
    </row>
    <row r="228" spans="2:17" x14ac:dyDescent="0.25">
      <c r="B228" s="5">
        <f t="shared" si="3"/>
        <v>226</v>
      </c>
      <c r="C228" s="6" t="s">
        <v>265</v>
      </c>
      <c r="D228" s="6" t="s">
        <v>191</v>
      </c>
      <c r="E228" s="6" t="s">
        <v>266</v>
      </c>
      <c r="F228" s="6">
        <v>800</v>
      </c>
      <c r="G228" s="6" t="s">
        <v>26</v>
      </c>
      <c r="H228" s="6"/>
      <c r="I228" s="6"/>
      <c r="J228" s="6"/>
      <c r="K228" s="7">
        <v>40826</v>
      </c>
      <c r="L228" s="6">
        <v>1705050</v>
      </c>
      <c r="M228" s="6">
        <v>1705050</v>
      </c>
      <c r="N228" s="6" t="s">
        <v>27</v>
      </c>
      <c r="O228" s="8">
        <v>43103</v>
      </c>
      <c r="Q228">
        <f>Table39[[#This Row],[AGREEMENT VALUE OF UNIT]]-Table39[[#This Row],[AMOUNT RECEIVED TILL DATE]]</f>
        <v>0</v>
      </c>
    </row>
    <row r="229" spans="2:17" x14ac:dyDescent="0.25">
      <c r="B229" s="5">
        <f t="shared" si="3"/>
        <v>227</v>
      </c>
      <c r="C229" s="6" t="s">
        <v>267</v>
      </c>
      <c r="D229" s="6" t="s">
        <v>191</v>
      </c>
      <c r="E229" s="6" t="s">
        <v>268</v>
      </c>
      <c r="F229" s="6">
        <v>800</v>
      </c>
      <c r="G229" s="6" t="s">
        <v>26</v>
      </c>
      <c r="H229" s="6"/>
      <c r="I229" s="6"/>
      <c r="J229" s="6"/>
      <c r="K229" s="7">
        <v>40831</v>
      </c>
      <c r="L229" s="6">
        <v>1621750</v>
      </c>
      <c r="M229" s="6">
        <v>1621750</v>
      </c>
      <c r="N229" s="6" t="s">
        <v>46</v>
      </c>
      <c r="O229" s="8">
        <v>43103</v>
      </c>
      <c r="Q229">
        <f>Table39[[#This Row],[AGREEMENT VALUE OF UNIT]]-Table39[[#This Row],[AMOUNT RECEIVED TILL DATE]]</f>
        <v>0</v>
      </c>
    </row>
    <row r="230" spans="2:17" x14ac:dyDescent="0.25">
      <c r="B230" s="5">
        <f t="shared" si="3"/>
        <v>228</v>
      </c>
      <c r="C230" s="6" t="s">
        <v>272</v>
      </c>
      <c r="D230" s="6" t="s">
        <v>191</v>
      </c>
      <c r="E230" s="6" t="s">
        <v>273</v>
      </c>
      <c r="F230" s="6">
        <v>800</v>
      </c>
      <c r="G230" s="6" t="s">
        <v>26</v>
      </c>
      <c r="H230" s="6"/>
      <c r="I230" s="6"/>
      <c r="J230" s="6"/>
      <c r="K230" s="7">
        <v>40821</v>
      </c>
      <c r="L230" s="6">
        <v>1555000</v>
      </c>
      <c r="M230" s="6">
        <v>1555000</v>
      </c>
      <c r="N230" s="6" t="s">
        <v>39</v>
      </c>
      <c r="O230" s="8">
        <v>43103</v>
      </c>
      <c r="Q230">
        <f>Table39[[#This Row],[AGREEMENT VALUE OF UNIT]]-Table39[[#This Row],[AMOUNT RECEIVED TILL DATE]]</f>
        <v>0</v>
      </c>
    </row>
    <row r="231" spans="2:17" x14ac:dyDescent="0.25">
      <c r="B231" s="5">
        <f t="shared" si="3"/>
        <v>229</v>
      </c>
      <c r="C231" s="6" t="s">
        <v>274</v>
      </c>
      <c r="D231" s="6" t="s">
        <v>191</v>
      </c>
      <c r="E231" s="6" t="s">
        <v>275</v>
      </c>
      <c r="F231" s="6">
        <v>800</v>
      </c>
      <c r="G231" s="6" t="s">
        <v>26</v>
      </c>
      <c r="H231" s="6"/>
      <c r="I231" s="6"/>
      <c r="J231" s="6"/>
      <c r="K231" s="7">
        <v>40754</v>
      </c>
      <c r="L231" s="6">
        <v>1588500</v>
      </c>
      <c r="M231" s="6">
        <v>1588500</v>
      </c>
      <c r="N231" s="6" t="s">
        <v>46</v>
      </c>
      <c r="O231" s="8">
        <v>43103</v>
      </c>
      <c r="Q231">
        <f>Table39[[#This Row],[AGREEMENT VALUE OF UNIT]]-Table39[[#This Row],[AMOUNT RECEIVED TILL DATE]]</f>
        <v>0</v>
      </c>
    </row>
    <row r="232" spans="2:17" x14ac:dyDescent="0.25">
      <c r="B232" s="5">
        <f t="shared" si="3"/>
        <v>230</v>
      </c>
      <c r="C232" s="6" t="s">
        <v>276</v>
      </c>
      <c r="D232" s="6" t="s">
        <v>191</v>
      </c>
      <c r="E232" s="6" t="s">
        <v>277</v>
      </c>
      <c r="F232" s="6">
        <v>800</v>
      </c>
      <c r="G232" s="6" t="s">
        <v>26</v>
      </c>
      <c r="H232" s="6"/>
      <c r="I232" s="6"/>
      <c r="J232" s="6"/>
      <c r="K232" s="7">
        <v>40850</v>
      </c>
      <c r="L232" s="6">
        <v>1532200</v>
      </c>
      <c r="M232" s="6">
        <v>1532200</v>
      </c>
      <c r="N232" s="6" t="s">
        <v>27</v>
      </c>
      <c r="O232" s="8">
        <v>43103</v>
      </c>
      <c r="Q232">
        <f>Table39[[#This Row],[AGREEMENT VALUE OF UNIT]]-Table39[[#This Row],[AMOUNT RECEIVED TILL DATE]]</f>
        <v>0</v>
      </c>
    </row>
    <row r="233" spans="2:17" x14ac:dyDescent="0.25">
      <c r="B233" s="5">
        <f t="shared" si="3"/>
        <v>231</v>
      </c>
      <c r="C233" s="6" t="s">
        <v>278</v>
      </c>
      <c r="D233" s="6" t="s">
        <v>191</v>
      </c>
      <c r="E233" s="6" t="s">
        <v>279</v>
      </c>
      <c r="F233" s="6">
        <v>800</v>
      </c>
      <c r="G233" s="6" t="s">
        <v>26</v>
      </c>
      <c r="H233" s="6"/>
      <c r="I233" s="6"/>
      <c r="J233" s="6"/>
      <c r="K233" s="7">
        <v>40830</v>
      </c>
      <c r="L233" s="6">
        <v>1572200</v>
      </c>
      <c r="M233" s="6">
        <v>1572200</v>
      </c>
      <c r="N233" s="6" t="s">
        <v>30</v>
      </c>
      <c r="O233" s="8">
        <v>43103</v>
      </c>
      <c r="Q233">
        <f>Table39[[#This Row],[AGREEMENT VALUE OF UNIT]]-Table39[[#This Row],[AMOUNT RECEIVED TILL DATE]]</f>
        <v>0</v>
      </c>
    </row>
    <row r="234" spans="2:17" x14ac:dyDescent="0.25">
      <c r="B234" s="5">
        <f t="shared" si="3"/>
        <v>232</v>
      </c>
      <c r="C234" s="6" t="s">
        <v>284</v>
      </c>
      <c r="D234" s="6" t="s">
        <v>191</v>
      </c>
      <c r="E234" s="6" t="s">
        <v>285</v>
      </c>
      <c r="F234" s="6">
        <v>800</v>
      </c>
      <c r="G234" s="6" t="s">
        <v>26</v>
      </c>
      <c r="H234" s="6"/>
      <c r="I234" s="6"/>
      <c r="J234" s="6"/>
      <c r="K234" s="7">
        <v>40838</v>
      </c>
      <c r="L234" s="6">
        <v>1640000</v>
      </c>
      <c r="M234" s="6">
        <v>1640000</v>
      </c>
      <c r="N234" s="6" t="s">
        <v>30</v>
      </c>
      <c r="O234" s="8">
        <v>43103</v>
      </c>
      <c r="Q234">
        <f>Table39[[#This Row],[AGREEMENT VALUE OF UNIT]]-Table39[[#This Row],[AMOUNT RECEIVED TILL DATE]]</f>
        <v>0</v>
      </c>
    </row>
    <row r="235" spans="2:17" x14ac:dyDescent="0.25">
      <c r="B235" s="5">
        <f t="shared" si="3"/>
        <v>233</v>
      </c>
      <c r="C235" s="6" t="s">
        <v>286</v>
      </c>
      <c r="D235" s="6" t="s">
        <v>191</v>
      </c>
      <c r="E235" s="6" t="s">
        <v>287</v>
      </c>
      <c r="F235" s="6">
        <v>800</v>
      </c>
      <c r="G235" s="6" t="s">
        <v>26</v>
      </c>
      <c r="H235" s="6"/>
      <c r="I235" s="6"/>
      <c r="J235" s="6"/>
      <c r="K235" s="7">
        <v>40906</v>
      </c>
      <c r="L235" s="6">
        <v>1690000</v>
      </c>
      <c r="M235" s="6">
        <v>1690000</v>
      </c>
      <c r="N235" s="6" t="s">
        <v>27</v>
      </c>
      <c r="O235" s="8">
        <v>43103</v>
      </c>
      <c r="Q235">
        <f>Table39[[#This Row],[AGREEMENT VALUE OF UNIT]]-Table39[[#This Row],[AMOUNT RECEIVED TILL DATE]]</f>
        <v>0</v>
      </c>
    </row>
    <row r="236" spans="2:17" x14ac:dyDescent="0.25">
      <c r="B236" s="5">
        <f t="shared" si="3"/>
        <v>234</v>
      </c>
      <c r="C236" s="6" t="s">
        <v>288</v>
      </c>
      <c r="D236" s="6" t="s">
        <v>191</v>
      </c>
      <c r="E236" s="6" t="s">
        <v>289</v>
      </c>
      <c r="F236" s="6">
        <v>800</v>
      </c>
      <c r="G236" s="6" t="s">
        <v>26</v>
      </c>
      <c r="H236" s="6"/>
      <c r="I236" s="6"/>
      <c r="J236" s="6"/>
      <c r="K236" s="7">
        <v>40908</v>
      </c>
      <c r="L236" s="6">
        <v>1690000</v>
      </c>
      <c r="M236" s="6">
        <v>1690000</v>
      </c>
      <c r="N236" s="6" t="s">
        <v>39</v>
      </c>
      <c r="O236" s="8">
        <v>43103</v>
      </c>
      <c r="Q236">
        <f>Table39[[#This Row],[AGREEMENT VALUE OF UNIT]]-Table39[[#This Row],[AMOUNT RECEIVED TILL DATE]]</f>
        <v>0</v>
      </c>
    </row>
    <row r="237" spans="2:17" x14ac:dyDescent="0.25">
      <c r="B237" s="5">
        <f t="shared" si="3"/>
        <v>235</v>
      </c>
      <c r="C237" s="6" t="s">
        <v>290</v>
      </c>
      <c r="D237" s="6" t="s">
        <v>191</v>
      </c>
      <c r="E237" s="6" t="s">
        <v>291</v>
      </c>
      <c r="F237" s="6">
        <v>800</v>
      </c>
      <c r="G237" s="6" t="s">
        <v>26</v>
      </c>
      <c r="H237" s="6"/>
      <c r="I237" s="6"/>
      <c r="J237" s="6"/>
      <c r="K237" s="7">
        <v>40831</v>
      </c>
      <c r="L237" s="6">
        <v>1588500</v>
      </c>
      <c r="M237" s="6">
        <v>1510890</v>
      </c>
      <c r="N237" s="6" t="s">
        <v>30</v>
      </c>
      <c r="O237" s="8">
        <v>43103</v>
      </c>
      <c r="Q237">
        <f>Table39[[#This Row],[AGREEMENT VALUE OF UNIT]]-Table39[[#This Row],[AMOUNT RECEIVED TILL DATE]]</f>
        <v>77610</v>
      </c>
    </row>
    <row r="238" spans="2:17" x14ac:dyDescent="0.25">
      <c r="B238" s="5">
        <f t="shared" si="3"/>
        <v>236</v>
      </c>
      <c r="C238" s="6" t="s">
        <v>296</v>
      </c>
      <c r="D238" s="6" t="s">
        <v>191</v>
      </c>
      <c r="E238" s="6" t="s">
        <v>297</v>
      </c>
      <c r="F238" s="6">
        <v>800</v>
      </c>
      <c r="G238" s="6" t="s">
        <v>26</v>
      </c>
      <c r="H238" s="6"/>
      <c r="I238" s="6"/>
      <c r="J238" s="6"/>
      <c r="K238" s="7">
        <v>41080</v>
      </c>
      <c r="L238" s="6">
        <v>1842750</v>
      </c>
      <c r="M238" s="6">
        <v>1842750</v>
      </c>
      <c r="N238" s="6" t="s">
        <v>27</v>
      </c>
      <c r="O238" s="8">
        <v>43103</v>
      </c>
      <c r="Q238">
        <f>Table39[[#This Row],[AGREEMENT VALUE OF UNIT]]-Table39[[#This Row],[AMOUNT RECEIVED TILL DATE]]</f>
        <v>0</v>
      </c>
    </row>
    <row r="239" spans="2:17" x14ac:dyDescent="0.25">
      <c r="B239" s="5">
        <f t="shared" si="3"/>
        <v>237</v>
      </c>
      <c r="C239" s="6" t="s">
        <v>298</v>
      </c>
      <c r="D239" s="6" t="s">
        <v>191</v>
      </c>
      <c r="E239" s="6" t="s">
        <v>299</v>
      </c>
      <c r="F239" s="6">
        <v>800</v>
      </c>
      <c r="G239" s="6" t="s">
        <v>26</v>
      </c>
      <c r="H239" s="6"/>
      <c r="I239" s="6"/>
      <c r="J239" s="6"/>
      <c r="K239" s="7">
        <v>40816</v>
      </c>
      <c r="L239" s="6">
        <v>1630000</v>
      </c>
      <c r="M239" s="6">
        <v>1630000</v>
      </c>
      <c r="N239" s="6" t="s">
        <v>39</v>
      </c>
      <c r="O239" s="8">
        <v>43103</v>
      </c>
      <c r="Q239">
        <f>Table39[[#This Row],[AGREEMENT VALUE OF UNIT]]-Table39[[#This Row],[AMOUNT RECEIVED TILL DATE]]</f>
        <v>0</v>
      </c>
    </row>
    <row r="240" spans="2:17" x14ac:dyDescent="0.25">
      <c r="B240" s="5">
        <f t="shared" si="3"/>
        <v>238</v>
      </c>
      <c r="C240" s="6" t="s">
        <v>300</v>
      </c>
      <c r="D240" s="6" t="s">
        <v>191</v>
      </c>
      <c r="E240" s="6" t="s">
        <v>301</v>
      </c>
      <c r="F240" s="6">
        <v>800</v>
      </c>
      <c r="G240" s="6" t="s">
        <v>26</v>
      </c>
      <c r="H240" s="6"/>
      <c r="I240" s="6"/>
      <c r="J240" s="6"/>
      <c r="K240" s="7">
        <v>41046</v>
      </c>
      <c r="L240" s="6">
        <v>1842750</v>
      </c>
      <c r="M240" s="6">
        <v>1842750</v>
      </c>
      <c r="N240" s="6" t="s">
        <v>27</v>
      </c>
      <c r="O240" s="8">
        <v>43103</v>
      </c>
      <c r="Q240">
        <f>Table39[[#This Row],[AGREEMENT VALUE OF UNIT]]-Table39[[#This Row],[AMOUNT RECEIVED TILL DATE]]</f>
        <v>0</v>
      </c>
    </row>
    <row r="241" spans="2:17" x14ac:dyDescent="0.25">
      <c r="B241" s="5">
        <f t="shared" si="3"/>
        <v>239</v>
      </c>
      <c r="C241" s="6" t="s">
        <v>302</v>
      </c>
      <c r="D241" s="6" t="s">
        <v>191</v>
      </c>
      <c r="E241" s="6" t="s">
        <v>303</v>
      </c>
      <c r="F241" s="6">
        <v>800</v>
      </c>
      <c r="G241" s="6" t="s">
        <v>26</v>
      </c>
      <c r="H241" s="6"/>
      <c r="I241" s="6"/>
      <c r="J241" s="6"/>
      <c r="K241" s="7">
        <v>40831</v>
      </c>
      <c r="L241" s="6">
        <v>1641400</v>
      </c>
      <c r="M241" s="6">
        <v>1641400</v>
      </c>
      <c r="N241" s="6" t="s">
        <v>46</v>
      </c>
      <c r="O241" s="8">
        <v>43103</v>
      </c>
      <c r="Q241">
        <f>Table39[[#This Row],[AGREEMENT VALUE OF UNIT]]-Table39[[#This Row],[AMOUNT RECEIVED TILL DATE]]</f>
        <v>0</v>
      </c>
    </row>
    <row r="242" spans="2:17" x14ac:dyDescent="0.25">
      <c r="B242" s="5">
        <f t="shared" si="3"/>
        <v>240</v>
      </c>
      <c r="C242" s="6" t="s">
        <v>308</v>
      </c>
      <c r="D242" s="6" t="s">
        <v>191</v>
      </c>
      <c r="E242" s="6" t="s">
        <v>309</v>
      </c>
      <c r="F242" s="6">
        <v>800</v>
      </c>
      <c r="G242" s="6" t="s">
        <v>26</v>
      </c>
      <c r="H242" s="6"/>
      <c r="I242" s="6"/>
      <c r="J242" s="6"/>
      <c r="K242" s="7">
        <v>40528</v>
      </c>
      <c r="L242" s="6">
        <v>1420000</v>
      </c>
      <c r="M242" s="6">
        <v>1420000</v>
      </c>
      <c r="N242" s="6" t="s">
        <v>310</v>
      </c>
      <c r="O242" s="8">
        <v>43103</v>
      </c>
      <c r="Q242">
        <f>Table39[[#This Row],[AGREEMENT VALUE OF UNIT]]-Table39[[#This Row],[AMOUNT RECEIVED TILL DATE]]</f>
        <v>0</v>
      </c>
    </row>
    <row r="243" spans="2:17" x14ac:dyDescent="0.25">
      <c r="B243" s="5">
        <f t="shared" si="3"/>
        <v>241</v>
      </c>
      <c r="C243" s="6" t="s">
        <v>311</v>
      </c>
      <c r="D243" s="6" t="s">
        <v>191</v>
      </c>
      <c r="E243" s="6" t="s">
        <v>312</v>
      </c>
      <c r="F243" s="6">
        <v>800</v>
      </c>
      <c r="G243" s="6" t="s">
        <v>26</v>
      </c>
      <c r="H243" s="6"/>
      <c r="I243" s="6"/>
      <c r="J243" s="6"/>
      <c r="K243" s="7">
        <v>40943</v>
      </c>
      <c r="L243" s="6">
        <v>1694000</v>
      </c>
      <c r="M243" s="6">
        <v>1694000</v>
      </c>
      <c r="N243" s="6" t="s">
        <v>39</v>
      </c>
      <c r="O243" s="8">
        <v>43103</v>
      </c>
      <c r="Q243">
        <f>Table39[[#This Row],[AGREEMENT VALUE OF UNIT]]-Table39[[#This Row],[AMOUNT RECEIVED TILL DATE]]</f>
        <v>0</v>
      </c>
    </row>
    <row r="244" spans="2:17" x14ac:dyDescent="0.25">
      <c r="B244" s="5">
        <f t="shared" si="3"/>
        <v>242</v>
      </c>
      <c r="C244" s="6" t="s">
        <v>313</v>
      </c>
      <c r="D244" s="6" t="s">
        <v>191</v>
      </c>
      <c r="E244" s="6" t="s">
        <v>314</v>
      </c>
      <c r="F244" s="6">
        <v>800</v>
      </c>
      <c r="G244" s="6" t="s">
        <v>26</v>
      </c>
      <c r="H244" s="6"/>
      <c r="I244" s="6"/>
      <c r="J244" s="6"/>
      <c r="K244" s="7">
        <v>40801</v>
      </c>
      <c r="L244" s="6">
        <v>1494600</v>
      </c>
      <c r="M244" s="6">
        <v>1494600</v>
      </c>
      <c r="N244" s="6" t="s">
        <v>30</v>
      </c>
      <c r="O244" s="8">
        <v>43103</v>
      </c>
      <c r="Q244">
        <f>Table39[[#This Row],[AGREEMENT VALUE OF UNIT]]-Table39[[#This Row],[AMOUNT RECEIVED TILL DATE]]</f>
        <v>0</v>
      </c>
    </row>
    <row r="245" spans="2:17" x14ac:dyDescent="0.25">
      <c r="B245" s="5">
        <f t="shared" si="3"/>
        <v>243</v>
      </c>
      <c r="C245" s="6" t="s">
        <v>315</v>
      </c>
      <c r="D245" s="6" t="s">
        <v>191</v>
      </c>
      <c r="E245" s="6" t="s">
        <v>316</v>
      </c>
      <c r="F245" s="6">
        <v>800</v>
      </c>
      <c r="G245" s="6" t="s">
        <v>26</v>
      </c>
      <c r="H245" s="6"/>
      <c r="I245" s="6"/>
      <c r="J245" s="6"/>
      <c r="K245" s="7">
        <v>40792</v>
      </c>
      <c r="L245" s="6">
        <v>1534600</v>
      </c>
      <c r="M245" s="6">
        <v>1534600</v>
      </c>
      <c r="N245" s="6" t="s">
        <v>30</v>
      </c>
      <c r="O245" s="8">
        <v>43103</v>
      </c>
      <c r="Q245">
        <f>Table39[[#This Row],[AGREEMENT VALUE OF UNIT]]-Table39[[#This Row],[AMOUNT RECEIVED TILL DATE]]</f>
        <v>0</v>
      </c>
    </row>
    <row r="246" spans="2:17" x14ac:dyDescent="0.25">
      <c r="B246" s="5">
        <f t="shared" si="3"/>
        <v>244</v>
      </c>
      <c r="C246" s="6" t="s">
        <v>321</v>
      </c>
      <c r="D246" s="6" t="s">
        <v>191</v>
      </c>
      <c r="E246" s="6" t="s">
        <v>322</v>
      </c>
      <c r="F246" s="6">
        <v>800</v>
      </c>
      <c r="G246" s="6" t="s">
        <v>26</v>
      </c>
      <c r="H246" s="6"/>
      <c r="I246" s="6"/>
      <c r="J246" s="6"/>
      <c r="K246" s="7">
        <v>40831</v>
      </c>
      <c r="L246" s="6">
        <v>1536700</v>
      </c>
      <c r="M246" s="6">
        <v>1536700</v>
      </c>
      <c r="N246" s="6" t="s">
        <v>27</v>
      </c>
      <c r="O246" s="8">
        <v>43103</v>
      </c>
      <c r="Q246">
        <f>Table39[[#This Row],[AGREEMENT VALUE OF UNIT]]-Table39[[#This Row],[AMOUNT RECEIVED TILL DATE]]</f>
        <v>0</v>
      </c>
    </row>
    <row r="247" spans="2:17" x14ac:dyDescent="0.25">
      <c r="B247" s="5">
        <f t="shared" si="3"/>
        <v>245</v>
      </c>
      <c r="C247" s="6" t="s">
        <v>323</v>
      </c>
      <c r="D247" s="6" t="s">
        <v>191</v>
      </c>
      <c r="E247" s="6" t="s">
        <v>324</v>
      </c>
      <c r="F247" s="6">
        <v>800</v>
      </c>
      <c r="G247" s="6" t="s">
        <v>26</v>
      </c>
      <c r="H247" s="6"/>
      <c r="I247" s="6"/>
      <c r="J247" s="6"/>
      <c r="K247" s="7">
        <v>40744</v>
      </c>
      <c r="L247" s="6">
        <v>1469750</v>
      </c>
      <c r="M247" s="6">
        <v>1469750</v>
      </c>
      <c r="N247" s="6" t="s">
        <v>30</v>
      </c>
      <c r="O247" s="8">
        <v>43103</v>
      </c>
      <c r="Q247">
        <f>Table39[[#This Row],[AGREEMENT VALUE OF UNIT]]-Table39[[#This Row],[AMOUNT RECEIVED TILL DATE]]</f>
        <v>0</v>
      </c>
    </row>
    <row r="248" spans="2:17" x14ac:dyDescent="0.25">
      <c r="B248" s="5">
        <f t="shared" si="3"/>
        <v>246</v>
      </c>
      <c r="C248" s="6" t="s">
        <v>325</v>
      </c>
      <c r="D248" s="6" t="s">
        <v>191</v>
      </c>
      <c r="E248" s="6" t="s">
        <v>326</v>
      </c>
      <c r="F248" s="6">
        <v>800</v>
      </c>
      <c r="G248" s="6" t="s">
        <v>26</v>
      </c>
      <c r="H248" s="6"/>
      <c r="I248" s="6"/>
      <c r="J248" s="6"/>
      <c r="K248" s="7">
        <v>40830</v>
      </c>
      <c r="L248" s="6">
        <v>1477250</v>
      </c>
      <c r="M248" s="6">
        <v>1477250</v>
      </c>
      <c r="N248" s="6" t="s">
        <v>39</v>
      </c>
      <c r="O248" s="8">
        <v>43103</v>
      </c>
      <c r="Q248">
        <f>Table39[[#This Row],[AGREEMENT VALUE OF UNIT]]-Table39[[#This Row],[AMOUNT RECEIVED TILL DATE]]</f>
        <v>0</v>
      </c>
    </row>
    <row r="249" spans="2:17" x14ac:dyDescent="0.25">
      <c r="B249" s="5">
        <f t="shared" si="3"/>
        <v>247</v>
      </c>
      <c r="C249" s="6" t="s">
        <v>327</v>
      </c>
      <c r="D249" s="6" t="s">
        <v>191</v>
      </c>
      <c r="E249" s="6" t="s">
        <v>328</v>
      </c>
      <c r="F249" s="6">
        <v>800</v>
      </c>
      <c r="G249" s="6" t="s">
        <v>26</v>
      </c>
      <c r="H249" s="6"/>
      <c r="I249" s="6"/>
      <c r="J249" s="6"/>
      <c r="K249" s="7">
        <v>40744</v>
      </c>
      <c r="L249" s="6">
        <v>1469750</v>
      </c>
      <c r="M249" s="6">
        <v>1469750</v>
      </c>
      <c r="N249" s="6" t="s">
        <v>27</v>
      </c>
      <c r="O249" s="8">
        <v>43103</v>
      </c>
      <c r="Q249">
        <f>Table39[[#This Row],[AGREEMENT VALUE OF UNIT]]-Table39[[#This Row],[AMOUNT RECEIVED TILL DATE]]</f>
        <v>0</v>
      </c>
    </row>
    <row r="250" spans="2:17" x14ac:dyDescent="0.25">
      <c r="B250" s="5">
        <f t="shared" si="3"/>
        <v>248</v>
      </c>
      <c r="C250" s="6" t="s">
        <v>333</v>
      </c>
      <c r="D250" s="6" t="s">
        <v>191</v>
      </c>
      <c r="E250" s="6" t="s">
        <v>334</v>
      </c>
      <c r="F250" s="6">
        <v>800</v>
      </c>
      <c r="G250" s="6" t="s">
        <v>26</v>
      </c>
      <c r="H250" s="6"/>
      <c r="I250" s="6"/>
      <c r="J250" s="6"/>
      <c r="K250" s="7">
        <v>40910</v>
      </c>
      <c r="L250" s="6">
        <v>1565000</v>
      </c>
      <c r="M250" s="6">
        <v>1565000</v>
      </c>
      <c r="N250" s="6" t="s">
        <v>39</v>
      </c>
      <c r="O250" s="8">
        <v>43103</v>
      </c>
      <c r="Q250">
        <f>Table39[[#This Row],[AGREEMENT VALUE OF UNIT]]-Table39[[#This Row],[AMOUNT RECEIVED TILL DATE]]</f>
        <v>0</v>
      </c>
    </row>
    <row r="251" spans="2:17" x14ac:dyDescent="0.25">
      <c r="B251" s="5">
        <f t="shared" si="3"/>
        <v>249</v>
      </c>
      <c r="C251" s="6" t="s">
        <v>335</v>
      </c>
      <c r="D251" s="6" t="s">
        <v>191</v>
      </c>
      <c r="E251" s="6" t="s">
        <v>336</v>
      </c>
      <c r="F251" s="6">
        <v>800</v>
      </c>
      <c r="G251" s="6" t="s">
        <v>26</v>
      </c>
      <c r="H251" s="6"/>
      <c r="I251" s="6"/>
      <c r="J251" s="6"/>
      <c r="K251" s="7">
        <v>40792</v>
      </c>
      <c r="L251" s="6">
        <v>1501700</v>
      </c>
      <c r="M251" s="6">
        <v>1501700</v>
      </c>
      <c r="N251" s="6" t="s">
        <v>30</v>
      </c>
      <c r="O251" s="8">
        <v>43103</v>
      </c>
      <c r="Q251">
        <f>Table39[[#This Row],[AGREEMENT VALUE OF UNIT]]-Table39[[#This Row],[AMOUNT RECEIVED TILL DATE]]</f>
        <v>0</v>
      </c>
    </row>
    <row r="252" spans="2:17" x14ac:dyDescent="0.25">
      <c r="B252" s="5">
        <f t="shared" si="3"/>
        <v>250</v>
      </c>
      <c r="C252" s="6" t="s">
        <v>337</v>
      </c>
      <c r="D252" s="6" t="s">
        <v>191</v>
      </c>
      <c r="E252" s="6" t="s">
        <v>338</v>
      </c>
      <c r="F252" s="6">
        <v>800</v>
      </c>
      <c r="G252" s="6" t="s">
        <v>26</v>
      </c>
      <c r="H252" s="6"/>
      <c r="I252" s="6"/>
      <c r="J252" s="6"/>
      <c r="K252" s="7">
        <v>40801</v>
      </c>
      <c r="L252" s="6">
        <v>1450000</v>
      </c>
      <c r="M252" s="6">
        <v>1450000</v>
      </c>
      <c r="N252" s="6" t="s">
        <v>46</v>
      </c>
      <c r="O252" s="8">
        <v>43103</v>
      </c>
      <c r="Q252">
        <f>Table39[[#This Row],[AGREEMENT VALUE OF UNIT]]-Table39[[#This Row],[AMOUNT RECEIVED TILL DATE]]</f>
        <v>0</v>
      </c>
    </row>
    <row r="253" spans="2:17" x14ac:dyDescent="0.25">
      <c r="B253" s="5">
        <f t="shared" si="3"/>
        <v>251</v>
      </c>
      <c r="C253" s="6" t="s">
        <v>168</v>
      </c>
      <c r="D253" s="6" t="s">
        <v>191</v>
      </c>
      <c r="E253" s="6" t="s">
        <v>339</v>
      </c>
      <c r="F253" s="6">
        <v>800</v>
      </c>
      <c r="G253" s="6" t="s">
        <v>26</v>
      </c>
      <c r="H253" s="6"/>
      <c r="I253" s="6"/>
      <c r="J253" s="6"/>
      <c r="K253" s="7">
        <v>40792</v>
      </c>
      <c r="L253" s="6">
        <v>1501700</v>
      </c>
      <c r="M253" s="6">
        <v>1501700</v>
      </c>
      <c r="N253" s="6" t="s">
        <v>30</v>
      </c>
      <c r="O253" s="8">
        <v>43103</v>
      </c>
      <c r="Q253">
        <f>Table39[[#This Row],[AGREEMENT VALUE OF UNIT]]-Table39[[#This Row],[AMOUNT RECEIVED TILL DATE]]</f>
        <v>0</v>
      </c>
    </row>
    <row r="254" spans="2:17" x14ac:dyDescent="0.25">
      <c r="B254" s="5">
        <f t="shared" si="3"/>
        <v>252</v>
      </c>
      <c r="C254" s="6" t="s">
        <v>344</v>
      </c>
      <c r="D254" s="6" t="s">
        <v>191</v>
      </c>
      <c r="E254" s="6" t="s">
        <v>345</v>
      </c>
      <c r="F254" s="6">
        <v>800</v>
      </c>
      <c r="G254" s="6" t="s">
        <v>26</v>
      </c>
      <c r="H254" s="6"/>
      <c r="I254" s="6"/>
      <c r="J254" s="6"/>
      <c r="K254" s="7">
        <v>40788</v>
      </c>
      <c r="L254" s="6">
        <v>1429750</v>
      </c>
      <c r="M254" s="6">
        <v>1429750</v>
      </c>
      <c r="N254" s="6" t="s">
        <v>27</v>
      </c>
      <c r="O254" s="8">
        <v>43103</v>
      </c>
      <c r="Q254">
        <f>Table39[[#This Row],[AGREEMENT VALUE OF UNIT]]-Table39[[#This Row],[AMOUNT RECEIVED TILL DATE]]</f>
        <v>0</v>
      </c>
    </row>
    <row r="255" spans="2:17" x14ac:dyDescent="0.25">
      <c r="B255" s="5">
        <f t="shared" si="3"/>
        <v>253</v>
      </c>
      <c r="C255" s="6" t="s">
        <v>346</v>
      </c>
      <c r="D255" s="6" t="s">
        <v>191</v>
      </c>
      <c r="E255" s="6" t="s">
        <v>347</v>
      </c>
      <c r="F255" s="6">
        <v>800</v>
      </c>
      <c r="G255" s="6" t="s">
        <v>26</v>
      </c>
      <c r="H255" s="6"/>
      <c r="I255" s="6"/>
      <c r="J255" s="6"/>
      <c r="K255" s="7">
        <v>40788</v>
      </c>
      <c r="L255" s="6">
        <v>1460250</v>
      </c>
      <c r="M255" s="6">
        <v>1460250</v>
      </c>
      <c r="N255" s="6" t="s">
        <v>27</v>
      </c>
      <c r="O255" s="8">
        <v>43103</v>
      </c>
      <c r="Q255">
        <f>Table39[[#This Row],[AGREEMENT VALUE OF UNIT]]-Table39[[#This Row],[AMOUNT RECEIVED TILL DATE]]</f>
        <v>0</v>
      </c>
    </row>
    <row r="256" spans="2:17" x14ac:dyDescent="0.25">
      <c r="B256" s="5">
        <f t="shared" si="3"/>
        <v>254</v>
      </c>
      <c r="C256" s="6" t="s">
        <v>348</v>
      </c>
      <c r="D256" s="6" t="s">
        <v>191</v>
      </c>
      <c r="E256" s="6" t="s">
        <v>349</v>
      </c>
      <c r="F256" s="6">
        <v>800</v>
      </c>
      <c r="G256" s="6" t="s">
        <v>26</v>
      </c>
      <c r="H256" s="6"/>
      <c r="I256" s="6"/>
      <c r="J256" s="6"/>
      <c r="K256" s="7">
        <v>40787</v>
      </c>
      <c r="L256" s="6">
        <v>1504750</v>
      </c>
      <c r="M256" s="6">
        <v>1504750</v>
      </c>
      <c r="N256" s="6" t="s">
        <v>30</v>
      </c>
      <c r="O256" s="8">
        <v>43103</v>
      </c>
      <c r="Q256">
        <f>Table39[[#This Row],[AGREEMENT VALUE OF UNIT]]-Table39[[#This Row],[AMOUNT RECEIVED TILL DATE]]</f>
        <v>0</v>
      </c>
    </row>
    <row r="257" spans="2:17" x14ac:dyDescent="0.25">
      <c r="B257" s="5">
        <f t="shared" si="3"/>
        <v>255</v>
      </c>
      <c r="C257" s="6" t="s">
        <v>350</v>
      </c>
      <c r="D257" s="6" t="s">
        <v>191</v>
      </c>
      <c r="E257" s="6" t="s">
        <v>351</v>
      </c>
      <c r="F257" s="6">
        <v>800</v>
      </c>
      <c r="G257" s="6" t="s">
        <v>26</v>
      </c>
      <c r="H257" s="6"/>
      <c r="I257" s="6"/>
      <c r="J257" s="6"/>
      <c r="K257" s="7">
        <v>40892</v>
      </c>
      <c r="L257" s="6">
        <v>1555000</v>
      </c>
      <c r="M257" s="6">
        <v>1555000</v>
      </c>
      <c r="N257" s="6" t="s">
        <v>39</v>
      </c>
      <c r="O257" s="8">
        <v>43103</v>
      </c>
      <c r="Q257">
        <f>Table39[[#This Row],[AGREEMENT VALUE OF UNIT]]-Table39[[#This Row],[AMOUNT RECEIVED TILL DATE]]</f>
        <v>0</v>
      </c>
    </row>
    <row r="258" spans="2:17" x14ac:dyDescent="0.25">
      <c r="B258" s="5">
        <f t="shared" si="3"/>
        <v>256</v>
      </c>
      <c r="C258" s="6" t="s">
        <v>355</v>
      </c>
      <c r="D258" s="6" t="s">
        <v>191</v>
      </c>
      <c r="E258" s="6" t="s">
        <v>356</v>
      </c>
      <c r="F258" s="6">
        <v>800</v>
      </c>
      <c r="G258" s="6" t="s">
        <v>26</v>
      </c>
      <c r="H258" s="6"/>
      <c r="I258" s="6"/>
      <c r="J258" s="6"/>
      <c r="K258" s="7">
        <v>43053</v>
      </c>
      <c r="L258" s="6">
        <v>2089605</v>
      </c>
      <c r="M258" s="6">
        <v>209000</v>
      </c>
      <c r="N258" s="6" t="s">
        <v>46</v>
      </c>
      <c r="O258" s="8">
        <v>43103</v>
      </c>
      <c r="Q258">
        <f>Table39[[#This Row],[AGREEMENT VALUE OF UNIT]]-Table39[[#This Row],[AMOUNT RECEIVED TILL DATE]]</f>
        <v>1880605</v>
      </c>
    </row>
    <row r="259" spans="2:17" x14ac:dyDescent="0.25">
      <c r="B259" s="5">
        <f t="shared" si="3"/>
        <v>257</v>
      </c>
      <c r="C259" s="6" t="s">
        <v>357</v>
      </c>
      <c r="D259" s="6" t="s">
        <v>191</v>
      </c>
      <c r="E259" s="6" t="s">
        <v>358</v>
      </c>
      <c r="F259" s="6">
        <v>800</v>
      </c>
      <c r="G259" s="6" t="s">
        <v>26</v>
      </c>
      <c r="H259" s="6"/>
      <c r="I259" s="6"/>
      <c r="J259" s="6"/>
      <c r="K259" s="7">
        <v>40837</v>
      </c>
      <c r="L259" s="6">
        <v>1485000</v>
      </c>
      <c r="M259" s="6">
        <v>1454342</v>
      </c>
      <c r="N259" s="6" t="s">
        <v>39</v>
      </c>
      <c r="O259" s="8">
        <v>43103</v>
      </c>
      <c r="Q259">
        <f>Table39[[#This Row],[AGREEMENT VALUE OF UNIT]]-Table39[[#This Row],[AMOUNT RECEIVED TILL DATE]]</f>
        <v>30658</v>
      </c>
    </row>
    <row r="260" spans="2:17" x14ac:dyDescent="0.25">
      <c r="B260" s="5">
        <f t="shared" ref="B260:B323" si="4">B259+1</f>
        <v>258</v>
      </c>
      <c r="C260" s="6" t="s">
        <v>359</v>
      </c>
      <c r="D260" s="6" t="s">
        <v>191</v>
      </c>
      <c r="E260" s="6" t="s">
        <v>360</v>
      </c>
      <c r="F260" s="6">
        <v>800</v>
      </c>
      <c r="G260" s="6" t="s">
        <v>26</v>
      </c>
      <c r="H260" s="6"/>
      <c r="I260" s="6"/>
      <c r="J260" s="6"/>
      <c r="K260" s="7">
        <v>41079</v>
      </c>
      <c r="L260" s="6">
        <v>1902425</v>
      </c>
      <c r="M260" s="6">
        <v>1902425</v>
      </c>
      <c r="N260" s="6" t="s">
        <v>30</v>
      </c>
      <c r="O260" s="8">
        <v>43103</v>
      </c>
      <c r="Q260">
        <f>Table39[[#This Row],[AGREEMENT VALUE OF UNIT]]-Table39[[#This Row],[AMOUNT RECEIVED TILL DATE]]</f>
        <v>0</v>
      </c>
    </row>
    <row r="261" spans="2:17" x14ac:dyDescent="0.25">
      <c r="B261" s="5">
        <f t="shared" si="4"/>
        <v>259</v>
      </c>
      <c r="C261" s="6" t="s">
        <v>361</v>
      </c>
      <c r="D261" s="6" t="s">
        <v>191</v>
      </c>
      <c r="E261" s="6" t="s">
        <v>362</v>
      </c>
      <c r="F261" s="6">
        <v>800</v>
      </c>
      <c r="G261" s="6" t="s">
        <v>26</v>
      </c>
      <c r="H261" s="6"/>
      <c r="I261" s="6"/>
      <c r="J261" s="6"/>
      <c r="K261" s="7">
        <v>40837</v>
      </c>
      <c r="L261" s="6">
        <v>1545000</v>
      </c>
      <c r="M261" s="6">
        <v>1545000</v>
      </c>
      <c r="N261" s="6" t="s">
        <v>30</v>
      </c>
      <c r="O261" s="8">
        <v>43103</v>
      </c>
      <c r="Q261">
        <f>Table39[[#This Row],[AGREEMENT VALUE OF UNIT]]-Table39[[#This Row],[AMOUNT RECEIVED TILL DATE]]</f>
        <v>0</v>
      </c>
    </row>
    <row r="262" spans="2:17" x14ac:dyDescent="0.25">
      <c r="B262" s="5">
        <f t="shared" si="4"/>
        <v>260</v>
      </c>
      <c r="C262" s="6"/>
      <c r="D262" s="6" t="s">
        <v>191</v>
      </c>
      <c r="E262" s="6" t="s">
        <v>367</v>
      </c>
      <c r="F262" s="6">
        <v>800</v>
      </c>
      <c r="G262" s="6" t="s">
        <v>32</v>
      </c>
      <c r="H262" s="6"/>
      <c r="I262" s="6"/>
      <c r="J262" s="6"/>
      <c r="K262" s="7"/>
      <c r="L262" s="6"/>
      <c r="M262" s="6"/>
      <c r="N262" s="6"/>
      <c r="O262" s="8"/>
      <c r="Q262">
        <f>Table39[[#This Row],[AGREEMENT VALUE OF UNIT]]-Table39[[#This Row],[AMOUNT RECEIVED TILL DATE]]</f>
        <v>0</v>
      </c>
    </row>
    <row r="263" spans="2:17" x14ac:dyDescent="0.25">
      <c r="B263" s="5">
        <f t="shared" si="4"/>
        <v>261</v>
      </c>
      <c r="C263" s="6"/>
      <c r="D263" s="6" t="s">
        <v>191</v>
      </c>
      <c r="E263" s="6" t="s">
        <v>368</v>
      </c>
      <c r="F263" s="6">
        <v>800</v>
      </c>
      <c r="G263" s="6" t="s">
        <v>104</v>
      </c>
      <c r="H263" s="6"/>
      <c r="I263" s="6"/>
      <c r="J263" s="6"/>
      <c r="K263" s="7"/>
      <c r="L263" s="6"/>
      <c r="M263" s="6"/>
      <c r="N263" s="6"/>
      <c r="O263" s="8"/>
      <c r="Q263">
        <f>Table39[[#This Row],[AGREEMENT VALUE OF UNIT]]-Table39[[#This Row],[AMOUNT RECEIVED TILL DATE]]</f>
        <v>0</v>
      </c>
    </row>
    <row r="264" spans="2:17" x14ac:dyDescent="0.25">
      <c r="B264" s="5">
        <f t="shared" si="4"/>
        <v>262</v>
      </c>
      <c r="C264" s="6"/>
      <c r="D264" s="6" t="s">
        <v>191</v>
      </c>
      <c r="E264" s="6" t="s">
        <v>369</v>
      </c>
      <c r="F264" s="6">
        <v>800</v>
      </c>
      <c r="G264" s="6" t="s">
        <v>104</v>
      </c>
      <c r="H264" s="6"/>
      <c r="I264" s="6"/>
      <c r="J264" s="6"/>
      <c r="K264" s="7"/>
      <c r="L264" s="6"/>
      <c r="M264" s="6"/>
      <c r="N264" s="6"/>
      <c r="O264" s="8"/>
      <c r="Q264">
        <f>Table39[[#This Row],[AGREEMENT VALUE OF UNIT]]-Table39[[#This Row],[AMOUNT RECEIVED TILL DATE]]</f>
        <v>0</v>
      </c>
    </row>
    <row r="265" spans="2:17" x14ac:dyDescent="0.25">
      <c r="B265" s="5">
        <f t="shared" si="4"/>
        <v>263</v>
      </c>
      <c r="C265" s="6"/>
      <c r="D265" s="6" t="s">
        <v>191</v>
      </c>
      <c r="E265" s="6" t="s">
        <v>370</v>
      </c>
      <c r="F265" s="6">
        <v>800</v>
      </c>
      <c r="G265" s="6" t="s">
        <v>104</v>
      </c>
      <c r="H265" s="6"/>
      <c r="I265" s="6"/>
      <c r="J265" s="6"/>
      <c r="K265" s="7"/>
      <c r="L265" s="6"/>
      <c r="M265" s="6"/>
      <c r="N265" s="6"/>
      <c r="O265" s="8"/>
      <c r="Q265">
        <f>Table39[[#This Row],[AGREEMENT VALUE OF UNIT]]-Table39[[#This Row],[AMOUNT RECEIVED TILL DATE]]</f>
        <v>0</v>
      </c>
    </row>
    <row r="266" spans="2:17" x14ac:dyDescent="0.25">
      <c r="B266" s="5">
        <f t="shared" si="4"/>
        <v>264</v>
      </c>
      <c r="C266" s="6"/>
      <c r="D266" s="6" t="s">
        <v>191</v>
      </c>
      <c r="E266" s="6" t="s">
        <v>371</v>
      </c>
      <c r="F266" s="6">
        <v>800</v>
      </c>
      <c r="G266" s="6" t="s">
        <v>104</v>
      </c>
      <c r="H266" s="6"/>
      <c r="I266" s="6"/>
      <c r="J266" s="6"/>
      <c r="K266" s="7"/>
      <c r="L266" s="6"/>
      <c r="M266" s="6"/>
      <c r="N266" s="6"/>
      <c r="O266" s="8"/>
      <c r="Q266">
        <f>Table39[[#This Row],[AGREEMENT VALUE OF UNIT]]-Table39[[#This Row],[AMOUNT RECEIVED TILL DATE]]</f>
        <v>0</v>
      </c>
    </row>
    <row r="267" spans="2:17" x14ac:dyDescent="0.25">
      <c r="B267" s="5">
        <f t="shared" si="4"/>
        <v>265</v>
      </c>
      <c r="C267" s="6"/>
      <c r="D267" s="6" t="s">
        <v>191</v>
      </c>
      <c r="E267" s="6" t="s">
        <v>372</v>
      </c>
      <c r="F267" s="6">
        <v>800</v>
      </c>
      <c r="G267" s="6" t="s">
        <v>104</v>
      </c>
      <c r="H267" s="6"/>
      <c r="I267" s="6"/>
      <c r="J267" s="6"/>
      <c r="K267" s="7"/>
      <c r="L267" s="6"/>
      <c r="M267" s="6"/>
      <c r="N267" s="6"/>
      <c r="O267" s="8"/>
      <c r="Q267">
        <f>Table39[[#This Row],[AGREEMENT VALUE OF UNIT]]-Table39[[#This Row],[AMOUNT RECEIVED TILL DATE]]</f>
        <v>0</v>
      </c>
    </row>
    <row r="268" spans="2:17" x14ac:dyDescent="0.25">
      <c r="B268" s="5">
        <f t="shared" si="4"/>
        <v>266</v>
      </c>
      <c r="C268" s="6" t="s">
        <v>373</v>
      </c>
      <c r="D268" s="6" t="s">
        <v>191</v>
      </c>
      <c r="E268" s="6" t="s">
        <v>374</v>
      </c>
      <c r="F268" s="6">
        <v>800</v>
      </c>
      <c r="G268" s="6" t="s">
        <v>26</v>
      </c>
      <c r="H268" s="6"/>
      <c r="I268" s="6"/>
      <c r="J268" s="6"/>
      <c r="K268" s="7">
        <v>40831</v>
      </c>
      <c r="L268" s="6">
        <v>1745000</v>
      </c>
      <c r="M268" s="6">
        <v>1745000</v>
      </c>
      <c r="N268" s="6" t="s">
        <v>30</v>
      </c>
      <c r="O268" s="8">
        <v>43103</v>
      </c>
      <c r="Q268">
        <f>Table39[[#This Row],[AGREEMENT VALUE OF UNIT]]-Table39[[#This Row],[AMOUNT RECEIVED TILL DATE]]</f>
        <v>0</v>
      </c>
    </row>
    <row r="269" spans="2:17" x14ac:dyDescent="0.25">
      <c r="B269" s="5">
        <f t="shared" si="4"/>
        <v>267</v>
      </c>
      <c r="C269" s="6" t="s">
        <v>375</v>
      </c>
      <c r="D269" s="6" t="s">
        <v>191</v>
      </c>
      <c r="E269" s="6" t="s">
        <v>376</v>
      </c>
      <c r="F269" s="6">
        <v>800</v>
      </c>
      <c r="G269" s="6" t="s">
        <v>26</v>
      </c>
      <c r="H269" s="6"/>
      <c r="I269" s="6"/>
      <c r="J269" s="6"/>
      <c r="K269" s="7">
        <v>40674</v>
      </c>
      <c r="L269" s="6">
        <v>1596550</v>
      </c>
      <c r="M269" s="6">
        <v>1596550</v>
      </c>
      <c r="N269" s="6" t="s">
        <v>39</v>
      </c>
      <c r="O269" s="8">
        <v>43103</v>
      </c>
      <c r="Q269">
        <f>Table39[[#This Row],[AGREEMENT VALUE OF UNIT]]-Table39[[#This Row],[AMOUNT RECEIVED TILL DATE]]</f>
        <v>0</v>
      </c>
    </row>
    <row r="270" spans="2:17" x14ac:dyDescent="0.25">
      <c r="B270" s="5">
        <f t="shared" si="4"/>
        <v>268</v>
      </c>
      <c r="C270" s="6" t="s">
        <v>377</v>
      </c>
      <c r="D270" s="6" t="s">
        <v>191</v>
      </c>
      <c r="E270" s="6" t="s">
        <v>378</v>
      </c>
      <c r="F270" s="6">
        <v>800</v>
      </c>
      <c r="G270" s="6" t="s">
        <v>26</v>
      </c>
      <c r="H270" s="6"/>
      <c r="I270" s="6"/>
      <c r="J270" s="6"/>
      <c r="K270" s="7">
        <v>40831</v>
      </c>
      <c r="L270" s="6">
        <v>1745000</v>
      </c>
      <c r="M270" s="6">
        <v>1745000</v>
      </c>
      <c r="N270" s="6" t="s">
        <v>57</v>
      </c>
      <c r="O270" s="8">
        <v>43103</v>
      </c>
      <c r="Q270">
        <f>Table39[[#This Row],[AGREEMENT VALUE OF UNIT]]-Table39[[#This Row],[AMOUNT RECEIVED TILL DATE]]</f>
        <v>0</v>
      </c>
    </row>
    <row r="271" spans="2:17" x14ac:dyDescent="0.25">
      <c r="B271" s="5">
        <f t="shared" si="4"/>
        <v>269</v>
      </c>
      <c r="C271" s="6" t="s">
        <v>379</v>
      </c>
      <c r="D271" s="6" t="s">
        <v>191</v>
      </c>
      <c r="E271" s="6" t="s">
        <v>380</v>
      </c>
      <c r="F271" s="6">
        <v>800</v>
      </c>
      <c r="G271" s="6" t="s">
        <v>26</v>
      </c>
      <c r="H271" s="6"/>
      <c r="I271" s="6"/>
      <c r="J271" s="6"/>
      <c r="K271" s="7">
        <v>40872</v>
      </c>
      <c r="L271" s="6">
        <v>1960000</v>
      </c>
      <c r="M271" s="6">
        <v>1960000</v>
      </c>
      <c r="N271" s="6" t="s">
        <v>30</v>
      </c>
      <c r="O271" s="8">
        <v>43103</v>
      </c>
      <c r="Q271">
        <f>Table39[[#This Row],[AGREEMENT VALUE OF UNIT]]-Table39[[#This Row],[AMOUNT RECEIVED TILL DATE]]</f>
        <v>0</v>
      </c>
    </row>
    <row r="272" spans="2:17" x14ac:dyDescent="0.25">
      <c r="B272" s="5">
        <f t="shared" si="4"/>
        <v>270</v>
      </c>
      <c r="C272" s="6" t="s">
        <v>381</v>
      </c>
      <c r="D272" s="6" t="s">
        <v>191</v>
      </c>
      <c r="E272" s="6" t="s">
        <v>382</v>
      </c>
      <c r="F272" s="6">
        <v>800</v>
      </c>
      <c r="G272" s="6" t="s">
        <v>26</v>
      </c>
      <c r="H272" s="6"/>
      <c r="I272" s="6"/>
      <c r="J272" s="6"/>
      <c r="K272" s="7">
        <v>40814</v>
      </c>
      <c r="L272" s="6">
        <v>1684000</v>
      </c>
      <c r="M272" s="6">
        <v>1684000</v>
      </c>
      <c r="N272" s="6" t="s">
        <v>30</v>
      </c>
      <c r="O272" s="8">
        <v>43103</v>
      </c>
      <c r="Q272">
        <f>Table39[[#This Row],[AGREEMENT VALUE OF UNIT]]-Table39[[#This Row],[AMOUNT RECEIVED TILL DATE]]</f>
        <v>0</v>
      </c>
    </row>
    <row r="273" spans="2:17" x14ac:dyDescent="0.25">
      <c r="B273" s="5">
        <f t="shared" si="4"/>
        <v>271</v>
      </c>
      <c r="C273" s="6" t="s">
        <v>383</v>
      </c>
      <c r="D273" s="6" t="s">
        <v>191</v>
      </c>
      <c r="E273" s="6" t="s">
        <v>384</v>
      </c>
      <c r="F273" s="6">
        <v>800</v>
      </c>
      <c r="G273" s="6" t="s">
        <v>26</v>
      </c>
      <c r="H273" s="6"/>
      <c r="I273" s="6"/>
      <c r="J273" s="6"/>
      <c r="K273" s="7">
        <v>40730</v>
      </c>
      <c r="L273" s="6">
        <v>1700000</v>
      </c>
      <c r="M273" s="6">
        <v>1700000</v>
      </c>
      <c r="N273" s="6" t="s">
        <v>144</v>
      </c>
      <c r="O273" s="8">
        <v>43103</v>
      </c>
      <c r="Q273">
        <f>Table39[[#This Row],[AGREEMENT VALUE OF UNIT]]-Table39[[#This Row],[AMOUNT RECEIVED TILL DATE]]</f>
        <v>0</v>
      </c>
    </row>
    <row r="274" spans="2:17" x14ac:dyDescent="0.25">
      <c r="B274" s="5">
        <f t="shared" si="4"/>
        <v>272</v>
      </c>
      <c r="C274" s="6" t="s">
        <v>385</v>
      </c>
      <c r="D274" s="6" t="s">
        <v>191</v>
      </c>
      <c r="E274" s="6" t="s">
        <v>386</v>
      </c>
      <c r="F274" s="6">
        <v>800</v>
      </c>
      <c r="G274" s="6" t="s">
        <v>26</v>
      </c>
      <c r="H274" s="6"/>
      <c r="I274" s="6"/>
      <c r="J274" s="6"/>
      <c r="K274" s="7">
        <v>40917</v>
      </c>
      <c r="L274" s="6">
        <v>1792500</v>
      </c>
      <c r="M274" s="6">
        <v>1792500</v>
      </c>
      <c r="N274" s="6" t="s">
        <v>27</v>
      </c>
      <c r="O274" s="8">
        <v>43103</v>
      </c>
      <c r="Q274">
        <f>Table39[[#This Row],[AGREEMENT VALUE OF UNIT]]-Table39[[#This Row],[AMOUNT RECEIVED TILL DATE]]</f>
        <v>0</v>
      </c>
    </row>
    <row r="275" spans="2:17" x14ac:dyDescent="0.25">
      <c r="B275" s="5">
        <f t="shared" si="4"/>
        <v>273</v>
      </c>
      <c r="C275" s="6" t="s">
        <v>387</v>
      </c>
      <c r="D275" s="6" t="s">
        <v>191</v>
      </c>
      <c r="E275" s="6" t="s">
        <v>388</v>
      </c>
      <c r="F275" s="6">
        <v>800</v>
      </c>
      <c r="G275" s="6" t="s">
        <v>26</v>
      </c>
      <c r="H275" s="6"/>
      <c r="I275" s="6"/>
      <c r="J275" s="6"/>
      <c r="K275" s="7">
        <v>40716</v>
      </c>
      <c r="L275" s="6">
        <v>1700000</v>
      </c>
      <c r="M275" s="6">
        <v>1700000</v>
      </c>
      <c r="N275" s="6" t="s">
        <v>30</v>
      </c>
      <c r="O275" s="8">
        <v>43103</v>
      </c>
      <c r="Q275">
        <f>Table39[[#This Row],[AGREEMENT VALUE OF UNIT]]-Table39[[#This Row],[AMOUNT RECEIVED TILL DATE]]</f>
        <v>0</v>
      </c>
    </row>
    <row r="276" spans="2:17" x14ac:dyDescent="0.25">
      <c r="B276" s="5">
        <f t="shared" si="4"/>
        <v>274</v>
      </c>
      <c r="C276" s="6" t="s">
        <v>389</v>
      </c>
      <c r="D276" s="6" t="s">
        <v>191</v>
      </c>
      <c r="E276" s="6" t="s">
        <v>390</v>
      </c>
      <c r="F276" s="6">
        <v>800</v>
      </c>
      <c r="G276" s="6" t="s">
        <v>26</v>
      </c>
      <c r="H276" s="6"/>
      <c r="I276" s="6"/>
      <c r="J276" s="6"/>
      <c r="K276" s="7">
        <v>40831</v>
      </c>
      <c r="L276" s="6">
        <v>1692650</v>
      </c>
      <c r="M276" s="6">
        <v>1692650</v>
      </c>
      <c r="N276" s="6" t="s">
        <v>27</v>
      </c>
      <c r="O276" s="8">
        <v>43103</v>
      </c>
      <c r="Q276">
        <f>Table39[[#This Row],[AGREEMENT VALUE OF UNIT]]-Table39[[#This Row],[AMOUNT RECEIVED TILL DATE]]</f>
        <v>0</v>
      </c>
    </row>
    <row r="277" spans="2:17" x14ac:dyDescent="0.25">
      <c r="B277" s="5">
        <f t="shared" si="4"/>
        <v>275</v>
      </c>
      <c r="C277" s="6" t="s">
        <v>391</v>
      </c>
      <c r="D277" s="6" t="s">
        <v>191</v>
      </c>
      <c r="E277" s="6" t="s">
        <v>392</v>
      </c>
      <c r="F277" s="6">
        <v>800</v>
      </c>
      <c r="G277" s="6" t="s">
        <v>26</v>
      </c>
      <c r="H277" s="6"/>
      <c r="I277" s="6"/>
      <c r="J277" s="6"/>
      <c r="K277" s="7">
        <v>40872</v>
      </c>
      <c r="L277" s="6">
        <v>1690000</v>
      </c>
      <c r="M277" s="6">
        <v>1690000</v>
      </c>
      <c r="N277" s="6" t="s">
        <v>27</v>
      </c>
      <c r="O277" s="8">
        <v>43103</v>
      </c>
      <c r="Q277">
        <f>Table39[[#This Row],[AGREEMENT VALUE OF UNIT]]-Table39[[#This Row],[AMOUNT RECEIVED TILL DATE]]</f>
        <v>0</v>
      </c>
    </row>
    <row r="278" spans="2:17" x14ac:dyDescent="0.25">
      <c r="B278" s="5">
        <f t="shared" si="4"/>
        <v>276</v>
      </c>
      <c r="C278" s="6" t="s">
        <v>393</v>
      </c>
      <c r="D278" s="6" t="s">
        <v>191</v>
      </c>
      <c r="E278" s="6" t="s">
        <v>394</v>
      </c>
      <c r="F278" s="6">
        <v>800</v>
      </c>
      <c r="G278" s="6" t="s">
        <v>26</v>
      </c>
      <c r="H278" s="6"/>
      <c r="I278" s="6"/>
      <c r="J278" s="6"/>
      <c r="K278" s="7">
        <v>42322</v>
      </c>
      <c r="L278" s="6">
        <v>2941325</v>
      </c>
      <c r="M278" s="6">
        <v>2941325</v>
      </c>
      <c r="N278" s="6" t="s">
        <v>39</v>
      </c>
      <c r="O278" s="8">
        <v>43103</v>
      </c>
      <c r="Q278">
        <f>Table39[[#This Row],[AGREEMENT VALUE OF UNIT]]-Table39[[#This Row],[AMOUNT RECEIVED TILL DATE]]</f>
        <v>0</v>
      </c>
    </row>
    <row r="279" spans="2:17" x14ac:dyDescent="0.25">
      <c r="B279" s="5">
        <f t="shared" si="4"/>
        <v>277</v>
      </c>
      <c r="C279" s="6" t="s">
        <v>395</v>
      </c>
      <c r="D279" s="6" t="s">
        <v>191</v>
      </c>
      <c r="E279" s="6" t="s">
        <v>396</v>
      </c>
      <c r="F279" s="6">
        <v>800</v>
      </c>
      <c r="G279" s="6" t="s">
        <v>26</v>
      </c>
      <c r="H279" s="6"/>
      <c r="I279" s="6"/>
      <c r="J279" s="6"/>
      <c r="K279" s="7">
        <v>40872</v>
      </c>
      <c r="L279" s="6">
        <v>1690000</v>
      </c>
      <c r="M279" s="6">
        <v>1690000</v>
      </c>
      <c r="N279" s="6" t="s">
        <v>27</v>
      </c>
      <c r="O279" s="8">
        <v>43103</v>
      </c>
      <c r="Q279">
        <f>Table39[[#This Row],[AGREEMENT VALUE OF UNIT]]-Table39[[#This Row],[AMOUNT RECEIVED TILL DATE]]</f>
        <v>0</v>
      </c>
    </row>
    <row r="280" spans="2:17" x14ac:dyDescent="0.25">
      <c r="B280" s="5">
        <f t="shared" si="4"/>
        <v>278</v>
      </c>
      <c r="C280" s="6" t="s">
        <v>397</v>
      </c>
      <c r="D280" s="6" t="s">
        <v>191</v>
      </c>
      <c r="E280" s="6" t="s">
        <v>398</v>
      </c>
      <c r="F280" s="6">
        <v>800</v>
      </c>
      <c r="G280" s="6" t="s">
        <v>26</v>
      </c>
      <c r="H280" s="6"/>
      <c r="I280" s="6"/>
      <c r="J280" s="6"/>
      <c r="K280" s="7">
        <v>41056</v>
      </c>
      <c r="L280" s="6">
        <v>1970000</v>
      </c>
      <c r="M280" s="6">
        <v>1970000</v>
      </c>
      <c r="N280" s="6" t="s">
        <v>399</v>
      </c>
      <c r="O280" s="8">
        <v>43103</v>
      </c>
      <c r="Q280">
        <f>Table39[[#This Row],[AGREEMENT VALUE OF UNIT]]-Table39[[#This Row],[AMOUNT RECEIVED TILL DATE]]</f>
        <v>0</v>
      </c>
    </row>
    <row r="281" spans="2:17" x14ac:dyDescent="0.25">
      <c r="B281" s="5">
        <f t="shared" si="4"/>
        <v>279</v>
      </c>
      <c r="C281" s="6" t="s">
        <v>400</v>
      </c>
      <c r="D281" s="6" t="s">
        <v>191</v>
      </c>
      <c r="E281" s="6" t="s">
        <v>401</v>
      </c>
      <c r="F281" s="6">
        <v>800</v>
      </c>
      <c r="G281" s="6" t="s">
        <v>26</v>
      </c>
      <c r="H281" s="6"/>
      <c r="I281" s="6"/>
      <c r="J281" s="6"/>
      <c r="K281" s="7">
        <v>40651</v>
      </c>
      <c r="L281" s="6">
        <v>1537000</v>
      </c>
      <c r="M281" s="6">
        <v>1537000</v>
      </c>
      <c r="N281" s="6" t="s">
        <v>46</v>
      </c>
      <c r="O281" s="8">
        <v>43103</v>
      </c>
      <c r="Q281">
        <f>Table39[[#This Row],[AGREEMENT VALUE OF UNIT]]-Table39[[#This Row],[AMOUNT RECEIVED TILL DATE]]</f>
        <v>0</v>
      </c>
    </row>
    <row r="282" spans="2:17" x14ac:dyDescent="0.25">
      <c r="B282" s="5">
        <f t="shared" si="4"/>
        <v>280</v>
      </c>
      <c r="C282" s="6" t="s">
        <v>402</v>
      </c>
      <c r="D282" s="6" t="s">
        <v>191</v>
      </c>
      <c r="E282" s="6" t="s">
        <v>403</v>
      </c>
      <c r="F282" s="6">
        <v>800</v>
      </c>
      <c r="G282" s="6" t="s">
        <v>26</v>
      </c>
      <c r="H282" s="6"/>
      <c r="I282" s="6"/>
      <c r="J282" s="6"/>
      <c r="K282" s="7">
        <v>40829</v>
      </c>
      <c r="L282" s="6">
        <v>1675000</v>
      </c>
      <c r="M282" s="6">
        <v>1675000</v>
      </c>
      <c r="N282" s="6" t="s">
        <v>27</v>
      </c>
      <c r="O282" s="8">
        <v>43103</v>
      </c>
      <c r="Q282">
        <f>Table39[[#This Row],[AGREEMENT VALUE OF UNIT]]-Table39[[#This Row],[AMOUNT RECEIVED TILL DATE]]</f>
        <v>0</v>
      </c>
    </row>
    <row r="283" spans="2:17" x14ac:dyDescent="0.25">
      <c r="B283" s="5">
        <f t="shared" si="4"/>
        <v>281</v>
      </c>
      <c r="C283" s="6" t="s">
        <v>404</v>
      </c>
      <c r="D283" s="6" t="s">
        <v>191</v>
      </c>
      <c r="E283" s="6" t="s">
        <v>405</v>
      </c>
      <c r="F283" s="6">
        <v>800</v>
      </c>
      <c r="G283" s="6" t="s">
        <v>26</v>
      </c>
      <c r="H283" s="6"/>
      <c r="I283" s="6"/>
      <c r="J283" s="6"/>
      <c r="K283" s="7">
        <v>40694</v>
      </c>
      <c r="L283" s="6">
        <v>1595000</v>
      </c>
      <c r="M283" s="6">
        <v>1595000</v>
      </c>
      <c r="N283" s="6" t="s">
        <v>27</v>
      </c>
      <c r="O283" s="8">
        <v>43103</v>
      </c>
      <c r="Q283">
        <f>Table39[[#This Row],[AGREEMENT VALUE OF UNIT]]-Table39[[#This Row],[AMOUNT RECEIVED TILL DATE]]</f>
        <v>0</v>
      </c>
    </row>
    <row r="284" spans="2:17" x14ac:dyDescent="0.25">
      <c r="B284" s="5">
        <f t="shared" si="4"/>
        <v>282</v>
      </c>
      <c r="C284" s="6" t="s">
        <v>406</v>
      </c>
      <c r="D284" s="6" t="s">
        <v>191</v>
      </c>
      <c r="E284" s="6" t="s">
        <v>407</v>
      </c>
      <c r="F284" s="6">
        <v>800</v>
      </c>
      <c r="G284" s="6" t="s">
        <v>26</v>
      </c>
      <c r="H284" s="6"/>
      <c r="I284" s="6"/>
      <c r="J284" s="6"/>
      <c r="K284" s="7">
        <v>40788</v>
      </c>
      <c r="L284" s="6">
        <v>1690000</v>
      </c>
      <c r="M284" s="6">
        <v>1690000</v>
      </c>
      <c r="N284" s="6" t="s">
        <v>27</v>
      </c>
      <c r="O284" s="8">
        <v>43103</v>
      </c>
      <c r="Q284">
        <f>Table39[[#This Row],[AGREEMENT VALUE OF UNIT]]-Table39[[#This Row],[AMOUNT RECEIVED TILL DATE]]</f>
        <v>0</v>
      </c>
    </row>
    <row r="285" spans="2:17" x14ac:dyDescent="0.25">
      <c r="B285" s="5">
        <f t="shared" si="4"/>
        <v>283</v>
      </c>
      <c r="C285" s="6" t="s">
        <v>408</v>
      </c>
      <c r="D285" s="6" t="s">
        <v>191</v>
      </c>
      <c r="E285" s="6" t="s">
        <v>409</v>
      </c>
      <c r="F285" s="6">
        <v>800</v>
      </c>
      <c r="G285" s="6" t="s">
        <v>26</v>
      </c>
      <c r="H285" s="6"/>
      <c r="I285" s="6"/>
      <c r="J285" s="6"/>
      <c r="K285" s="7">
        <v>40694</v>
      </c>
      <c r="L285" s="6">
        <v>1595000</v>
      </c>
      <c r="M285" s="6">
        <v>1595000</v>
      </c>
      <c r="N285" s="6" t="s">
        <v>144</v>
      </c>
      <c r="O285" s="8">
        <v>43103</v>
      </c>
      <c r="Q285">
        <f>Table39[[#This Row],[AGREEMENT VALUE OF UNIT]]-Table39[[#This Row],[AMOUNT RECEIVED TILL DATE]]</f>
        <v>0</v>
      </c>
    </row>
    <row r="286" spans="2:17" x14ac:dyDescent="0.25">
      <c r="B286" s="5">
        <f t="shared" si="4"/>
        <v>284</v>
      </c>
      <c r="C286" s="6" t="s">
        <v>410</v>
      </c>
      <c r="D286" s="6" t="s">
        <v>191</v>
      </c>
      <c r="E286" s="6" t="s">
        <v>411</v>
      </c>
      <c r="F286" s="6">
        <v>800</v>
      </c>
      <c r="G286" s="6" t="s">
        <v>26</v>
      </c>
      <c r="H286" s="6"/>
      <c r="I286" s="6"/>
      <c r="J286" s="6"/>
      <c r="K286" s="7">
        <v>40830</v>
      </c>
      <c r="L286" s="6">
        <v>1700000</v>
      </c>
      <c r="M286" s="6">
        <v>1700000</v>
      </c>
      <c r="N286" s="6" t="s">
        <v>27</v>
      </c>
      <c r="O286" s="8">
        <v>43103</v>
      </c>
      <c r="Q286">
        <f>Table39[[#This Row],[AGREEMENT VALUE OF UNIT]]-Table39[[#This Row],[AMOUNT RECEIVED TILL DATE]]</f>
        <v>0</v>
      </c>
    </row>
    <row r="287" spans="2:17" x14ac:dyDescent="0.25">
      <c r="B287" s="5">
        <f t="shared" si="4"/>
        <v>285</v>
      </c>
      <c r="C287" s="6" t="s">
        <v>412</v>
      </c>
      <c r="D287" s="6" t="s">
        <v>191</v>
      </c>
      <c r="E287" s="6" t="s">
        <v>413</v>
      </c>
      <c r="F287" s="6">
        <v>800</v>
      </c>
      <c r="G287" s="6" t="s">
        <v>26</v>
      </c>
      <c r="H287" s="6"/>
      <c r="I287" s="6"/>
      <c r="J287" s="6"/>
      <c r="K287" s="7">
        <v>40831</v>
      </c>
      <c r="L287" s="6">
        <v>1655000</v>
      </c>
      <c r="M287" s="6">
        <v>1655000</v>
      </c>
      <c r="N287" s="6" t="s">
        <v>27</v>
      </c>
      <c r="O287" s="8">
        <v>43103</v>
      </c>
      <c r="Q287">
        <f>Table39[[#This Row],[AGREEMENT VALUE OF UNIT]]-Table39[[#This Row],[AMOUNT RECEIVED TILL DATE]]</f>
        <v>0</v>
      </c>
    </row>
    <row r="288" spans="2:17" x14ac:dyDescent="0.25">
      <c r="B288" s="5">
        <f t="shared" si="4"/>
        <v>286</v>
      </c>
      <c r="C288" s="6" t="s">
        <v>414</v>
      </c>
      <c r="D288" s="6" t="s">
        <v>191</v>
      </c>
      <c r="E288" s="6" t="s">
        <v>415</v>
      </c>
      <c r="F288" s="6">
        <v>800</v>
      </c>
      <c r="G288" s="6" t="s">
        <v>26</v>
      </c>
      <c r="H288" s="6"/>
      <c r="I288" s="6"/>
      <c r="J288" s="6"/>
      <c r="K288" s="7">
        <v>41743</v>
      </c>
      <c r="L288" s="6">
        <v>2703525</v>
      </c>
      <c r="M288" s="6">
        <v>2703525</v>
      </c>
      <c r="N288" s="6" t="s">
        <v>416</v>
      </c>
      <c r="O288" s="8">
        <v>43103</v>
      </c>
      <c r="Q288">
        <f>Table39[[#This Row],[AGREEMENT VALUE OF UNIT]]-Table39[[#This Row],[AMOUNT RECEIVED TILL DATE]]</f>
        <v>0</v>
      </c>
    </row>
    <row r="289" spans="2:17" x14ac:dyDescent="0.25">
      <c r="B289" s="5">
        <f t="shared" si="4"/>
        <v>287</v>
      </c>
      <c r="C289" s="6" t="s">
        <v>417</v>
      </c>
      <c r="D289" s="6" t="s">
        <v>191</v>
      </c>
      <c r="E289" s="6" t="s">
        <v>418</v>
      </c>
      <c r="F289" s="6">
        <v>800</v>
      </c>
      <c r="G289" s="6" t="s">
        <v>26</v>
      </c>
      <c r="H289" s="6"/>
      <c r="I289" s="6"/>
      <c r="J289" s="6"/>
      <c r="K289" s="7">
        <v>40838</v>
      </c>
      <c r="L289" s="6">
        <v>1655000</v>
      </c>
      <c r="M289" s="6">
        <v>1655000</v>
      </c>
      <c r="N289" s="6" t="s">
        <v>30</v>
      </c>
      <c r="O289" s="8">
        <v>43103</v>
      </c>
      <c r="Q289">
        <f>Table39[[#This Row],[AGREEMENT VALUE OF UNIT]]-Table39[[#This Row],[AMOUNT RECEIVED TILL DATE]]</f>
        <v>0</v>
      </c>
    </row>
    <row r="290" spans="2:17" x14ac:dyDescent="0.25">
      <c r="B290" s="5">
        <f t="shared" si="4"/>
        <v>288</v>
      </c>
      <c r="C290" s="6" t="s">
        <v>419</v>
      </c>
      <c r="D290" s="6" t="s">
        <v>191</v>
      </c>
      <c r="E290" s="6" t="s">
        <v>420</v>
      </c>
      <c r="F290" s="6">
        <v>800</v>
      </c>
      <c r="G290" s="6" t="s">
        <v>26</v>
      </c>
      <c r="H290" s="6"/>
      <c r="I290" s="6"/>
      <c r="J290" s="6"/>
      <c r="K290" s="7">
        <v>40830</v>
      </c>
      <c r="L290" s="6">
        <v>1700000</v>
      </c>
      <c r="M290" s="6">
        <v>1700000</v>
      </c>
      <c r="N290" s="6" t="s">
        <v>30</v>
      </c>
      <c r="O290" s="8">
        <v>43103</v>
      </c>
      <c r="Q290">
        <f>Table39[[#This Row],[AGREEMENT VALUE OF UNIT]]-Table39[[#This Row],[AMOUNT RECEIVED TILL DATE]]</f>
        <v>0</v>
      </c>
    </row>
    <row r="291" spans="2:17" x14ac:dyDescent="0.25">
      <c r="B291" s="5">
        <f t="shared" si="4"/>
        <v>289</v>
      </c>
      <c r="C291" s="6" t="s">
        <v>421</v>
      </c>
      <c r="D291" s="6" t="s">
        <v>191</v>
      </c>
      <c r="E291" s="6" t="s">
        <v>422</v>
      </c>
      <c r="F291" s="6">
        <v>800</v>
      </c>
      <c r="G291" s="6" t="s">
        <v>26</v>
      </c>
      <c r="H291" s="6"/>
      <c r="I291" s="6"/>
      <c r="J291" s="6"/>
      <c r="K291" s="7">
        <v>40859</v>
      </c>
      <c r="L291" s="6">
        <v>1800000</v>
      </c>
      <c r="M291" s="6">
        <v>1800000</v>
      </c>
      <c r="N291" s="6" t="s">
        <v>30</v>
      </c>
      <c r="O291" s="8">
        <v>43103</v>
      </c>
      <c r="Q291">
        <f>Table39[[#This Row],[AGREEMENT VALUE OF UNIT]]-Table39[[#This Row],[AMOUNT RECEIVED TILL DATE]]</f>
        <v>0</v>
      </c>
    </row>
    <row r="292" spans="2:17" x14ac:dyDescent="0.25">
      <c r="B292" s="5">
        <f t="shared" si="4"/>
        <v>290</v>
      </c>
      <c r="C292" s="6" t="s">
        <v>423</v>
      </c>
      <c r="D292" s="6" t="s">
        <v>191</v>
      </c>
      <c r="E292" s="6" t="s">
        <v>424</v>
      </c>
      <c r="F292" s="6">
        <v>800</v>
      </c>
      <c r="G292" s="6" t="s">
        <v>26</v>
      </c>
      <c r="H292" s="6"/>
      <c r="I292" s="6"/>
      <c r="J292" s="6"/>
      <c r="K292" s="7">
        <v>40643</v>
      </c>
      <c r="L292" s="6">
        <v>1450000</v>
      </c>
      <c r="M292" s="6">
        <v>1450000</v>
      </c>
      <c r="N292" s="6" t="s">
        <v>425</v>
      </c>
      <c r="O292" s="8">
        <v>43103</v>
      </c>
      <c r="Q292">
        <f>Table39[[#This Row],[AGREEMENT VALUE OF UNIT]]-Table39[[#This Row],[AMOUNT RECEIVED TILL DATE]]</f>
        <v>0</v>
      </c>
    </row>
    <row r="293" spans="2:17" x14ac:dyDescent="0.25">
      <c r="B293" s="5">
        <f t="shared" si="4"/>
        <v>291</v>
      </c>
      <c r="C293" s="6" t="s">
        <v>426</v>
      </c>
      <c r="D293" s="6" t="s">
        <v>191</v>
      </c>
      <c r="E293" s="6" t="s">
        <v>427</v>
      </c>
      <c r="F293" s="6">
        <v>800</v>
      </c>
      <c r="G293" s="6" t="s">
        <v>26</v>
      </c>
      <c r="H293" s="6"/>
      <c r="I293" s="6"/>
      <c r="J293" s="6"/>
      <c r="K293" s="7">
        <v>40717</v>
      </c>
      <c r="L293" s="6">
        <v>1575000</v>
      </c>
      <c r="M293" s="6">
        <v>1575000</v>
      </c>
      <c r="N293" s="6" t="s">
        <v>27</v>
      </c>
      <c r="O293" s="8">
        <v>43103</v>
      </c>
      <c r="Q293">
        <f>Table39[[#This Row],[AGREEMENT VALUE OF UNIT]]-Table39[[#This Row],[AMOUNT RECEIVED TILL DATE]]</f>
        <v>0</v>
      </c>
    </row>
    <row r="294" spans="2:17" x14ac:dyDescent="0.25">
      <c r="B294" s="5">
        <f t="shared" si="4"/>
        <v>292</v>
      </c>
      <c r="C294" s="6" t="s">
        <v>428</v>
      </c>
      <c r="D294" s="6" t="s">
        <v>191</v>
      </c>
      <c r="E294" s="6" t="s">
        <v>429</v>
      </c>
      <c r="F294" s="6">
        <v>800</v>
      </c>
      <c r="G294" s="6" t="s">
        <v>26</v>
      </c>
      <c r="H294" s="6"/>
      <c r="I294" s="6"/>
      <c r="J294" s="6"/>
      <c r="K294" s="7">
        <v>40831</v>
      </c>
      <c r="L294" s="6">
        <v>1590000</v>
      </c>
      <c r="M294" s="6">
        <v>1263574</v>
      </c>
      <c r="N294" s="6" t="s">
        <v>30</v>
      </c>
      <c r="O294" s="8">
        <v>43103</v>
      </c>
      <c r="Q294">
        <f>Table39[[#This Row],[AGREEMENT VALUE OF UNIT]]-Table39[[#This Row],[AMOUNT RECEIVED TILL DATE]]</f>
        <v>326426</v>
      </c>
    </row>
    <row r="295" spans="2:17" x14ac:dyDescent="0.25">
      <c r="B295" s="5">
        <f t="shared" si="4"/>
        <v>293</v>
      </c>
      <c r="C295" s="6" t="s">
        <v>430</v>
      </c>
      <c r="D295" s="6" t="s">
        <v>191</v>
      </c>
      <c r="E295" s="6" t="s">
        <v>431</v>
      </c>
      <c r="F295" s="6">
        <v>800</v>
      </c>
      <c r="G295" s="6" t="s">
        <v>26</v>
      </c>
      <c r="H295" s="6"/>
      <c r="I295" s="6"/>
      <c r="J295" s="6"/>
      <c r="K295" s="7">
        <v>40815</v>
      </c>
      <c r="L295" s="6">
        <v>1688350</v>
      </c>
      <c r="M295" s="6">
        <v>1688350</v>
      </c>
      <c r="N295" s="6" t="s">
        <v>27</v>
      </c>
      <c r="O295" s="8">
        <v>43103</v>
      </c>
      <c r="Q295">
        <f>Table39[[#This Row],[AGREEMENT VALUE OF UNIT]]-Table39[[#This Row],[AMOUNT RECEIVED TILL DATE]]</f>
        <v>0</v>
      </c>
    </row>
    <row r="296" spans="2:17" x14ac:dyDescent="0.25">
      <c r="B296" s="5">
        <f t="shared" si="4"/>
        <v>294</v>
      </c>
      <c r="C296" s="6" t="s">
        <v>432</v>
      </c>
      <c r="D296" s="6" t="s">
        <v>191</v>
      </c>
      <c r="E296" s="6" t="s">
        <v>433</v>
      </c>
      <c r="F296" s="6">
        <v>800</v>
      </c>
      <c r="G296" s="6" t="s">
        <v>26</v>
      </c>
      <c r="H296" s="6"/>
      <c r="I296" s="6"/>
      <c r="J296" s="6"/>
      <c r="K296" s="7">
        <v>40694</v>
      </c>
      <c r="L296" s="6">
        <v>1641550</v>
      </c>
      <c r="M296" s="6">
        <v>1641550</v>
      </c>
      <c r="N296" s="6" t="s">
        <v>30</v>
      </c>
      <c r="O296" s="8">
        <v>43103</v>
      </c>
      <c r="Q296">
        <f>Table39[[#This Row],[AGREEMENT VALUE OF UNIT]]-Table39[[#This Row],[AMOUNT RECEIVED TILL DATE]]</f>
        <v>0</v>
      </c>
    </row>
    <row r="297" spans="2:17" x14ac:dyDescent="0.25">
      <c r="B297" s="5">
        <f t="shared" si="4"/>
        <v>295</v>
      </c>
      <c r="C297" s="6" t="s">
        <v>434</v>
      </c>
      <c r="D297" s="6" t="s">
        <v>191</v>
      </c>
      <c r="E297" s="6" t="s">
        <v>435</v>
      </c>
      <c r="F297" s="6">
        <v>800</v>
      </c>
      <c r="G297" s="6" t="s">
        <v>26</v>
      </c>
      <c r="H297" s="6"/>
      <c r="I297" s="6"/>
      <c r="J297" s="6"/>
      <c r="K297" s="7">
        <v>40821</v>
      </c>
      <c r="L297" s="6">
        <v>1688350</v>
      </c>
      <c r="M297" s="6">
        <v>1688350</v>
      </c>
      <c r="N297" s="6" t="s">
        <v>30</v>
      </c>
      <c r="O297" s="8">
        <v>43103</v>
      </c>
      <c r="Q297">
        <f>Table39[[#This Row],[AGREEMENT VALUE OF UNIT]]-Table39[[#This Row],[AMOUNT RECEIVED TILL DATE]]</f>
        <v>0</v>
      </c>
    </row>
    <row r="298" spans="2:17" x14ac:dyDescent="0.25">
      <c r="B298" s="5">
        <f t="shared" si="4"/>
        <v>296</v>
      </c>
      <c r="C298" s="6" t="s">
        <v>436</v>
      </c>
      <c r="D298" s="6" t="s">
        <v>191</v>
      </c>
      <c r="E298" s="6" t="s">
        <v>437</v>
      </c>
      <c r="F298" s="6">
        <v>800</v>
      </c>
      <c r="G298" s="6" t="s">
        <v>26</v>
      </c>
      <c r="H298" s="6"/>
      <c r="I298" s="6"/>
      <c r="J298" s="6"/>
      <c r="K298" s="7">
        <v>40739</v>
      </c>
      <c r="L298" s="6">
        <v>1690000</v>
      </c>
      <c r="M298" s="6">
        <v>1609162</v>
      </c>
      <c r="N298" s="6" t="s">
        <v>30</v>
      </c>
      <c r="O298" s="8">
        <v>43103</v>
      </c>
      <c r="Q298">
        <f>Table39[[#This Row],[AGREEMENT VALUE OF UNIT]]-Table39[[#This Row],[AMOUNT RECEIVED TILL DATE]]</f>
        <v>80838</v>
      </c>
    </row>
    <row r="299" spans="2:17" x14ac:dyDescent="0.25">
      <c r="B299" s="5">
        <f t="shared" si="4"/>
        <v>297</v>
      </c>
      <c r="C299" s="6" t="s">
        <v>438</v>
      </c>
      <c r="D299" s="6" t="s">
        <v>191</v>
      </c>
      <c r="E299" s="6" t="s">
        <v>439</v>
      </c>
      <c r="F299" s="6">
        <v>800</v>
      </c>
      <c r="G299" s="6" t="s">
        <v>26</v>
      </c>
      <c r="H299" s="6"/>
      <c r="I299" s="6"/>
      <c r="J299" s="6"/>
      <c r="K299" s="7">
        <v>40831</v>
      </c>
      <c r="L299" s="6">
        <v>1705000</v>
      </c>
      <c r="M299" s="6">
        <v>1705000</v>
      </c>
      <c r="N299" s="6" t="s">
        <v>27</v>
      </c>
      <c r="O299" s="8">
        <v>43103</v>
      </c>
      <c r="Q299">
        <f>Table39[[#This Row],[AGREEMENT VALUE OF UNIT]]-Table39[[#This Row],[AMOUNT RECEIVED TILL DATE]]</f>
        <v>0</v>
      </c>
    </row>
    <row r="300" spans="2:17" x14ac:dyDescent="0.25">
      <c r="B300" s="5">
        <f t="shared" si="4"/>
        <v>298</v>
      </c>
      <c r="C300" s="6" t="s">
        <v>440</v>
      </c>
      <c r="D300" s="6" t="s">
        <v>191</v>
      </c>
      <c r="E300" s="6" t="s">
        <v>441</v>
      </c>
      <c r="F300" s="6">
        <v>800</v>
      </c>
      <c r="G300" s="6" t="s">
        <v>26</v>
      </c>
      <c r="H300" s="6"/>
      <c r="I300" s="6"/>
      <c r="J300" s="6"/>
      <c r="K300" s="7">
        <v>40831</v>
      </c>
      <c r="L300" s="6">
        <v>1531800</v>
      </c>
      <c r="M300" s="6">
        <v>1026130</v>
      </c>
      <c r="N300" s="6" t="s">
        <v>30</v>
      </c>
      <c r="O300" s="8">
        <v>43103</v>
      </c>
      <c r="Q300">
        <f>Table39[[#This Row],[AGREEMENT VALUE OF UNIT]]-Table39[[#This Row],[AMOUNT RECEIVED TILL DATE]]</f>
        <v>505670</v>
      </c>
    </row>
    <row r="301" spans="2:17" x14ac:dyDescent="0.25">
      <c r="B301" s="5">
        <f t="shared" si="4"/>
        <v>299</v>
      </c>
      <c r="C301" s="6" t="s">
        <v>442</v>
      </c>
      <c r="D301" s="6" t="s">
        <v>191</v>
      </c>
      <c r="E301" s="6" t="s">
        <v>443</v>
      </c>
      <c r="F301" s="6">
        <v>800</v>
      </c>
      <c r="G301" s="6" t="s">
        <v>26</v>
      </c>
      <c r="H301" s="6"/>
      <c r="I301" s="6"/>
      <c r="J301" s="6"/>
      <c r="K301" s="7">
        <v>41083</v>
      </c>
      <c r="L301" s="6">
        <v>1963750</v>
      </c>
      <c r="M301" s="6">
        <v>1963750</v>
      </c>
      <c r="N301" s="6" t="s">
        <v>27</v>
      </c>
      <c r="O301" s="8">
        <v>43103</v>
      </c>
      <c r="Q301">
        <f>Table39[[#This Row],[AGREEMENT VALUE OF UNIT]]-Table39[[#This Row],[AMOUNT RECEIVED TILL DATE]]</f>
        <v>0</v>
      </c>
    </row>
    <row r="302" spans="2:17" x14ac:dyDescent="0.25">
      <c r="B302" s="5">
        <f t="shared" si="4"/>
        <v>300</v>
      </c>
      <c r="C302" s="6" t="s">
        <v>444</v>
      </c>
      <c r="D302" s="6" t="s">
        <v>191</v>
      </c>
      <c r="E302" s="6" t="s">
        <v>445</v>
      </c>
      <c r="F302" s="6">
        <v>800</v>
      </c>
      <c r="G302" s="6" t="s">
        <v>26</v>
      </c>
      <c r="H302" s="6"/>
      <c r="I302" s="6"/>
      <c r="J302" s="6"/>
      <c r="K302" s="7">
        <v>41187</v>
      </c>
      <c r="L302" s="6">
        <v>1195000</v>
      </c>
      <c r="M302" s="6">
        <v>1165000</v>
      </c>
      <c r="N302" s="6" t="s">
        <v>30</v>
      </c>
      <c r="O302" s="8">
        <v>43103</v>
      </c>
      <c r="Q302">
        <f>Table39[[#This Row],[AGREEMENT VALUE OF UNIT]]-Table39[[#This Row],[AMOUNT RECEIVED TILL DATE]]</f>
        <v>30000</v>
      </c>
    </row>
    <row r="303" spans="2:17" x14ac:dyDescent="0.25">
      <c r="B303" s="5">
        <f t="shared" si="4"/>
        <v>301</v>
      </c>
      <c r="C303" s="6" t="s">
        <v>446</v>
      </c>
      <c r="D303" s="6" t="s">
        <v>191</v>
      </c>
      <c r="E303" s="6" t="s">
        <v>447</v>
      </c>
      <c r="F303" s="6">
        <v>800</v>
      </c>
      <c r="G303" s="6" t="s">
        <v>26</v>
      </c>
      <c r="H303" s="6"/>
      <c r="I303" s="6"/>
      <c r="J303" s="6"/>
      <c r="K303" s="7">
        <v>41081</v>
      </c>
      <c r="L303" s="6">
        <v>1965000</v>
      </c>
      <c r="M303" s="6">
        <v>1965000</v>
      </c>
      <c r="N303" s="6" t="s">
        <v>27</v>
      </c>
      <c r="O303" s="8">
        <v>43103</v>
      </c>
      <c r="Q303">
        <f>Table39[[#This Row],[AGREEMENT VALUE OF UNIT]]-Table39[[#This Row],[AMOUNT RECEIVED TILL DATE]]</f>
        <v>0</v>
      </c>
    </row>
    <row r="304" spans="2:17" x14ac:dyDescent="0.25">
      <c r="B304" s="5">
        <f t="shared" si="4"/>
        <v>302</v>
      </c>
      <c r="C304" s="6" t="s">
        <v>448</v>
      </c>
      <c r="D304" s="6" t="s">
        <v>191</v>
      </c>
      <c r="E304" s="6" t="s">
        <v>449</v>
      </c>
      <c r="F304" s="6">
        <v>800</v>
      </c>
      <c r="G304" s="6" t="s">
        <v>26</v>
      </c>
      <c r="H304" s="6"/>
      <c r="I304" s="6"/>
      <c r="J304" s="6"/>
      <c r="K304" s="7">
        <v>40674</v>
      </c>
      <c r="L304" s="6">
        <v>1640000</v>
      </c>
      <c r="M304" s="6">
        <v>1640000</v>
      </c>
      <c r="N304" s="6" t="s">
        <v>144</v>
      </c>
      <c r="O304" s="8">
        <v>43103</v>
      </c>
      <c r="Q304">
        <f>Table39[[#This Row],[AGREEMENT VALUE OF UNIT]]-Table39[[#This Row],[AMOUNT RECEIVED TILL DATE]]</f>
        <v>0</v>
      </c>
    </row>
    <row r="305" spans="2:17" x14ac:dyDescent="0.25">
      <c r="B305" s="5">
        <f t="shared" si="4"/>
        <v>303</v>
      </c>
      <c r="C305" s="6" t="s">
        <v>450</v>
      </c>
      <c r="D305" s="6" t="s">
        <v>191</v>
      </c>
      <c r="E305" s="6" t="s">
        <v>451</v>
      </c>
      <c r="F305" s="6">
        <v>800</v>
      </c>
      <c r="G305" s="6" t="s">
        <v>26</v>
      </c>
      <c r="H305" s="6"/>
      <c r="I305" s="6"/>
      <c r="J305" s="6"/>
      <c r="K305" s="7">
        <v>40724</v>
      </c>
      <c r="L305" s="6">
        <v>1548900</v>
      </c>
      <c r="M305" s="6">
        <v>1548900</v>
      </c>
      <c r="N305" s="6" t="s">
        <v>27</v>
      </c>
      <c r="O305" s="8">
        <v>43103</v>
      </c>
      <c r="Q305">
        <f>Table39[[#This Row],[AGREEMENT VALUE OF UNIT]]-Table39[[#This Row],[AMOUNT RECEIVED TILL DATE]]</f>
        <v>0</v>
      </c>
    </row>
    <row r="306" spans="2:17" x14ac:dyDescent="0.25">
      <c r="B306" s="5">
        <f t="shared" si="4"/>
        <v>304</v>
      </c>
      <c r="C306" s="6" t="s">
        <v>452</v>
      </c>
      <c r="D306" s="6" t="s">
        <v>191</v>
      </c>
      <c r="E306" s="6" t="s">
        <v>453</v>
      </c>
      <c r="F306" s="6">
        <v>800</v>
      </c>
      <c r="G306" s="6" t="s">
        <v>26</v>
      </c>
      <c r="H306" s="6"/>
      <c r="I306" s="6"/>
      <c r="J306" s="6"/>
      <c r="K306" s="7">
        <v>40698</v>
      </c>
      <c r="L306" s="6">
        <v>1599700</v>
      </c>
      <c r="M306" s="6">
        <v>1599700</v>
      </c>
      <c r="N306" s="6" t="s">
        <v>27</v>
      </c>
      <c r="O306" s="8">
        <v>43103</v>
      </c>
      <c r="Q306">
        <f>Table39[[#This Row],[AGREEMENT VALUE OF UNIT]]-Table39[[#This Row],[AMOUNT RECEIVED TILL DATE]]</f>
        <v>0</v>
      </c>
    </row>
    <row r="307" spans="2:17" x14ac:dyDescent="0.25">
      <c r="B307" s="5">
        <f t="shared" si="4"/>
        <v>305</v>
      </c>
      <c r="C307" s="6" t="s">
        <v>454</v>
      </c>
      <c r="D307" s="6" t="s">
        <v>191</v>
      </c>
      <c r="E307" s="6" t="s">
        <v>455</v>
      </c>
      <c r="F307" s="6">
        <v>800</v>
      </c>
      <c r="G307" s="6" t="s">
        <v>26</v>
      </c>
      <c r="H307" s="6"/>
      <c r="I307" s="6"/>
      <c r="J307" s="6"/>
      <c r="K307" s="7">
        <v>40724</v>
      </c>
      <c r="L307" s="6">
        <v>1548900</v>
      </c>
      <c r="M307" s="6">
        <v>1548900</v>
      </c>
      <c r="N307" s="6" t="s">
        <v>144</v>
      </c>
      <c r="O307" s="8">
        <v>43103</v>
      </c>
      <c r="Q307">
        <f>Table39[[#This Row],[AGREEMENT VALUE OF UNIT]]-Table39[[#This Row],[AMOUNT RECEIVED TILL DATE]]</f>
        <v>0</v>
      </c>
    </row>
    <row r="308" spans="2:17" x14ac:dyDescent="0.25">
      <c r="B308" s="5">
        <f t="shared" si="4"/>
        <v>306</v>
      </c>
      <c r="C308" s="6" t="s">
        <v>456</v>
      </c>
      <c r="D308" s="6" t="s">
        <v>191</v>
      </c>
      <c r="E308" s="6" t="s">
        <v>457</v>
      </c>
      <c r="F308" s="6">
        <v>800</v>
      </c>
      <c r="G308" s="6" t="s">
        <v>26</v>
      </c>
      <c r="H308" s="6"/>
      <c r="I308" s="6"/>
      <c r="J308" s="6"/>
      <c r="K308" s="7">
        <v>40744</v>
      </c>
      <c r="L308" s="6">
        <v>1532600</v>
      </c>
      <c r="M308" s="6">
        <v>1532600</v>
      </c>
      <c r="N308" s="6" t="s">
        <v>27</v>
      </c>
      <c r="O308" s="8">
        <v>43103</v>
      </c>
      <c r="Q308">
        <f>Table39[[#This Row],[AGREEMENT VALUE OF UNIT]]-Table39[[#This Row],[AMOUNT RECEIVED TILL DATE]]</f>
        <v>0</v>
      </c>
    </row>
    <row r="309" spans="2:17" x14ac:dyDescent="0.25">
      <c r="B309" s="5">
        <f t="shared" si="4"/>
        <v>307</v>
      </c>
      <c r="C309" s="6" t="s">
        <v>458</v>
      </c>
      <c r="D309" s="6" t="s">
        <v>191</v>
      </c>
      <c r="E309" s="6" t="s">
        <v>459</v>
      </c>
      <c r="F309" s="6">
        <v>800</v>
      </c>
      <c r="G309" s="6" t="s">
        <v>26</v>
      </c>
      <c r="H309" s="6"/>
      <c r="I309" s="6"/>
      <c r="J309" s="6"/>
      <c r="K309" s="7">
        <v>40978</v>
      </c>
      <c r="L309" s="6">
        <v>1868500</v>
      </c>
      <c r="M309" s="6">
        <v>1868500</v>
      </c>
      <c r="N309" s="6" t="s">
        <v>27</v>
      </c>
      <c r="O309" s="8">
        <v>43103</v>
      </c>
      <c r="Q309">
        <f>Table39[[#This Row],[AGREEMENT VALUE OF UNIT]]-Table39[[#This Row],[AMOUNT RECEIVED TILL DATE]]</f>
        <v>0</v>
      </c>
    </row>
    <row r="310" spans="2:17" x14ac:dyDescent="0.25">
      <c r="B310" s="5">
        <f t="shared" si="4"/>
        <v>308</v>
      </c>
      <c r="C310" s="6" t="s">
        <v>460</v>
      </c>
      <c r="D310" s="6" t="s">
        <v>191</v>
      </c>
      <c r="E310" s="6" t="s">
        <v>461</v>
      </c>
      <c r="F310" s="6">
        <v>800</v>
      </c>
      <c r="G310" s="6" t="s">
        <v>26</v>
      </c>
      <c r="H310" s="6"/>
      <c r="I310" s="6"/>
      <c r="J310" s="6"/>
      <c r="K310" s="7">
        <v>40833</v>
      </c>
      <c r="L310" s="6">
        <v>1581100</v>
      </c>
      <c r="M310" s="6">
        <v>1581100</v>
      </c>
      <c r="N310" s="6" t="s">
        <v>30</v>
      </c>
      <c r="O310" s="8">
        <v>43103</v>
      </c>
      <c r="Q310">
        <f>Table39[[#This Row],[AGREEMENT VALUE OF UNIT]]-Table39[[#This Row],[AMOUNT RECEIVED TILL DATE]]</f>
        <v>0</v>
      </c>
    </row>
    <row r="311" spans="2:17" x14ac:dyDescent="0.25">
      <c r="B311" s="5">
        <f t="shared" si="4"/>
        <v>309</v>
      </c>
      <c r="C311" s="6" t="s">
        <v>462</v>
      </c>
      <c r="D311" s="6" t="s">
        <v>191</v>
      </c>
      <c r="E311" s="6" t="s">
        <v>463</v>
      </c>
      <c r="F311" s="6">
        <v>800</v>
      </c>
      <c r="G311" s="6" t="s">
        <v>26</v>
      </c>
      <c r="H311" s="6"/>
      <c r="I311" s="6"/>
      <c r="J311" s="6"/>
      <c r="K311" s="7">
        <v>40886</v>
      </c>
      <c r="L311" s="6">
        <v>1692150</v>
      </c>
      <c r="M311" s="6">
        <v>1692150</v>
      </c>
      <c r="N311" s="6" t="s">
        <v>46</v>
      </c>
      <c r="O311" s="8">
        <v>43103</v>
      </c>
      <c r="Q311">
        <f>Table39[[#This Row],[AGREEMENT VALUE OF UNIT]]-Table39[[#This Row],[AMOUNT RECEIVED TILL DATE]]</f>
        <v>0</v>
      </c>
    </row>
    <row r="312" spans="2:17" x14ac:dyDescent="0.25">
      <c r="B312" s="5">
        <f t="shared" si="4"/>
        <v>310</v>
      </c>
      <c r="C312" s="6" t="s">
        <v>464</v>
      </c>
      <c r="D312" s="6" t="s">
        <v>191</v>
      </c>
      <c r="E312" s="6" t="s">
        <v>465</v>
      </c>
      <c r="F312" s="6">
        <v>800</v>
      </c>
      <c r="G312" s="6" t="s">
        <v>26</v>
      </c>
      <c r="H312" s="6"/>
      <c r="I312" s="6"/>
      <c r="J312" s="6"/>
      <c r="K312" s="7">
        <v>40681</v>
      </c>
      <c r="L312" s="6">
        <v>1520000</v>
      </c>
      <c r="M312" s="6">
        <v>1520000</v>
      </c>
      <c r="N312" s="6" t="s">
        <v>39</v>
      </c>
      <c r="O312" s="8">
        <v>43103</v>
      </c>
      <c r="Q312">
        <f>Table39[[#This Row],[AGREEMENT VALUE OF UNIT]]-Table39[[#This Row],[AMOUNT RECEIVED TILL DATE]]</f>
        <v>0</v>
      </c>
    </row>
    <row r="313" spans="2:17" x14ac:dyDescent="0.25">
      <c r="B313" s="5">
        <f t="shared" si="4"/>
        <v>311</v>
      </c>
      <c r="C313" s="6" t="s">
        <v>466</v>
      </c>
      <c r="D313" s="6" t="s">
        <v>191</v>
      </c>
      <c r="E313" s="6" t="s">
        <v>467</v>
      </c>
      <c r="F313" s="6">
        <v>800</v>
      </c>
      <c r="G313" s="6" t="s">
        <v>26</v>
      </c>
      <c r="H313" s="6"/>
      <c r="I313" s="6"/>
      <c r="J313" s="6"/>
      <c r="K313" s="7">
        <v>41590</v>
      </c>
      <c r="L313" s="6">
        <v>2610625</v>
      </c>
      <c r="M313" s="6">
        <v>2610625</v>
      </c>
      <c r="N313" s="6" t="s">
        <v>39</v>
      </c>
      <c r="O313" s="8">
        <v>43103</v>
      </c>
      <c r="Q313">
        <f>Table39[[#This Row],[AGREEMENT VALUE OF UNIT]]-Table39[[#This Row],[AMOUNT RECEIVED TILL DATE]]</f>
        <v>0</v>
      </c>
    </row>
    <row r="314" spans="2:17" x14ac:dyDescent="0.25">
      <c r="B314" s="5">
        <f t="shared" si="4"/>
        <v>312</v>
      </c>
      <c r="C314" s="6" t="s">
        <v>468</v>
      </c>
      <c r="D314" s="6" t="s">
        <v>191</v>
      </c>
      <c r="E314" s="6" t="s">
        <v>469</v>
      </c>
      <c r="F314" s="6">
        <v>800</v>
      </c>
      <c r="G314" s="6" t="s">
        <v>26</v>
      </c>
      <c r="H314" s="6"/>
      <c r="I314" s="6"/>
      <c r="J314" s="6"/>
      <c r="K314" s="7">
        <v>40824</v>
      </c>
      <c r="L314" s="6">
        <v>1705000</v>
      </c>
      <c r="M314" s="6">
        <v>1705000</v>
      </c>
      <c r="N314" s="6" t="s">
        <v>66</v>
      </c>
      <c r="O314" s="8">
        <v>43103</v>
      </c>
      <c r="Q314">
        <f>Table39[[#This Row],[AGREEMENT VALUE OF UNIT]]-Table39[[#This Row],[AMOUNT RECEIVED TILL DATE]]</f>
        <v>0</v>
      </c>
    </row>
    <row r="315" spans="2:17" x14ac:dyDescent="0.25">
      <c r="B315" s="5">
        <f t="shared" si="4"/>
        <v>313</v>
      </c>
      <c r="C315" s="6" t="s">
        <v>470</v>
      </c>
      <c r="D315" s="6" t="s">
        <v>191</v>
      </c>
      <c r="E315" s="6" t="s">
        <v>471</v>
      </c>
      <c r="F315" s="6">
        <v>800</v>
      </c>
      <c r="G315" s="6" t="s">
        <v>26</v>
      </c>
      <c r="H315" s="6"/>
      <c r="I315" s="6"/>
      <c r="J315" s="6"/>
      <c r="K315" s="7">
        <v>41176</v>
      </c>
      <c r="L315" s="6">
        <v>863320</v>
      </c>
      <c r="M315" s="6">
        <v>863320</v>
      </c>
      <c r="N315" s="6" t="s">
        <v>46</v>
      </c>
      <c r="O315" s="8">
        <v>43103</v>
      </c>
      <c r="Q315">
        <f>Table39[[#This Row],[AGREEMENT VALUE OF UNIT]]-Table39[[#This Row],[AMOUNT RECEIVED TILL DATE]]</f>
        <v>0</v>
      </c>
    </row>
    <row r="316" spans="2:17" x14ac:dyDescent="0.25">
      <c r="B316" s="5">
        <f t="shared" si="4"/>
        <v>314</v>
      </c>
      <c r="C316" s="6" t="s">
        <v>472</v>
      </c>
      <c r="D316" s="6" t="s">
        <v>191</v>
      </c>
      <c r="E316" s="6" t="s">
        <v>473</v>
      </c>
      <c r="F316" s="6">
        <v>800</v>
      </c>
      <c r="G316" s="6" t="s">
        <v>26</v>
      </c>
      <c r="H316" s="6"/>
      <c r="I316" s="6"/>
      <c r="J316" s="6"/>
      <c r="K316" s="7">
        <v>40674</v>
      </c>
      <c r="L316" s="6">
        <v>1460000</v>
      </c>
      <c r="M316" s="6">
        <v>1460000</v>
      </c>
      <c r="N316" s="6" t="s">
        <v>27</v>
      </c>
      <c r="O316" s="8">
        <v>43103</v>
      </c>
      <c r="Q316">
        <f>Table39[[#This Row],[AGREEMENT VALUE OF UNIT]]-Table39[[#This Row],[AMOUNT RECEIVED TILL DATE]]</f>
        <v>0</v>
      </c>
    </row>
    <row r="317" spans="2:17" x14ac:dyDescent="0.25">
      <c r="B317" s="5">
        <f t="shared" si="4"/>
        <v>315</v>
      </c>
      <c r="C317" s="6" t="s">
        <v>474</v>
      </c>
      <c r="D317" s="6" t="s">
        <v>191</v>
      </c>
      <c r="E317" s="6" t="s">
        <v>475</v>
      </c>
      <c r="F317" s="6">
        <v>800</v>
      </c>
      <c r="G317" s="6" t="s">
        <v>26</v>
      </c>
      <c r="H317" s="6"/>
      <c r="I317" s="6"/>
      <c r="J317" s="6"/>
      <c r="K317" s="7">
        <v>40602</v>
      </c>
      <c r="L317" s="6">
        <v>1417000</v>
      </c>
      <c r="M317" s="6">
        <v>1007250</v>
      </c>
      <c r="N317" s="6" t="s">
        <v>30</v>
      </c>
      <c r="O317" s="8">
        <v>43103</v>
      </c>
      <c r="Q317">
        <f>Table39[[#This Row],[AGREEMENT VALUE OF UNIT]]-Table39[[#This Row],[AMOUNT RECEIVED TILL DATE]]</f>
        <v>409750</v>
      </c>
    </row>
    <row r="318" spans="2:17" x14ac:dyDescent="0.25">
      <c r="B318" s="5">
        <f t="shared" si="4"/>
        <v>316</v>
      </c>
      <c r="C318" s="6" t="s">
        <v>476</v>
      </c>
      <c r="D318" s="6" t="s">
        <v>191</v>
      </c>
      <c r="E318" s="6" t="s">
        <v>477</v>
      </c>
      <c r="F318" s="6">
        <v>800</v>
      </c>
      <c r="G318" s="6" t="s">
        <v>26</v>
      </c>
      <c r="H318" s="6"/>
      <c r="I318" s="6"/>
      <c r="J318" s="6"/>
      <c r="K318" s="7">
        <v>40674</v>
      </c>
      <c r="L318" s="6">
        <v>1372400</v>
      </c>
      <c r="M318" s="6">
        <v>1372400</v>
      </c>
      <c r="N318" s="6" t="s">
        <v>30</v>
      </c>
      <c r="O318" s="8">
        <v>43103</v>
      </c>
      <c r="Q318">
        <f>Table39[[#This Row],[AGREEMENT VALUE OF UNIT]]-Table39[[#This Row],[AMOUNT RECEIVED TILL DATE]]</f>
        <v>0</v>
      </c>
    </row>
    <row r="319" spans="2:17" x14ac:dyDescent="0.25">
      <c r="B319" s="5">
        <f t="shared" si="4"/>
        <v>317</v>
      </c>
      <c r="C319" s="6" t="s">
        <v>478</v>
      </c>
      <c r="D319" s="6" t="s">
        <v>191</v>
      </c>
      <c r="E319" s="6" t="s">
        <v>479</v>
      </c>
      <c r="F319" s="6">
        <v>800</v>
      </c>
      <c r="G319" s="6" t="s">
        <v>26</v>
      </c>
      <c r="H319" s="6"/>
      <c r="I319" s="6"/>
      <c r="J319" s="6"/>
      <c r="K319" s="7">
        <v>40823</v>
      </c>
      <c r="L319" s="6">
        <v>1580000</v>
      </c>
      <c r="M319" s="6">
        <v>1580000</v>
      </c>
      <c r="N319" s="6" t="s">
        <v>46</v>
      </c>
      <c r="O319" s="8">
        <v>43103</v>
      </c>
      <c r="Q319">
        <f>Table39[[#This Row],[AGREEMENT VALUE OF UNIT]]-Table39[[#This Row],[AMOUNT RECEIVED TILL DATE]]</f>
        <v>0</v>
      </c>
    </row>
    <row r="320" spans="2:17" x14ac:dyDescent="0.25">
      <c r="B320" s="5">
        <f t="shared" si="4"/>
        <v>318</v>
      </c>
      <c r="C320" s="6" t="s">
        <v>480</v>
      </c>
      <c r="D320" s="6" t="s">
        <v>191</v>
      </c>
      <c r="E320" s="6" t="s">
        <v>481</v>
      </c>
      <c r="F320" s="6">
        <v>800</v>
      </c>
      <c r="G320" s="6" t="s">
        <v>26</v>
      </c>
      <c r="H320" s="6"/>
      <c r="I320" s="6"/>
      <c r="J320" s="6"/>
      <c r="K320" s="7">
        <v>40674</v>
      </c>
      <c r="L320" s="6">
        <v>1460000</v>
      </c>
      <c r="M320" s="6">
        <v>1460000</v>
      </c>
      <c r="N320" s="6" t="s">
        <v>27</v>
      </c>
      <c r="O320" s="8">
        <v>43103</v>
      </c>
      <c r="Q320">
        <f>Table39[[#This Row],[AGREEMENT VALUE OF UNIT]]-Table39[[#This Row],[AMOUNT RECEIVED TILL DATE]]</f>
        <v>0</v>
      </c>
    </row>
    <row r="321" spans="2:17" x14ac:dyDescent="0.25">
      <c r="B321" s="5">
        <f t="shared" si="4"/>
        <v>319</v>
      </c>
      <c r="C321" s="6" t="s">
        <v>482</v>
      </c>
      <c r="D321" s="6" t="s">
        <v>191</v>
      </c>
      <c r="E321" s="6" t="s">
        <v>483</v>
      </c>
      <c r="F321" s="6">
        <v>800</v>
      </c>
      <c r="G321" s="6" t="s">
        <v>26</v>
      </c>
      <c r="H321" s="6"/>
      <c r="I321" s="6"/>
      <c r="J321" s="6"/>
      <c r="K321" s="7">
        <v>40830</v>
      </c>
      <c r="L321" s="6">
        <v>1657300</v>
      </c>
      <c r="M321" s="6">
        <v>1657300</v>
      </c>
      <c r="N321" s="6" t="s">
        <v>30</v>
      </c>
      <c r="O321" s="8">
        <v>43103</v>
      </c>
      <c r="Q321">
        <f>Table39[[#This Row],[AGREEMENT VALUE OF UNIT]]-Table39[[#This Row],[AMOUNT RECEIVED TILL DATE]]</f>
        <v>0</v>
      </c>
    </row>
    <row r="322" spans="2:17" x14ac:dyDescent="0.25">
      <c r="B322" s="5">
        <f t="shared" si="4"/>
        <v>320</v>
      </c>
      <c r="C322" s="6" t="s">
        <v>484</v>
      </c>
      <c r="D322" s="6" t="s">
        <v>191</v>
      </c>
      <c r="E322" s="6" t="s">
        <v>485</v>
      </c>
      <c r="F322" s="6">
        <v>800</v>
      </c>
      <c r="G322" s="6" t="s">
        <v>26</v>
      </c>
      <c r="H322" s="6"/>
      <c r="I322" s="6"/>
      <c r="J322" s="6"/>
      <c r="K322" s="7">
        <v>40649</v>
      </c>
      <c r="L322" s="6">
        <v>1455000</v>
      </c>
      <c r="M322" s="6">
        <v>1455000</v>
      </c>
      <c r="N322" s="6" t="s">
        <v>30</v>
      </c>
      <c r="O322" s="8">
        <v>43103</v>
      </c>
      <c r="Q322">
        <f>Table39[[#This Row],[AGREEMENT VALUE OF UNIT]]-Table39[[#This Row],[AMOUNT RECEIVED TILL DATE]]</f>
        <v>0</v>
      </c>
    </row>
    <row r="323" spans="2:17" x14ac:dyDescent="0.25">
      <c r="B323" s="5">
        <f t="shared" si="4"/>
        <v>321</v>
      </c>
      <c r="C323" s="6" t="s">
        <v>486</v>
      </c>
      <c r="D323" s="6" t="s">
        <v>191</v>
      </c>
      <c r="E323" s="6" t="s">
        <v>487</v>
      </c>
      <c r="F323" s="6">
        <v>800</v>
      </c>
      <c r="G323" s="6" t="s">
        <v>26</v>
      </c>
      <c r="H323" s="6"/>
      <c r="I323" s="6"/>
      <c r="J323" s="6"/>
      <c r="K323" s="7">
        <v>41076</v>
      </c>
      <c r="L323" s="6">
        <v>1895000</v>
      </c>
      <c r="M323" s="6">
        <v>1895000</v>
      </c>
      <c r="N323" s="6" t="s">
        <v>27</v>
      </c>
      <c r="O323" s="8">
        <v>43103</v>
      </c>
      <c r="Q323">
        <f>Table39[[#This Row],[AGREEMENT VALUE OF UNIT]]-Table39[[#This Row],[AMOUNT RECEIVED TILL DATE]]</f>
        <v>0</v>
      </c>
    </row>
    <row r="324" spans="2:17" x14ac:dyDescent="0.25">
      <c r="B324" s="5">
        <f t="shared" ref="B324:B387" si="5">B323+1</f>
        <v>322</v>
      </c>
      <c r="C324" s="6" t="s">
        <v>488</v>
      </c>
      <c r="D324" s="6" t="s">
        <v>191</v>
      </c>
      <c r="E324" s="6" t="s">
        <v>489</v>
      </c>
      <c r="F324" s="6">
        <v>800</v>
      </c>
      <c r="G324" s="6" t="s">
        <v>26</v>
      </c>
      <c r="H324" s="6"/>
      <c r="I324" s="6"/>
      <c r="J324" s="6"/>
      <c r="K324" s="7">
        <v>40689</v>
      </c>
      <c r="L324" s="6">
        <v>1495000</v>
      </c>
      <c r="M324" s="6">
        <v>1495000</v>
      </c>
      <c r="N324" s="6" t="s">
        <v>57</v>
      </c>
      <c r="O324" s="8">
        <v>43103</v>
      </c>
      <c r="Q324">
        <f>Table39[[#This Row],[AGREEMENT VALUE OF UNIT]]-Table39[[#This Row],[AMOUNT RECEIVED TILL DATE]]</f>
        <v>0</v>
      </c>
    </row>
    <row r="325" spans="2:17" x14ac:dyDescent="0.25">
      <c r="B325" s="5">
        <f t="shared" si="5"/>
        <v>323</v>
      </c>
      <c r="C325" s="6" t="s">
        <v>490</v>
      </c>
      <c r="D325" s="6" t="s">
        <v>191</v>
      </c>
      <c r="E325" s="6" t="s">
        <v>491</v>
      </c>
      <c r="F325" s="6">
        <v>800</v>
      </c>
      <c r="G325" s="6" t="s">
        <v>26</v>
      </c>
      <c r="H325" s="6"/>
      <c r="I325" s="6"/>
      <c r="J325" s="6"/>
      <c r="K325" s="7">
        <v>40899</v>
      </c>
      <c r="L325" s="6">
        <v>1650000</v>
      </c>
      <c r="M325" s="6">
        <v>1650000</v>
      </c>
      <c r="N325" s="6" t="s">
        <v>27</v>
      </c>
      <c r="O325" s="8">
        <v>43103</v>
      </c>
      <c r="Q325">
        <f>Table39[[#This Row],[AGREEMENT VALUE OF UNIT]]-Table39[[#This Row],[AMOUNT RECEIVED TILL DATE]]</f>
        <v>0</v>
      </c>
    </row>
    <row r="326" spans="2:17" x14ac:dyDescent="0.25">
      <c r="B326" s="5">
        <f t="shared" si="5"/>
        <v>324</v>
      </c>
      <c r="C326" s="6" t="s">
        <v>492</v>
      </c>
      <c r="D326" s="6" t="s">
        <v>191</v>
      </c>
      <c r="E326" s="6" t="s">
        <v>493</v>
      </c>
      <c r="F326" s="6">
        <v>800</v>
      </c>
      <c r="G326" s="6" t="s">
        <v>26</v>
      </c>
      <c r="H326" s="6"/>
      <c r="I326" s="6"/>
      <c r="J326" s="6"/>
      <c r="K326" s="7">
        <v>40689</v>
      </c>
      <c r="L326" s="6">
        <v>1500000</v>
      </c>
      <c r="M326" s="6">
        <v>1500000</v>
      </c>
      <c r="N326" s="6" t="s">
        <v>30</v>
      </c>
      <c r="O326" s="8">
        <v>43103</v>
      </c>
      <c r="Q326">
        <f>Table39[[#This Row],[AGREEMENT VALUE OF UNIT]]-Table39[[#This Row],[AMOUNT RECEIVED TILL DATE]]</f>
        <v>0</v>
      </c>
    </row>
    <row r="327" spans="2:17" x14ac:dyDescent="0.25">
      <c r="B327" s="5">
        <f t="shared" si="5"/>
        <v>325</v>
      </c>
      <c r="C327" s="6" t="s">
        <v>494</v>
      </c>
      <c r="D327" s="6" t="s">
        <v>191</v>
      </c>
      <c r="E327" s="6" t="s">
        <v>495</v>
      </c>
      <c r="F327" s="6">
        <v>800</v>
      </c>
      <c r="G327" s="6" t="s">
        <v>26</v>
      </c>
      <c r="H327" s="6"/>
      <c r="I327" s="6"/>
      <c r="J327" s="6"/>
      <c r="K327" s="7">
        <v>40816</v>
      </c>
      <c r="L327" s="6">
        <v>1630000</v>
      </c>
      <c r="M327" s="6">
        <v>1550734</v>
      </c>
      <c r="N327" s="6" t="s">
        <v>30</v>
      </c>
      <c r="O327" s="8">
        <v>43103</v>
      </c>
      <c r="Q327">
        <f>Table39[[#This Row],[AGREEMENT VALUE OF UNIT]]-Table39[[#This Row],[AMOUNT RECEIVED TILL DATE]]</f>
        <v>79266</v>
      </c>
    </row>
    <row r="328" spans="2:17" x14ac:dyDescent="0.25">
      <c r="B328" s="5">
        <f t="shared" si="5"/>
        <v>326</v>
      </c>
      <c r="C328" s="6" t="s">
        <v>496</v>
      </c>
      <c r="D328" s="6" t="s">
        <v>191</v>
      </c>
      <c r="E328" s="6" t="s">
        <v>497</v>
      </c>
      <c r="F328" s="6">
        <v>800</v>
      </c>
      <c r="G328" s="6" t="s">
        <v>26</v>
      </c>
      <c r="H328" s="6"/>
      <c r="I328" s="6"/>
      <c r="J328" s="6"/>
      <c r="K328" s="7">
        <v>40631</v>
      </c>
      <c r="L328" s="6">
        <v>1368000</v>
      </c>
      <c r="M328" s="6">
        <v>1368000</v>
      </c>
      <c r="N328" s="6" t="s">
        <v>46</v>
      </c>
      <c r="O328" s="8">
        <v>43103</v>
      </c>
      <c r="Q328">
        <f>Table39[[#This Row],[AGREEMENT VALUE OF UNIT]]-Table39[[#This Row],[AMOUNT RECEIVED TILL DATE]]</f>
        <v>0</v>
      </c>
    </row>
    <row r="329" spans="2:17" x14ac:dyDescent="0.25">
      <c r="B329" s="5">
        <f t="shared" si="5"/>
        <v>327</v>
      </c>
      <c r="C329" s="6" t="s">
        <v>498</v>
      </c>
      <c r="D329" s="6" t="s">
        <v>191</v>
      </c>
      <c r="E329" s="6" t="s">
        <v>499</v>
      </c>
      <c r="F329" s="6">
        <v>800</v>
      </c>
      <c r="G329" s="6" t="s">
        <v>26</v>
      </c>
      <c r="H329" s="6"/>
      <c r="I329" s="6"/>
      <c r="J329" s="6"/>
      <c r="K329" s="7">
        <v>40830</v>
      </c>
      <c r="L329" s="6">
        <v>1535000</v>
      </c>
      <c r="M329" s="6">
        <v>1535000</v>
      </c>
      <c r="N329" s="6" t="s">
        <v>500</v>
      </c>
      <c r="O329" s="8">
        <v>43103</v>
      </c>
      <c r="Q329">
        <f>Table39[[#This Row],[AGREEMENT VALUE OF UNIT]]-Table39[[#This Row],[AMOUNT RECEIVED TILL DATE]]</f>
        <v>0</v>
      </c>
    </row>
    <row r="330" spans="2:17" x14ac:dyDescent="0.25">
      <c r="B330" s="5">
        <f t="shared" si="5"/>
        <v>328</v>
      </c>
      <c r="C330" s="6" t="s">
        <v>501</v>
      </c>
      <c r="D330" s="6" t="s">
        <v>191</v>
      </c>
      <c r="E330" s="6" t="s">
        <v>502</v>
      </c>
      <c r="F330" s="6">
        <v>800</v>
      </c>
      <c r="G330" s="6" t="s">
        <v>26</v>
      </c>
      <c r="H330" s="6"/>
      <c r="I330" s="6"/>
      <c r="J330" s="6"/>
      <c r="K330" s="7">
        <v>40585</v>
      </c>
      <c r="L330" s="6">
        <v>1339500</v>
      </c>
      <c r="M330" s="6">
        <v>1339500</v>
      </c>
      <c r="N330" s="6" t="s">
        <v>27</v>
      </c>
      <c r="O330" s="8">
        <v>43103</v>
      </c>
      <c r="Q330">
        <f>Table39[[#This Row],[AGREEMENT VALUE OF UNIT]]-Table39[[#This Row],[AMOUNT RECEIVED TILL DATE]]</f>
        <v>0</v>
      </c>
    </row>
    <row r="331" spans="2:17" x14ac:dyDescent="0.25">
      <c r="B331" s="5">
        <f t="shared" si="5"/>
        <v>329</v>
      </c>
      <c r="C331" s="6" t="s">
        <v>503</v>
      </c>
      <c r="D331" s="6" t="s">
        <v>191</v>
      </c>
      <c r="E331" s="6" t="s">
        <v>504</v>
      </c>
      <c r="F331" s="6">
        <v>800</v>
      </c>
      <c r="G331" s="6" t="s">
        <v>26</v>
      </c>
      <c r="H331" s="6"/>
      <c r="I331" s="6"/>
      <c r="J331" s="6"/>
      <c r="K331" s="7">
        <v>40752</v>
      </c>
      <c r="L331" s="6">
        <v>1514900</v>
      </c>
      <c r="M331" s="6">
        <v>1514900</v>
      </c>
      <c r="N331" s="6" t="s">
        <v>30</v>
      </c>
      <c r="O331" s="8">
        <v>43103</v>
      </c>
      <c r="Q331">
        <f>Table39[[#This Row],[AGREEMENT VALUE OF UNIT]]-Table39[[#This Row],[AMOUNT RECEIVED TILL DATE]]</f>
        <v>0</v>
      </c>
    </row>
    <row r="332" spans="2:17" x14ac:dyDescent="0.25">
      <c r="B332" s="5">
        <f t="shared" si="5"/>
        <v>330</v>
      </c>
      <c r="C332" s="6" t="s">
        <v>505</v>
      </c>
      <c r="D332" s="6" t="s">
        <v>191</v>
      </c>
      <c r="E332" s="6" t="s">
        <v>506</v>
      </c>
      <c r="F332" s="6">
        <v>800</v>
      </c>
      <c r="G332" s="6" t="s">
        <v>26</v>
      </c>
      <c r="H332" s="6"/>
      <c r="I332" s="6"/>
      <c r="J332" s="6"/>
      <c r="K332" s="7">
        <v>40704</v>
      </c>
      <c r="L332" s="6">
        <v>1490000</v>
      </c>
      <c r="M332" s="6">
        <v>1490000</v>
      </c>
      <c r="N332" s="6" t="s">
        <v>30</v>
      </c>
      <c r="O332" s="8">
        <v>43103</v>
      </c>
      <c r="Q332">
        <f>Table39[[#This Row],[AGREEMENT VALUE OF UNIT]]-Table39[[#This Row],[AMOUNT RECEIVED TILL DATE]]</f>
        <v>0</v>
      </c>
    </row>
    <row r="333" spans="2:17" x14ac:dyDescent="0.25">
      <c r="B333" s="5">
        <f t="shared" si="5"/>
        <v>331</v>
      </c>
      <c r="C333" s="6" t="s">
        <v>507</v>
      </c>
      <c r="D333" s="6" t="s">
        <v>191</v>
      </c>
      <c r="E333" s="6" t="s">
        <v>508</v>
      </c>
      <c r="F333" s="6">
        <v>800</v>
      </c>
      <c r="G333" s="6" t="s">
        <v>26</v>
      </c>
      <c r="H333" s="6"/>
      <c r="I333" s="6"/>
      <c r="J333" s="6"/>
      <c r="K333" s="7">
        <v>40831</v>
      </c>
      <c r="L333" s="6">
        <v>1576700</v>
      </c>
      <c r="M333" s="6">
        <v>1576700</v>
      </c>
      <c r="N333" s="6" t="s">
        <v>30</v>
      </c>
      <c r="O333" s="8">
        <v>43103</v>
      </c>
      <c r="Q333">
        <f>Table39[[#This Row],[AGREEMENT VALUE OF UNIT]]-Table39[[#This Row],[AMOUNT RECEIVED TILL DATE]]</f>
        <v>0</v>
      </c>
    </row>
    <row r="334" spans="2:17" x14ac:dyDescent="0.25">
      <c r="B334" s="5">
        <f t="shared" si="5"/>
        <v>332</v>
      </c>
      <c r="C334" s="6" t="s">
        <v>509</v>
      </c>
      <c r="D334" s="6" t="s">
        <v>191</v>
      </c>
      <c r="E334" s="6" t="s">
        <v>510</v>
      </c>
      <c r="F334" s="6">
        <v>800</v>
      </c>
      <c r="G334" s="6" t="s">
        <v>26</v>
      </c>
      <c r="H334" s="6"/>
      <c r="I334" s="6"/>
      <c r="J334" s="6"/>
      <c r="K334" s="7">
        <v>42064</v>
      </c>
      <c r="L334" s="6">
        <v>2777600</v>
      </c>
      <c r="M334" s="6">
        <v>2738367</v>
      </c>
      <c r="N334" s="6" t="s">
        <v>27</v>
      </c>
      <c r="O334" s="8">
        <v>43103</v>
      </c>
      <c r="Q334">
        <f>Table39[[#This Row],[AGREEMENT VALUE OF UNIT]]-Table39[[#This Row],[AMOUNT RECEIVED TILL DATE]]</f>
        <v>39233</v>
      </c>
    </row>
    <row r="335" spans="2:17" x14ac:dyDescent="0.25">
      <c r="B335" s="5">
        <f t="shared" si="5"/>
        <v>333</v>
      </c>
      <c r="C335" s="6" t="s">
        <v>511</v>
      </c>
      <c r="D335" s="6" t="s">
        <v>191</v>
      </c>
      <c r="E335" s="6" t="s">
        <v>512</v>
      </c>
      <c r="F335" s="6">
        <v>800</v>
      </c>
      <c r="G335" s="6" t="s">
        <v>26</v>
      </c>
      <c r="H335" s="6"/>
      <c r="I335" s="6"/>
      <c r="J335" s="6"/>
      <c r="K335" s="7">
        <v>41212</v>
      </c>
      <c r="L335" s="6">
        <v>2077750</v>
      </c>
      <c r="M335" s="6">
        <v>2077750</v>
      </c>
      <c r="N335" s="6" t="s">
        <v>27</v>
      </c>
      <c r="O335" s="8">
        <v>43103</v>
      </c>
      <c r="Q335">
        <f>Table39[[#This Row],[AGREEMENT VALUE OF UNIT]]-Table39[[#This Row],[AMOUNT RECEIVED TILL DATE]]</f>
        <v>0</v>
      </c>
    </row>
    <row r="336" spans="2:17" x14ac:dyDescent="0.25">
      <c r="B336" s="5">
        <f t="shared" si="5"/>
        <v>334</v>
      </c>
      <c r="C336" s="6" t="s">
        <v>513</v>
      </c>
      <c r="D336" s="6" t="s">
        <v>191</v>
      </c>
      <c r="E336" s="6" t="s">
        <v>514</v>
      </c>
      <c r="F336" s="6">
        <v>800</v>
      </c>
      <c r="G336" s="6" t="s">
        <v>26</v>
      </c>
      <c r="H336" s="6"/>
      <c r="I336" s="6"/>
      <c r="J336" s="6"/>
      <c r="K336" s="7">
        <v>40714</v>
      </c>
      <c r="L336" s="6">
        <v>1504750</v>
      </c>
      <c r="M336" s="6">
        <v>1504750</v>
      </c>
      <c r="N336" s="6" t="s">
        <v>30</v>
      </c>
      <c r="O336" s="8">
        <v>43103</v>
      </c>
      <c r="Q336">
        <f>Table39[[#This Row],[AGREEMENT VALUE OF UNIT]]-Table39[[#This Row],[AMOUNT RECEIVED TILL DATE]]</f>
        <v>0</v>
      </c>
    </row>
    <row r="337" spans="2:17" x14ac:dyDescent="0.25">
      <c r="B337" s="5">
        <f t="shared" si="5"/>
        <v>335</v>
      </c>
      <c r="C337" s="6" t="s">
        <v>515</v>
      </c>
      <c r="D337" s="6" t="s">
        <v>191</v>
      </c>
      <c r="E337" s="6" t="s">
        <v>516</v>
      </c>
      <c r="F337" s="6">
        <v>800</v>
      </c>
      <c r="G337" s="6" t="s">
        <v>26</v>
      </c>
      <c r="H337" s="6"/>
      <c r="I337" s="6"/>
      <c r="J337" s="6"/>
      <c r="K337" s="7">
        <v>42739</v>
      </c>
      <c r="L337" s="6">
        <v>2342000</v>
      </c>
      <c r="M337" s="6">
        <v>1585420</v>
      </c>
      <c r="N337" s="6" t="s">
        <v>144</v>
      </c>
      <c r="O337" s="8">
        <v>43103</v>
      </c>
      <c r="Q337">
        <f>Table39[[#This Row],[AGREEMENT VALUE OF UNIT]]-Table39[[#This Row],[AMOUNT RECEIVED TILL DATE]]</f>
        <v>756580</v>
      </c>
    </row>
    <row r="338" spans="2:17" x14ac:dyDescent="0.25">
      <c r="B338" s="5">
        <f t="shared" si="5"/>
        <v>336</v>
      </c>
      <c r="C338" s="6" t="s">
        <v>517</v>
      </c>
      <c r="D338" s="6" t="s">
        <v>191</v>
      </c>
      <c r="E338" s="6" t="s">
        <v>518</v>
      </c>
      <c r="F338" s="6">
        <v>800</v>
      </c>
      <c r="G338" s="6" t="s">
        <v>26</v>
      </c>
      <c r="H338" s="6"/>
      <c r="I338" s="6"/>
      <c r="J338" s="6"/>
      <c r="K338" s="7">
        <v>40638</v>
      </c>
      <c r="L338" s="6">
        <v>1368000</v>
      </c>
      <c r="M338" s="6">
        <v>1368000</v>
      </c>
      <c r="N338" s="6" t="s">
        <v>30</v>
      </c>
      <c r="O338" s="8">
        <v>43103</v>
      </c>
      <c r="Q338">
        <f>Table39[[#This Row],[AGREEMENT VALUE OF UNIT]]-Table39[[#This Row],[AMOUNT RECEIVED TILL DATE]]</f>
        <v>0</v>
      </c>
    </row>
    <row r="339" spans="2:17" x14ac:dyDescent="0.25">
      <c r="B339" s="5">
        <f t="shared" si="5"/>
        <v>337</v>
      </c>
      <c r="C339" s="6" t="s">
        <v>519</v>
      </c>
      <c r="D339" s="6" t="s">
        <v>191</v>
      </c>
      <c r="E339" s="6" t="s">
        <v>520</v>
      </c>
      <c r="F339" s="6">
        <v>800</v>
      </c>
      <c r="G339" s="6" t="s">
        <v>26</v>
      </c>
      <c r="H339" s="6"/>
      <c r="I339" s="6"/>
      <c r="J339" s="6"/>
      <c r="K339" s="7">
        <v>40747</v>
      </c>
      <c r="L339" s="6">
        <v>1469750</v>
      </c>
      <c r="M339" s="6">
        <v>1469750</v>
      </c>
      <c r="N339" s="6" t="s">
        <v>30</v>
      </c>
      <c r="O339" s="8">
        <v>43103</v>
      </c>
      <c r="Q339">
        <f>Table39[[#This Row],[AGREEMENT VALUE OF UNIT]]-Table39[[#This Row],[AMOUNT RECEIVED TILL DATE]]</f>
        <v>0</v>
      </c>
    </row>
    <row r="340" spans="2:17" x14ac:dyDescent="0.25">
      <c r="B340" s="5">
        <f t="shared" si="5"/>
        <v>338</v>
      </c>
      <c r="C340" s="6" t="s">
        <v>521</v>
      </c>
      <c r="D340" s="6" t="s">
        <v>191</v>
      </c>
      <c r="E340" s="6" t="s">
        <v>522</v>
      </c>
      <c r="F340" s="6">
        <v>800</v>
      </c>
      <c r="G340" s="6" t="s">
        <v>26</v>
      </c>
      <c r="H340" s="6"/>
      <c r="I340" s="6"/>
      <c r="J340" s="6"/>
      <c r="K340" s="7">
        <v>40595</v>
      </c>
      <c r="L340" s="6">
        <v>1315750</v>
      </c>
      <c r="M340" s="6">
        <v>1315750</v>
      </c>
      <c r="N340" s="6" t="s">
        <v>30</v>
      </c>
      <c r="O340" s="8">
        <v>43103</v>
      </c>
      <c r="Q340">
        <f>Table39[[#This Row],[AGREEMENT VALUE OF UNIT]]-Table39[[#This Row],[AMOUNT RECEIVED TILL DATE]]</f>
        <v>0</v>
      </c>
    </row>
    <row r="341" spans="2:17" x14ac:dyDescent="0.25">
      <c r="B341" s="5">
        <f t="shared" si="5"/>
        <v>339</v>
      </c>
      <c r="C341" s="6" t="s">
        <v>523</v>
      </c>
      <c r="D341" s="6" t="s">
        <v>191</v>
      </c>
      <c r="E341" s="6" t="s">
        <v>524</v>
      </c>
      <c r="F341" s="6">
        <v>800</v>
      </c>
      <c r="G341" s="6" t="s">
        <v>26</v>
      </c>
      <c r="H341" s="6"/>
      <c r="I341" s="6"/>
      <c r="J341" s="6"/>
      <c r="K341" s="7">
        <v>40595</v>
      </c>
      <c r="L341" s="6">
        <v>1345750</v>
      </c>
      <c r="M341" s="6">
        <v>1345750</v>
      </c>
      <c r="N341" s="6" t="s">
        <v>30</v>
      </c>
      <c r="O341" s="8">
        <v>43103</v>
      </c>
      <c r="Q341">
        <f>Table39[[#This Row],[AGREEMENT VALUE OF UNIT]]-Table39[[#This Row],[AMOUNT RECEIVED TILL DATE]]</f>
        <v>0</v>
      </c>
    </row>
    <row r="342" spans="2:17" x14ac:dyDescent="0.25">
      <c r="B342" s="5">
        <f t="shared" si="5"/>
        <v>340</v>
      </c>
      <c r="C342" s="6" t="s">
        <v>525</v>
      </c>
      <c r="D342" s="6" t="s">
        <v>191</v>
      </c>
      <c r="E342" s="6" t="s">
        <v>526</v>
      </c>
      <c r="F342" s="6">
        <v>800</v>
      </c>
      <c r="G342" s="6" t="s">
        <v>26</v>
      </c>
      <c r="H342" s="6"/>
      <c r="I342" s="6"/>
      <c r="J342" s="6"/>
      <c r="K342" s="7">
        <v>40605</v>
      </c>
      <c r="L342" s="6">
        <v>1315750</v>
      </c>
      <c r="M342" s="6">
        <v>1315750</v>
      </c>
      <c r="N342" s="6" t="s">
        <v>30</v>
      </c>
      <c r="O342" s="8">
        <v>43103</v>
      </c>
      <c r="Q342">
        <f>Table39[[#This Row],[AGREEMENT VALUE OF UNIT]]-Table39[[#This Row],[AMOUNT RECEIVED TILL DATE]]</f>
        <v>0</v>
      </c>
    </row>
    <row r="343" spans="2:17" x14ac:dyDescent="0.25">
      <c r="B343" s="5">
        <f t="shared" si="5"/>
        <v>341</v>
      </c>
      <c r="C343" s="6" t="s">
        <v>527</v>
      </c>
      <c r="D343" s="6" t="s">
        <v>191</v>
      </c>
      <c r="E343" s="6" t="s">
        <v>528</v>
      </c>
      <c r="F343" s="6">
        <v>800</v>
      </c>
      <c r="G343" s="6" t="s">
        <v>26</v>
      </c>
      <c r="H343" s="6"/>
      <c r="I343" s="6"/>
      <c r="J343" s="6"/>
      <c r="K343" s="7">
        <v>40595</v>
      </c>
      <c r="L343" s="6">
        <v>1345750</v>
      </c>
      <c r="M343" s="6">
        <v>1345750</v>
      </c>
      <c r="N343" s="6" t="s">
        <v>30</v>
      </c>
      <c r="O343" s="8">
        <v>43103</v>
      </c>
      <c r="Q343">
        <f>Table39[[#This Row],[AGREEMENT VALUE OF UNIT]]-Table39[[#This Row],[AMOUNT RECEIVED TILL DATE]]</f>
        <v>0</v>
      </c>
    </row>
    <row r="344" spans="2:17" x14ac:dyDescent="0.25">
      <c r="B344" s="5">
        <f t="shared" si="5"/>
        <v>342</v>
      </c>
      <c r="C344" s="6" t="s">
        <v>529</v>
      </c>
      <c r="D344" s="6" t="s">
        <v>191</v>
      </c>
      <c r="E344" s="6" t="s">
        <v>530</v>
      </c>
      <c r="F344" s="6">
        <v>800</v>
      </c>
      <c r="G344" s="6" t="s">
        <v>26</v>
      </c>
      <c r="H344" s="6"/>
      <c r="I344" s="6"/>
      <c r="J344" s="6"/>
      <c r="K344" s="7">
        <v>40622</v>
      </c>
      <c r="L344" s="6">
        <v>1315750</v>
      </c>
      <c r="M344" s="6">
        <v>1315750</v>
      </c>
      <c r="N344" s="6" t="s">
        <v>30</v>
      </c>
      <c r="O344" s="8">
        <v>43103</v>
      </c>
      <c r="Q344">
        <f>Table39[[#This Row],[AGREEMENT VALUE OF UNIT]]-Table39[[#This Row],[AMOUNT RECEIVED TILL DATE]]</f>
        <v>0</v>
      </c>
    </row>
    <row r="345" spans="2:17" x14ac:dyDescent="0.25">
      <c r="B345" s="5">
        <f t="shared" si="5"/>
        <v>343</v>
      </c>
      <c r="C345" s="6" t="s">
        <v>531</v>
      </c>
      <c r="D345" s="6" t="s">
        <v>191</v>
      </c>
      <c r="E345" s="6" t="s">
        <v>532</v>
      </c>
      <c r="F345" s="6">
        <v>800</v>
      </c>
      <c r="G345" s="6" t="s">
        <v>26</v>
      </c>
      <c r="H345" s="6"/>
      <c r="I345" s="6"/>
      <c r="J345" s="6"/>
      <c r="K345" s="7">
        <v>40597</v>
      </c>
      <c r="L345" s="6">
        <v>1345750</v>
      </c>
      <c r="M345" s="6">
        <v>1345750</v>
      </c>
      <c r="N345" s="6" t="s">
        <v>30</v>
      </c>
      <c r="O345" s="8">
        <v>43103</v>
      </c>
      <c r="Q345">
        <f>Table39[[#This Row],[AGREEMENT VALUE OF UNIT]]-Table39[[#This Row],[AMOUNT RECEIVED TILL DATE]]</f>
        <v>0</v>
      </c>
    </row>
    <row r="346" spans="2:17" x14ac:dyDescent="0.25">
      <c r="B346" s="5">
        <f t="shared" si="5"/>
        <v>344</v>
      </c>
      <c r="C346" s="6" t="s">
        <v>533</v>
      </c>
      <c r="D346" s="6" t="s">
        <v>191</v>
      </c>
      <c r="E346" s="6" t="s">
        <v>534</v>
      </c>
      <c r="F346" s="6">
        <v>800</v>
      </c>
      <c r="G346" s="6" t="s">
        <v>26</v>
      </c>
      <c r="H346" s="6"/>
      <c r="I346" s="6"/>
      <c r="J346" s="6"/>
      <c r="K346" s="7">
        <v>40736</v>
      </c>
      <c r="L346" s="6">
        <v>1367700</v>
      </c>
      <c r="M346" s="6">
        <v>1367700</v>
      </c>
      <c r="N346" s="6" t="s">
        <v>27</v>
      </c>
      <c r="O346" s="8">
        <v>43103</v>
      </c>
      <c r="Q346">
        <f>Table39[[#This Row],[AGREEMENT VALUE OF UNIT]]-Table39[[#This Row],[AMOUNT RECEIVED TILL DATE]]</f>
        <v>0</v>
      </c>
    </row>
    <row r="347" spans="2:17" x14ac:dyDescent="0.25">
      <c r="B347" s="5">
        <f t="shared" si="5"/>
        <v>345</v>
      </c>
      <c r="C347" s="6" t="s">
        <v>535</v>
      </c>
      <c r="D347" s="6" t="s">
        <v>191</v>
      </c>
      <c r="E347" s="6" t="s">
        <v>536</v>
      </c>
      <c r="F347" s="6">
        <v>800</v>
      </c>
      <c r="G347" s="6" t="s">
        <v>26</v>
      </c>
      <c r="H347" s="6"/>
      <c r="I347" s="6"/>
      <c r="J347" s="6"/>
      <c r="K347" s="7">
        <v>40744</v>
      </c>
      <c r="L347" s="6">
        <v>1422250</v>
      </c>
      <c r="M347" s="6">
        <v>1422250</v>
      </c>
      <c r="N347" s="6" t="s">
        <v>27</v>
      </c>
      <c r="O347" s="8">
        <v>43103</v>
      </c>
      <c r="Q347">
        <f>Table39[[#This Row],[AGREEMENT VALUE OF UNIT]]-Table39[[#This Row],[AMOUNT RECEIVED TILL DATE]]</f>
        <v>0</v>
      </c>
    </row>
    <row r="348" spans="2:17" x14ac:dyDescent="0.25">
      <c r="B348" s="5">
        <f t="shared" si="5"/>
        <v>346</v>
      </c>
      <c r="C348" s="6" t="s">
        <v>537</v>
      </c>
      <c r="D348" s="6" t="s">
        <v>191</v>
      </c>
      <c r="E348" s="6" t="s">
        <v>538</v>
      </c>
      <c r="F348" s="6">
        <v>800</v>
      </c>
      <c r="G348" s="6" t="s">
        <v>26</v>
      </c>
      <c r="H348" s="6"/>
      <c r="I348" s="6"/>
      <c r="J348" s="6"/>
      <c r="K348" s="7">
        <v>40744</v>
      </c>
      <c r="L348" s="6">
        <v>1367700</v>
      </c>
      <c r="M348" s="6">
        <v>1367700</v>
      </c>
      <c r="N348" s="6" t="s">
        <v>27</v>
      </c>
      <c r="O348" s="8">
        <v>43103</v>
      </c>
      <c r="Q348">
        <f>Table39[[#This Row],[AGREEMENT VALUE OF UNIT]]-Table39[[#This Row],[AMOUNT RECEIVED TILL DATE]]</f>
        <v>0</v>
      </c>
    </row>
    <row r="349" spans="2:17" x14ac:dyDescent="0.25">
      <c r="B349" s="5">
        <f t="shared" si="5"/>
        <v>347</v>
      </c>
      <c r="C349" s="6" t="s">
        <v>539</v>
      </c>
      <c r="D349" s="6" t="s">
        <v>191</v>
      </c>
      <c r="E349" s="6" t="s">
        <v>540</v>
      </c>
      <c r="F349" s="6">
        <v>800</v>
      </c>
      <c r="G349" s="6" t="s">
        <v>26</v>
      </c>
      <c r="H349" s="6"/>
      <c r="I349" s="6"/>
      <c r="J349" s="6"/>
      <c r="K349" s="7">
        <v>40788</v>
      </c>
      <c r="L349" s="6">
        <v>1454700</v>
      </c>
      <c r="M349" s="6">
        <v>1454700</v>
      </c>
      <c r="N349" s="6" t="s">
        <v>30</v>
      </c>
      <c r="O349" s="8">
        <v>43103</v>
      </c>
      <c r="Q349">
        <f>Table39[[#This Row],[AGREEMENT VALUE OF UNIT]]-Table39[[#This Row],[AMOUNT RECEIVED TILL DATE]]</f>
        <v>0</v>
      </c>
    </row>
    <row r="350" spans="2:17" x14ac:dyDescent="0.25">
      <c r="B350" s="5">
        <f t="shared" si="5"/>
        <v>348</v>
      </c>
      <c r="C350" s="6" t="s">
        <v>541</v>
      </c>
      <c r="D350" s="6" t="s">
        <v>191</v>
      </c>
      <c r="E350" s="6" t="s">
        <v>542</v>
      </c>
      <c r="F350" s="6">
        <v>800</v>
      </c>
      <c r="G350" s="6" t="s">
        <v>26</v>
      </c>
      <c r="H350" s="6"/>
      <c r="I350" s="6"/>
      <c r="J350" s="6"/>
      <c r="K350" s="7">
        <v>42005</v>
      </c>
      <c r="L350" s="6">
        <v>2714525</v>
      </c>
      <c r="M350" s="6">
        <v>2653439</v>
      </c>
      <c r="N350" s="6" t="s">
        <v>39</v>
      </c>
      <c r="O350" s="8">
        <v>43103</v>
      </c>
      <c r="Q350">
        <f>Table39[[#This Row],[AGREEMENT VALUE OF UNIT]]-Table39[[#This Row],[AMOUNT RECEIVED TILL DATE]]</f>
        <v>61086</v>
      </c>
    </row>
    <row r="351" spans="2:17" x14ac:dyDescent="0.25">
      <c r="B351" s="5">
        <f t="shared" si="5"/>
        <v>349</v>
      </c>
      <c r="C351" s="6" t="s">
        <v>543</v>
      </c>
      <c r="D351" s="6" t="s">
        <v>191</v>
      </c>
      <c r="E351" s="6" t="s">
        <v>544</v>
      </c>
      <c r="F351" s="6">
        <v>800</v>
      </c>
      <c r="G351" s="6" t="s">
        <v>26</v>
      </c>
      <c r="H351" s="6"/>
      <c r="I351" s="6"/>
      <c r="J351" s="6"/>
      <c r="K351" s="7">
        <v>40744</v>
      </c>
      <c r="L351" s="6">
        <v>1407700</v>
      </c>
      <c r="M351" s="6">
        <v>1407700</v>
      </c>
      <c r="N351" s="6" t="s">
        <v>27</v>
      </c>
      <c r="O351" s="8">
        <v>43103</v>
      </c>
      <c r="Q351">
        <f>Table39[[#This Row],[AGREEMENT VALUE OF UNIT]]-Table39[[#This Row],[AMOUNT RECEIVED TILL DATE]]</f>
        <v>0</v>
      </c>
    </row>
    <row r="352" spans="2:17" x14ac:dyDescent="0.25">
      <c r="B352" s="5">
        <f t="shared" si="5"/>
        <v>350</v>
      </c>
      <c r="C352" s="6" t="s">
        <v>784</v>
      </c>
      <c r="D352" s="6" t="s">
        <v>191</v>
      </c>
      <c r="E352" s="6" t="s">
        <v>785</v>
      </c>
      <c r="F352" s="6">
        <v>800</v>
      </c>
      <c r="G352" s="6" t="s">
        <v>26</v>
      </c>
      <c r="H352" s="6"/>
      <c r="I352" s="6"/>
      <c r="J352" s="6"/>
      <c r="K352" s="7">
        <v>41919</v>
      </c>
      <c r="L352" s="6">
        <v>1900000</v>
      </c>
      <c r="M352" s="6">
        <v>1900000</v>
      </c>
      <c r="N352" s="6" t="s">
        <v>165</v>
      </c>
      <c r="O352" s="8">
        <v>43103</v>
      </c>
      <c r="Q352">
        <f>Table39[[#This Row],[AGREEMENT VALUE OF UNIT]]-Table39[[#This Row],[AMOUNT RECEIVED TILL DATE]]</f>
        <v>0</v>
      </c>
    </row>
    <row r="353" spans="2:17" x14ac:dyDescent="0.25">
      <c r="B353" s="5">
        <f t="shared" si="5"/>
        <v>351</v>
      </c>
      <c r="C353" s="6" t="s">
        <v>199</v>
      </c>
      <c r="D353" s="6" t="s">
        <v>191</v>
      </c>
      <c r="E353" s="6" t="s">
        <v>200</v>
      </c>
      <c r="F353" s="6">
        <v>875</v>
      </c>
      <c r="G353" s="6" t="s">
        <v>113</v>
      </c>
      <c r="H353" s="6"/>
      <c r="I353" s="6"/>
      <c r="J353" s="6"/>
      <c r="K353" s="7">
        <v>42930</v>
      </c>
      <c r="L353" s="6">
        <v>2300000</v>
      </c>
      <c r="M353" s="6">
        <v>2300000</v>
      </c>
      <c r="N353" s="6" t="s">
        <v>30</v>
      </c>
      <c r="O353" s="8">
        <v>43103</v>
      </c>
      <c r="Q353">
        <f>Table39[[#This Row],[AGREEMENT VALUE OF UNIT]]-Table39[[#This Row],[AMOUNT RECEIVED TILL DATE]]</f>
        <v>0</v>
      </c>
    </row>
    <row r="354" spans="2:17" x14ac:dyDescent="0.25">
      <c r="B354" s="5">
        <f t="shared" si="5"/>
        <v>352</v>
      </c>
      <c r="C354" s="6" t="s">
        <v>201</v>
      </c>
      <c r="D354" s="6" t="s">
        <v>191</v>
      </c>
      <c r="E354" s="6" t="s">
        <v>202</v>
      </c>
      <c r="F354" s="6">
        <v>875</v>
      </c>
      <c r="G354" s="6" t="s">
        <v>113</v>
      </c>
      <c r="H354" s="6"/>
      <c r="I354" s="6"/>
      <c r="J354" s="6"/>
      <c r="K354" s="7">
        <v>43001</v>
      </c>
      <c r="L354" s="6">
        <v>2677500</v>
      </c>
      <c r="M354" s="6">
        <v>267750</v>
      </c>
      <c r="N354" s="6" t="s">
        <v>30</v>
      </c>
      <c r="O354" s="8">
        <v>43103</v>
      </c>
      <c r="Q354">
        <f>Table39[[#This Row],[AGREEMENT VALUE OF UNIT]]-Table39[[#This Row],[AMOUNT RECEIVED TILL DATE]]</f>
        <v>2409750</v>
      </c>
    </row>
    <row r="355" spans="2:17" x14ac:dyDescent="0.25">
      <c r="B355" s="5">
        <f t="shared" si="5"/>
        <v>353</v>
      </c>
      <c r="C355" s="6" t="s">
        <v>211</v>
      </c>
      <c r="D355" s="6" t="s">
        <v>191</v>
      </c>
      <c r="E355" s="6" t="s">
        <v>212</v>
      </c>
      <c r="F355" s="6">
        <v>875</v>
      </c>
      <c r="G355" s="6" t="s">
        <v>26</v>
      </c>
      <c r="H355" s="6"/>
      <c r="I355" s="6"/>
      <c r="J355" s="6"/>
      <c r="K355" s="7">
        <v>40744</v>
      </c>
      <c r="L355" s="6">
        <v>1640000</v>
      </c>
      <c r="M355" s="6">
        <v>1640000</v>
      </c>
      <c r="N355" s="6" t="s">
        <v>30</v>
      </c>
      <c r="O355" s="8">
        <v>43103</v>
      </c>
      <c r="Q355">
        <f>Table39[[#This Row],[AGREEMENT VALUE OF UNIT]]-Table39[[#This Row],[AMOUNT RECEIVED TILL DATE]]</f>
        <v>0</v>
      </c>
    </row>
    <row r="356" spans="2:17" x14ac:dyDescent="0.25">
      <c r="B356" s="5">
        <f t="shared" si="5"/>
        <v>354</v>
      </c>
      <c r="C356" s="6" t="s">
        <v>213</v>
      </c>
      <c r="D356" s="6" t="s">
        <v>191</v>
      </c>
      <c r="E356" s="6" t="s">
        <v>214</v>
      </c>
      <c r="F356" s="6">
        <v>875</v>
      </c>
      <c r="G356" s="6" t="s">
        <v>113</v>
      </c>
      <c r="H356" s="6"/>
      <c r="I356" s="6"/>
      <c r="J356" s="6"/>
      <c r="K356" s="7">
        <v>42993</v>
      </c>
      <c r="L356" s="6">
        <v>2732246</v>
      </c>
      <c r="M356" s="6">
        <v>1390884</v>
      </c>
      <c r="N356" s="6" t="s">
        <v>27</v>
      </c>
      <c r="O356" s="8">
        <v>43103</v>
      </c>
      <c r="Q356">
        <f>Table39[[#This Row],[AGREEMENT VALUE OF UNIT]]-Table39[[#This Row],[AMOUNT RECEIVED TILL DATE]]</f>
        <v>1341362</v>
      </c>
    </row>
    <row r="357" spans="2:17" x14ac:dyDescent="0.25">
      <c r="B357" s="5">
        <f t="shared" si="5"/>
        <v>355</v>
      </c>
      <c r="C357" s="6" t="s">
        <v>223</v>
      </c>
      <c r="D357" s="6" t="s">
        <v>191</v>
      </c>
      <c r="E357" s="6" t="s">
        <v>224</v>
      </c>
      <c r="F357" s="6">
        <v>875</v>
      </c>
      <c r="G357" s="6" t="s">
        <v>113</v>
      </c>
      <c r="H357" s="6"/>
      <c r="I357" s="6"/>
      <c r="J357" s="6"/>
      <c r="K357" s="7">
        <v>42960</v>
      </c>
      <c r="L357" s="6">
        <v>2330000</v>
      </c>
      <c r="M357" s="6">
        <v>1193799</v>
      </c>
      <c r="N357" s="6" t="s">
        <v>30</v>
      </c>
      <c r="O357" s="8">
        <v>43103</v>
      </c>
      <c r="Q357">
        <f>Table39[[#This Row],[AGREEMENT VALUE OF UNIT]]-Table39[[#This Row],[AMOUNT RECEIVED TILL DATE]]</f>
        <v>1136201</v>
      </c>
    </row>
    <row r="358" spans="2:17" x14ac:dyDescent="0.25">
      <c r="B358" s="5">
        <f t="shared" si="5"/>
        <v>356</v>
      </c>
      <c r="C358" s="6" t="s">
        <v>225</v>
      </c>
      <c r="D358" s="6" t="s">
        <v>191</v>
      </c>
      <c r="E358" s="6" t="s">
        <v>226</v>
      </c>
      <c r="F358" s="6">
        <v>875</v>
      </c>
      <c r="G358" s="6" t="s">
        <v>26</v>
      </c>
      <c r="H358" s="6"/>
      <c r="I358" s="6"/>
      <c r="J358" s="6"/>
      <c r="K358" s="7">
        <v>40884</v>
      </c>
      <c r="L358" s="6">
        <v>2050000</v>
      </c>
      <c r="M358" s="6">
        <v>2050000</v>
      </c>
      <c r="N358" s="6" t="s">
        <v>30</v>
      </c>
      <c r="O358" s="8">
        <v>43103</v>
      </c>
      <c r="Q358">
        <f>Table39[[#This Row],[AGREEMENT VALUE OF UNIT]]-Table39[[#This Row],[AMOUNT RECEIVED TILL DATE]]</f>
        <v>0</v>
      </c>
    </row>
    <row r="359" spans="2:17" x14ac:dyDescent="0.25">
      <c r="B359" s="5">
        <f t="shared" si="5"/>
        <v>357</v>
      </c>
      <c r="C359" s="6" t="s">
        <v>234</v>
      </c>
      <c r="D359" s="6" t="s">
        <v>191</v>
      </c>
      <c r="E359" s="6" t="s">
        <v>235</v>
      </c>
      <c r="F359" s="6">
        <v>875</v>
      </c>
      <c r="G359" s="6" t="s">
        <v>26</v>
      </c>
      <c r="H359" s="6"/>
      <c r="I359" s="6"/>
      <c r="J359" s="6"/>
      <c r="K359" s="7">
        <v>40816</v>
      </c>
      <c r="L359" s="6">
        <v>1968000</v>
      </c>
      <c r="M359" s="6">
        <v>1968000</v>
      </c>
      <c r="N359" s="6" t="s">
        <v>66</v>
      </c>
      <c r="O359" s="8">
        <v>43103</v>
      </c>
      <c r="Q359">
        <f>Table39[[#This Row],[AGREEMENT VALUE OF UNIT]]-Table39[[#This Row],[AMOUNT RECEIVED TILL DATE]]</f>
        <v>0</v>
      </c>
    </row>
    <row r="360" spans="2:17" x14ac:dyDescent="0.25">
      <c r="B360" s="5">
        <f t="shared" si="5"/>
        <v>358</v>
      </c>
      <c r="C360" s="6" t="s">
        <v>236</v>
      </c>
      <c r="D360" s="6" t="s">
        <v>191</v>
      </c>
      <c r="E360" s="6" t="s">
        <v>237</v>
      </c>
      <c r="F360" s="6">
        <v>875</v>
      </c>
      <c r="G360" s="6" t="s">
        <v>26</v>
      </c>
      <c r="H360" s="6"/>
      <c r="I360" s="6"/>
      <c r="J360" s="6"/>
      <c r="K360" s="7">
        <v>41098</v>
      </c>
      <c r="L360" s="6">
        <v>2424844</v>
      </c>
      <c r="M360" s="6">
        <v>2424844</v>
      </c>
      <c r="N360" s="6" t="s">
        <v>135</v>
      </c>
      <c r="O360" s="8">
        <v>43103</v>
      </c>
      <c r="Q360">
        <f>Table39[[#This Row],[AGREEMENT VALUE OF UNIT]]-Table39[[#This Row],[AMOUNT RECEIVED TILL DATE]]</f>
        <v>0</v>
      </c>
    </row>
    <row r="361" spans="2:17" x14ac:dyDescent="0.25">
      <c r="B361" s="5">
        <f t="shared" si="5"/>
        <v>359</v>
      </c>
      <c r="C361" s="6" t="s">
        <v>245</v>
      </c>
      <c r="D361" s="6" t="s">
        <v>191</v>
      </c>
      <c r="E361" s="6" t="s">
        <v>246</v>
      </c>
      <c r="F361" s="6">
        <v>875</v>
      </c>
      <c r="G361" s="6" t="s">
        <v>26</v>
      </c>
      <c r="H361" s="6"/>
      <c r="I361" s="6"/>
      <c r="J361" s="6"/>
      <c r="K361" s="7">
        <v>40840</v>
      </c>
      <c r="L361" s="6">
        <v>1930000</v>
      </c>
      <c r="M361" s="6">
        <v>1930000</v>
      </c>
      <c r="N361" s="6" t="s">
        <v>30</v>
      </c>
      <c r="O361" s="8">
        <v>43103</v>
      </c>
      <c r="Q361">
        <f>Table39[[#This Row],[AGREEMENT VALUE OF UNIT]]-Table39[[#This Row],[AMOUNT RECEIVED TILL DATE]]</f>
        <v>0</v>
      </c>
    </row>
    <row r="362" spans="2:17" x14ac:dyDescent="0.25">
      <c r="B362" s="5">
        <f t="shared" si="5"/>
        <v>360</v>
      </c>
      <c r="C362" s="6" t="s">
        <v>247</v>
      </c>
      <c r="D362" s="6" t="s">
        <v>191</v>
      </c>
      <c r="E362" s="6" t="s">
        <v>248</v>
      </c>
      <c r="F362" s="6">
        <v>875</v>
      </c>
      <c r="G362" s="6" t="s">
        <v>26</v>
      </c>
      <c r="H362" s="6"/>
      <c r="I362" s="6"/>
      <c r="J362" s="6"/>
      <c r="K362" s="7">
        <v>40765</v>
      </c>
      <c r="L362" s="6">
        <v>1664000</v>
      </c>
      <c r="M362" s="6">
        <v>1664000</v>
      </c>
      <c r="N362" s="6" t="s">
        <v>57</v>
      </c>
      <c r="O362" s="8">
        <v>43103</v>
      </c>
      <c r="Q362">
        <f>Table39[[#This Row],[AGREEMENT VALUE OF UNIT]]-Table39[[#This Row],[AMOUNT RECEIVED TILL DATE]]</f>
        <v>0</v>
      </c>
    </row>
    <row r="363" spans="2:17" x14ac:dyDescent="0.25">
      <c r="B363" s="5">
        <f t="shared" si="5"/>
        <v>361</v>
      </c>
      <c r="C363" s="6" t="s">
        <v>257</v>
      </c>
      <c r="D363" s="6" t="s">
        <v>191</v>
      </c>
      <c r="E363" s="6" t="s">
        <v>258</v>
      </c>
      <c r="F363" s="6">
        <v>875</v>
      </c>
      <c r="G363" s="6" t="s">
        <v>26</v>
      </c>
      <c r="H363" s="6"/>
      <c r="I363" s="6"/>
      <c r="J363" s="6"/>
      <c r="K363" s="7">
        <v>41190</v>
      </c>
      <c r="L363" s="6">
        <v>2387094</v>
      </c>
      <c r="M363" s="6">
        <v>2387094</v>
      </c>
      <c r="N363" s="6" t="s">
        <v>39</v>
      </c>
      <c r="O363" s="8">
        <v>43103</v>
      </c>
      <c r="Q363">
        <f>Table39[[#This Row],[AGREEMENT VALUE OF UNIT]]-Table39[[#This Row],[AMOUNT RECEIVED TILL DATE]]</f>
        <v>0</v>
      </c>
    </row>
    <row r="364" spans="2:17" x14ac:dyDescent="0.25">
      <c r="B364" s="5">
        <f t="shared" si="5"/>
        <v>362</v>
      </c>
      <c r="C364" s="6" t="s">
        <v>259</v>
      </c>
      <c r="D364" s="6" t="s">
        <v>191</v>
      </c>
      <c r="E364" s="6" t="s">
        <v>260</v>
      </c>
      <c r="F364" s="6">
        <v>875</v>
      </c>
      <c r="G364" s="6" t="s">
        <v>26</v>
      </c>
      <c r="H364" s="6"/>
      <c r="I364" s="6"/>
      <c r="J364" s="6"/>
      <c r="K364" s="7">
        <v>41171</v>
      </c>
      <c r="L364" s="6">
        <v>1405000</v>
      </c>
      <c r="M364" s="6">
        <v>1405000</v>
      </c>
      <c r="N364" s="6" t="s">
        <v>30</v>
      </c>
      <c r="O364" s="8">
        <v>43103</v>
      </c>
      <c r="Q364">
        <f>Table39[[#This Row],[AGREEMENT VALUE OF UNIT]]-Table39[[#This Row],[AMOUNT RECEIVED TILL DATE]]</f>
        <v>0</v>
      </c>
    </row>
    <row r="365" spans="2:17" x14ac:dyDescent="0.25">
      <c r="B365" s="5">
        <f t="shared" si="5"/>
        <v>363</v>
      </c>
      <c r="C365" s="6" t="s">
        <v>30</v>
      </c>
      <c r="D365" s="6" t="s">
        <v>191</v>
      </c>
      <c r="E365" s="6" t="s">
        <v>269</v>
      </c>
      <c r="F365" s="6">
        <v>875</v>
      </c>
      <c r="G365" s="6" t="s">
        <v>26</v>
      </c>
      <c r="H365" s="6"/>
      <c r="I365" s="6"/>
      <c r="J365" s="6"/>
      <c r="K365" s="7"/>
      <c r="L365" s="6"/>
      <c r="M365" s="6"/>
      <c r="N365" s="6" t="s">
        <v>30</v>
      </c>
      <c r="O365" s="8">
        <v>43103</v>
      </c>
      <c r="Q365">
        <f>Table39[[#This Row],[AGREEMENT VALUE OF UNIT]]-Table39[[#This Row],[AMOUNT RECEIVED TILL DATE]]</f>
        <v>0</v>
      </c>
    </row>
    <row r="366" spans="2:17" x14ac:dyDescent="0.25">
      <c r="B366" s="5">
        <f t="shared" si="5"/>
        <v>364</v>
      </c>
      <c r="C366" s="6" t="s">
        <v>270</v>
      </c>
      <c r="D366" s="6" t="s">
        <v>191</v>
      </c>
      <c r="E366" s="6" t="s">
        <v>271</v>
      </c>
      <c r="F366" s="6">
        <v>875</v>
      </c>
      <c r="G366" s="6" t="s">
        <v>26</v>
      </c>
      <c r="H366" s="6"/>
      <c r="I366" s="6"/>
      <c r="J366" s="6"/>
      <c r="K366" s="7">
        <v>41171</v>
      </c>
      <c r="L366" s="6">
        <v>1405000</v>
      </c>
      <c r="M366" s="6">
        <v>1405000</v>
      </c>
      <c r="N366" s="6" t="s">
        <v>30</v>
      </c>
      <c r="O366" s="8">
        <v>43103</v>
      </c>
      <c r="Q366">
        <f>Table39[[#This Row],[AGREEMENT VALUE OF UNIT]]-Table39[[#This Row],[AMOUNT RECEIVED TILL DATE]]</f>
        <v>0</v>
      </c>
    </row>
    <row r="367" spans="2:17" x14ac:dyDescent="0.25">
      <c r="B367" s="5">
        <f t="shared" si="5"/>
        <v>365</v>
      </c>
      <c r="C367" s="6" t="s">
        <v>280</v>
      </c>
      <c r="D367" s="6" t="s">
        <v>191</v>
      </c>
      <c r="E367" s="6" t="s">
        <v>281</v>
      </c>
      <c r="F367" s="6">
        <v>875</v>
      </c>
      <c r="G367" s="6" t="s">
        <v>26</v>
      </c>
      <c r="H367" s="6"/>
      <c r="I367" s="6"/>
      <c r="J367" s="6"/>
      <c r="K367" s="7">
        <v>40968</v>
      </c>
      <c r="L367" s="6">
        <v>1935000</v>
      </c>
      <c r="M367" s="6">
        <v>1935000</v>
      </c>
      <c r="N367" s="6" t="s">
        <v>39</v>
      </c>
      <c r="O367" s="8">
        <v>43103</v>
      </c>
      <c r="Q367">
        <f>Table39[[#This Row],[AGREEMENT VALUE OF UNIT]]-Table39[[#This Row],[AMOUNT RECEIVED TILL DATE]]</f>
        <v>0</v>
      </c>
    </row>
    <row r="368" spans="2:17" x14ac:dyDescent="0.25">
      <c r="B368" s="5">
        <f t="shared" si="5"/>
        <v>366</v>
      </c>
      <c r="C368" s="6" t="s">
        <v>282</v>
      </c>
      <c r="D368" s="6" t="s">
        <v>191</v>
      </c>
      <c r="E368" s="6" t="s">
        <v>283</v>
      </c>
      <c r="F368" s="6">
        <v>875</v>
      </c>
      <c r="G368" s="6" t="s">
        <v>26</v>
      </c>
      <c r="H368" s="6"/>
      <c r="I368" s="6"/>
      <c r="J368" s="6"/>
      <c r="K368" s="7">
        <v>40760</v>
      </c>
      <c r="L368" s="6">
        <v>1628500</v>
      </c>
      <c r="M368" s="6">
        <v>1628500</v>
      </c>
      <c r="N368" s="6" t="s">
        <v>30</v>
      </c>
      <c r="O368" s="8">
        <v>43103</v>
      </c>
      <c r="Q368">
        <f>Table39[[#This Row],[AGREEMENT VALUE OF UNIT]]-Table39[[#This Row],[AMOUNT RECEIVED TILL DATE]]</f>
        <v>0</v>
      </c>
    </row>
    <row r="369" spans="2:17" x14ac:dyDescent="0.25">
      <c r="B369" s="5">
        <f t="shared" si="5"/>
        <v>367</v>
      </c>
      <c r="C369" s="6" t="s">
        <v>292</v>
      </c>
      <c r="D369" s="6" t="s">
        <v>191</v>
      </c>
      <c r="E369" s="6" t="s">
        <v>293</v>
      </c>
      <c r="F369" s="6">
        <v>875</v>
      </c>
      <c r="G369" s="6" t="s">
        <v>26</v>
      </c>
      <c r="H369" s="6"/>
      <c r="I369" s="6"/>
      <c r="J369" s="6"/>
      <c r="K369" s="7">
        <v>41874</v>
      </c>
      <c r="L369" s="6">
        <v>3265000</v>
      </c>
      <c r="M369" s="6">
        <v>3265000</v>
      </c>
      <c r="N369" s="6" t="s">
        <v>46</v>
      </c>
      <c r="O369" s="8">
        <v>43103</v>
      </c>
      <c r="Q369">
        <f>Table39[[#This Row],[AGREEMENT VALUE OF UNIT]]-Table39[[#This Row],[AMOUNT RECEIVED TILL DATE]]</f>
        <v>0</v>
      </c>
    </row>
    <row r="370" spans="2:17" x14ac:dyDescent="0.25">
      <c r="B370" s="5">
        <f t="shared" si="5"/>
        <v>368</v>
      </c>
      <c r="C370" s="6" t="s">
        <v>294</v>
      </c>
      <c r="D370" s="6" t="s">
        <v>191</v>
      </c>
      <c r="E370" s="6" t="s">
        <v>295</v>
      </c>
      <c r="F370" s="6">
        <v>875</v>
      </c>
      <c r="G370" s="6" t="s">
        <v>26</v>
      </c>
      <c r="H370" s="6"/>
      <c r="I370" s="6"/>
      <c r="J370" s="6"/>
      <c r="K370" s="7">
        <v>42603</v>
      </c>
      <c r="L370" s="6">
        <v>2760000</v>
      </c>
      <c r="M370" s="6">
        <v>2245850</v>
      </c>
      <c r="N370" s="6" t="s">
        <v>46</v>
      </c>
      <c r="O370" s="8">
        <v>43103</v>
      </c>
      <c r="Q370">
        <f>Table39[[#This Row],[AGREEMENT VALUE OF UNIT]]-Table39[[#This Row],[AMOUNT RECEIVED TILL DATE]]</f>
        <v>514150</v>
      </c>
    </row>
    <row r="371" spans="2:17" x14ac:dyDescent="0.25">
      <c r="B371" s="5">
        <f t="shared" si="5"/>
        <v>369</v>
      </c>
      <c r="C371" s="6" t="s">
        <v>304</v>
      </c>
      <c r="D371" s="6" t="s">
        <v>191</v>
      </c>
      <c r="E371" s="6" t="s">
        <v>305</v>
      </c>
      <c r="F371" s="6">
        <v>875</v>
      </c>
      <c r="G371" s="6" t="s">
        <v>26</v>
      </c>
      <c r="H371" s="6"/>
      <c r="I371" s="6"/>
      <c r="J371" s="6"/>
      <c r="K371" s="7">
        <v>41215</v>
      </c>
      <c r="L371" s="6">
        <v>2291500</v>
      </c>
      <c r="M371" s="6">
        <v>2291500</v>
      </c>
      <c r="N371" s="6" t="s">
        <v>27</v>
      </c>
      <c r="O371" s="8">
        <v>43103</v>
      </c>
      <c r="Q371">
        <f>Table39[[#This Row],[AGREEMENT VALUE OF UNIT]]-Table39[[#This Row],[AMOUNT RECEIVED TILL DATE]]</f>
        <v>0</v>
      </c>
    </row>
    <row r="372" spans="2:17" x14ac:dyDescent="0.25">
      <c r="B372" s="5">
        <f t="shared" si="5"/>
        <v>370</v>
      </c>
      <c r="C372" s="6" t="s">
        <v>306</v>
      </c>
      <c r="D372" s="6" t="s">
        <v>191</v>
      </c>
      <c r="E372" s="6" t="s">
        <v>307</v>
      </c>
      <c r="F372" s="6">
        <v>875</v>
      </c>
      <c r="G372" s="6" t="s">
        <v>26</v>
      </c>
      <c r="H372" s="6"/>
      <c r="I372" s="6"/>
      <c r="J372" s="6"/>
      <c r="K372" s="7">
        <v>41338</v>
      </c>
      <c r="L372" s="6">
        <v>2498700</v>
      </c>
      <c r="M372" s="6">
        <v>2498700</v>
      </c>
      <c r="N372" s="6" t="s">
        <v>27</v>
      </c>
      <c r="O372" s="8">
        <v>43103</v>
      </c>
      <c r="Q372">
        <f>Table39[[#This Row],[AGREEMENT VALUE OF UNIT]]-Table39[[#This Row],[AMOUNT RECEIVED TILL DATE]]</f>
        <v>0</v>
      </c>
    </row>
    <row r="373" spans="2:17" x14ac:dyDescent="0.25">
      <c r="B373" s="5">
        <f t="shared" si="5"/>
        <v>371</v>
      </c>
      <c r="C373" s="6" t="s">
        <v>317</v>
      </c>
      <c r="D373" s="6" t="s">
        <v>191</v>
      </c>
      <c r="E373" s="6" t="s">
        <v>318</v>
      </c>
      <c r="F373" s="6">
        <v>875</v>
      </c>
      <c r="G373" s="6" t="s">
        <v>26</v>
      </c>
      <c r="H373" s="6"/>
      <c r="I373" s="6"/>
      <c r="J373" s="6"/>
      <c r="K373" s="7">
        <v>40801</v>
      </c>
      <c r="L373" s="6">
        <v>1534600</v>
      </c>
      <c r="M373" s="6">
        <v>1534600</v>
      </c>
      <c r="N373" s="6" t="s">
        <v>46</v>
      </c>
      <c r="O373" s="8">
        <v>43103</v>
      </c>
      <c r="Q373">
        <f>Table39[[#This Row],[AGREEMENT VALUE OF UNIT]]-Table39[[#This Row],[AMOUNT RECEIVED TILL DATE]]</f>
        <v>0</v>
      </c>
    </row>
    <row r="374" spans="2:17" x14ac:dyDescent="0.25">
      <c r="B374" s="5">
        <f t="shared" si="5"/>
        <v>372</v>
      </c>
      <c r="C374" s="6" t="s">
        <v>319</v>
      </c>
      <c r="D374" s="6" t="s">
        <v>191</v>
      </c>
      <c r="E374" s="6" t="s">
        <v>320</v>
      </c>
      <c r="F374" s="6">
        <v>875</v>
      </c>
      <c r="G374" s="6" t="s">
        <v>26</v>
      </c>
      <c r="H374" s="6"/>
      <c r="I374" s="6"/>
      <c r="J374" s="6"/>
      <c r="K374" s="7">
        <v>40792</v>
      </c>
      <c r="L374" s="6">
        <v>1574600</v>
      </c>
      <c r="M374" s="6">
        <v>1574600</v>
      </c>
      <c r="N374" s="6" t="s">
        <v>30</v>
      </c>
      <c r="O374" s="8">
        <v>43103</v>
      </c>
      <c r="Q374">
        <f>Table39[[#This Row],[AGREEMENT VALUE OF UNIT]]-Table39[[#This Row],[AMOUNT RECEIVED TILL DATE]]</f>
        <v>0</v>
      </c>
    </row>
    <row r="375" spans="2:17" x14ac:dyDescent="0.25">
      <c r="B375" s="5">
        <f t="shared" si="5"/>
        <v>373</v>
      </c>
      <c r="C375" s="6" t="s">
        <v>329</v>
      </c>
      <c r="D375" s="6" t="s">
        <v>191</v>
      </c>
      <c r="E375" s="6" t="s">
        <v>330</v>
      </c>
      <c r="F375" s="6">
        <v>875</v>
      </c>
      <c r="G375" s="6" t="s">
        <v>26</v>
      </c>
      <c r="H375" s="6"/>
      <c r="I375" s="6"/>
      <c r="J375" s="6"/>
      <c r="K375" s="7">
        <v>42426</v>
      </c>
      <c r="L375" s="6">
        <v>1949750</v>
      </c>
      <c r="M375" s="6">
        <v>1831150</v>
      </c>
      <c r="N375" s="6" t="s">
        <v>27</v>
      </c>
      <c r="O375" s="8">
        <v>43103</v>
      </c>
      <c r="Q375">
        <f>Table39[[#This Row],[AGREEMENT VALUE OF UNIT]]-Table39[[#This Row],[AMOUNT RECEIVED TILL DATE]]</f>
        <v>118600</v>
      </c>
    </row>
    <row r="376" spans="2:17" x14ac:dyDescent="0.25">
      <c r="B376" s="5">
        <f t="shared" si="5"/>
        <v>374</v>
      </c>
      <c r="C376" s="6" t="s">
        <v>331</v>
      </c>
      <c r="D376" s="6" t="s">
        <v>191</v>
      </c>
      <c r="E376" s="6" t="s">
        <v>332</v>
      </c>
      <c r="F376" s="6">
        <v>875</v>
      </c>
      <c r="G376" s="6" t="s">
        <v>26</v>
      </c>
      <c r="H376" s="6"/>
      <c r="I376" s="6"/>
      <c r="J376" s="6"/>
      <c r="K376" s="7">
        <v>40745</v>
      </c>
      <c r="L376" s="6">
        <v>1494700</v>
      </c>
      <c r="M376" s="6">
        <v>1494700</v>
      </c>
      <c r="N376" s="6" t="s">
        <v>30</v>
      </c>
      <c r="O376" s="8">
        <v>43103</v>
      </c>
      <c r="Q376">
        <f>Table39[[#This Row],[AGREEMENT VALUE OF UNIT]]-Table39[[#This Row],[AMOUNT RECEIVED TILL DATE]]</f>
        <v>0</v>
      </c>
    </row>
    <row r="377" spans="2:17" x14ac:dyDescent="0.25">
      <c r="B377" s="5">
        <f t="shared" si="5"/>
        <v>375</v>
      </c>
      <c r="C377" s="6" t="s">
        <v>340</v>
      </c>
      <c r="D377" s="6" t="s">
        <v>191</v>
      </c>
      <c r="E377" s="6" t="s">
        <v>341</v>
      </c>
      <c r="F377" s="6">
        <v>875</v>
      </c>
      <c r="G377" s="6" t="s">
        <v>26</v>
      </c>
      <c r="H377" s="6"/>
      <c r="I377" s="6"/>
      <c r="J377" s="6"/>
      <c r="K377" s="7">
        <v>42269</v>
      </c>
      <c r="L377" s="6">
        <v>2749000</v>
      </c>
      <c r="M377" s="6">
        <v>2749000</v>
      </c>
      <c r="N377" s="6" t="s">
        <v>46</v>
      </c>
      <c r="O377" s="8">
        <v>43103</v>
      </c>
      <c r="Q377">
        <f>Table39[[#This Row],[AGREEMENT VALUE OF UNIT]]-Table39[[#This Row],[AMOUNT RECEIVED TILL DATE]]</f>
        <v>0</v>
      </c>
    </row>
    <row r="378" spans="2:17" x14ac:dyDescent="0.25">
      <c r="B378" s="5">
        <f t="shared" si="5"/>
        <v>376</v>
      </c>
      <c r="C378" s="6" t="s">
        <v>342</v>
      </c>
      <c r="D378" s="6" t="s">
        <v>191</v>
      </c>
      <c r="E378" s="6" t="s">
        <v>343</v>
      </c>
      <c r="F378" s="6">
        <v>875</v>
      </c>
      <c r="G378" s="6" t="s">
        <v>26</v>
      </c>
      <c r="H378" s="6"/>
      <c r="I378" s="6"/>
      <c r="J378" s="6"/>
      <c r="K378" s="7">
        <v>40744</v>
      </c>
      <c r="L378" s="6">
        <v>1584750</v>
      </c>
      <c r="M378" s="6">
        <v>1584750</v>
      </c>
      <c r="N378" s="6" t="s">
        <v>30</v>
      </c>
      <c r="O378" s="8">
        <v>43103</v>
      </c>
      <c r="Q378">
        <f>Table39[[#This Row],[AGREEMENT VALUE OF UNIT]]-Table39[[#This Row],[AMOUNT RECEIVED TILL DATE]]</f>
        <v>0</v>
      </c>
    </row>
    <row r="379" spans="2:17" x14ac:dyDescent="0.25">
      <c r="B379" s="5">
        <f t="shared" si="5"/>
        <v>377</v>
      </c>
      <c r="C379" s="6" t="s">
        <v>352</v>
      </c>
      <c r="D379" s="6" t="s">
        <v>191</v>
      </c>
      <c r="E379" s="6" t="s">
        <v>353</v>
      </c>
      <c r="F379" s="6">
        <v>875</v>
      </c>
      <c r="G379" s="6" t="s">
        <v>26</v>
      </c>
      <c r="H379" s="6"/>
      <c r="I379" s="6"/>
      <c r="J379" s="6"/>
      <c r="K379" s="7">
        <v>40816</v>
      </c>
      <c r="L379" s="6">
        <v>1360000</v>
      </c>
      <c r="M379" s="6">
        <v>1360000</v>
      </c>
      <c r="N379" s="6" t="s">
        <v>144</v>
      </c>
      <c r="O379" s="8">
        <v>43103</v>
      </c>
      <c r="Q379">
        <f>Table39[[#This Row],[AGREEMENT VALUE OF UNIT]]-Table39[[#This Row],[AMOUNT RECEIVED TILL DATE]]</f>
        <v>0</v>
      </c>
    </row>
    <row r="380" spans="2:17" x14ac:dyDescent="0.25">
      <c r="B380" s="5">
        <f t="shared" si="5"/>
        <v>378</v>
      </c>
      <c r="C380" s="6"/>
      <c r="D380" s="6" t="s">
        <v>191</v>
      </c>
      <c r="E380" s="6" t="s">
        <v>354</v>
      </c>
      <c r="F380" s="6">
        <v>875</v>
      </c>
      <c r="G380" s="6" t="s">
        <v>104</v>
      </c>
      <c r="H380" s="6"/>
      <c r="I380" s="6"/>
      <c r="J380" s="6"/>
      <c r="K380" s="7"/>
      <c r="L380" s="6"/>
      <c r="M380" s="6"/>
      <c r="N380" s="6"/>
      <c r="O380" s="8"/>
      <c r="Q380">
        <f>Table39[[#This Row],[AGREEMENT VALUE OF UNIT]]-Table39[[#This Row],[AMOUNT RECEIVED TILL DATE]]</f>
        <v>0</v>
      </c>
    </row>
    <row r="381" spans="2:17" x14ac:dyDescent="0.25">
      <c r="B381" s="5">
        <f t="shared" si="5"/>
        <v>379</v>
      </c>
      <c r="C381" s="6" t="s">
        <v>363</v>
      </c>
      <c r="D381" s="6" t="s">
        <v>191</v>
      </c>
      <c r="E381" s="6" t="s">
        <v>364</v>
      </c>
      <c r="F381" s="6">
        <v>875</v>
      </c>
      <c r="G381" s="6" t="s">
        <v>26</v>
      </c>
      <c r="H381" s="6"/>
      <c r="I381" s="6"/>
      <c r="J381" s="6"/>
      <c r="K381" s="7">
        <v>40801</v>
      </c>
      <c r="L381" s="6">
        <v>1499850</v>
      </c>
      <c r="M381" s="6">
        <v>1499850</v>
      </c>
      <c r="N381" s="6" t="s">
        <v>27</v>
      </c>
      <c r="O381" s="8">
        <v>43103</v>
      </c>
      <c r="Q381">
        <f>Table39[[#This Row],[AGREEMENT VALUE OF UNIT]]-Table39[[#This Row],[AMOUNT RECEIVED TILL DATE]]</f>
        <v>0</v>
      </c>
    </row>
    <row r="382" spans="2:17" x14ac:dyDescent="0.25">
      <c r="B382" s="5">
        <f t="shared" si="5"/>
        <v>380</v>
      </c>
      <c r="C382" s="6" t="s">
        <v>365</v>
      </c>
      <c r="D382" s="6" t="s">
        <v>191</v>
      </c>
      <c r="E382" s="6" t="s">
        <v>366</v>
      </c>
      <c r="F382" s="6">
        <v>875</v>
      </c>
      <c r="G382" s="6" t="s">
        <v>26</v>
      </c>
      <c r="H382" s="6"/>
      <c r="I382" s="6"/>
      <c r="J382" s="6"/>
      <c r="K382" s="7">
        <v>41186</v>
      </c>
      <c r="L382" s="6">
        <v>1139850</v>
      </c>
      <c r="M382" s="6">
        <v>1139850</v>
      </c>
      <c r="N382" s="6" t="s">
        <v>30</v>
      </c>
      <c r="O382" s="8">
        <v>43103</v>
      </c>
      <c r="Q382">
        <f>Table39[[#This Row],[AGREEMENT VALUE OF UNIT]]-Table39[[#This Row],[AMOUNT RECEIVED TILL DATE]]</f>
        <v>0</v>
      </c>
    </row>
    <row r="383" spans="2:17" x14ac:dyDescent="0.25">
      <c r="B383" s="5">
        <f t="shared" si="5"/>
        <v>381</v>
      </c>
      <c r="C383" s="6" t="s">
        <v>33</v>
      </c>
      <c r="D383" s="6" t="s">
        <v>24</v>
      </c>
      <c r="E383" s="6" t="s">
        <v>34</v>
      </c>
      <c r="F383" s="6">
        <v>990</v>
      </c>
      <c r="G383" s="6" t="s">
        <v>26</v>
      </c>
      <c r="H383" s="6"/>
      <c r="I383" s="6"/>
      <c r="J383" s="6"/>
      <c r="K383" s="7">
        <v>40461</v>
      </c>
      <c r="L383" s="6">
        <v>1945750</v>
      </c>
      <c r="M383" s="6">
        <v>1945750</v>
      </c>
      <c r="N383" s="6" t="s">
        <v>27</v>
      </c>
      <c r="O383" s="8">
        <v>43103</v>
      </c>
      <c r="Q383">
        <f>Table39[[#This Row],[AGREEMENT VALUE OF UNIT]]-Table39[[#This Row],[AMOUNT RECEIVED TILL DATE]]</f>
        <v>0</v>
      </c>
    </row>
    <row r="384" spans="2:17" x14ac:dyDescent="0.25">
      <c r="B384" s="5">
        <f t="shared" si="5"/>
        <v>382</v>
      </c>
      <c r="C384" s="6" t="s">
        <v>42</v>
      </c>
      <c r="D384" s="6" t="s">
        <v>24</v>
      </c>
      <c r="E384" s="6" t="s">
        <v>43</v>
      </c>
      <c r="F384" s="6">
        <v>990</v>
      </c>
      <c r="G384" s="6" t="s">
        <v>26</v>
      </c>
      <c r="H384" s="6"/>
      <c r="I384" s="6"/>
      <c r="J384" s="6"/>
      <c r="K384" s="7">
        <v>40714</v>
      </c>
      <c r="L384" s="6">
        <v>2104250</v>
      </c>
      <c r="M384" s="6">
        <v>2104250</v>
      </c>
      <c r="N384" s="6" t="s">
        <v>27</v>
      </c>
      <c r="O384" s="8">
        <v>43103</v>
      </c>
      <c r="Q384">
        <f>Table39[[#This Row],[AGREEMENT VALUE OF UNIT]]-Table39[[#This Row],[AMOUNT RECEIVED TILL DATE]]</f>
        <v>0</v>
      </c>
    </row>
    <row r="385" spans="2:17" x14ac:dyDescent="0.25">
      <c r="B385" s="5">
        <f t="shared" si="5"/>
        <v>383</v>
      </c>
      <c r="C385" s="6" t="s">
        <v>51</v>
      </c>
      <c r="D385" s="6" t="s">
        <v>24</v>
      </c>
      <c r="E385" s="6" t="s">
        <v>52</v>
      </c>
      <c r="F385" s="6">
        <v>990</v>
      </c>
      <c r="G385" s="6" t="s">
        <v>26</v>
      </c>
      <c r="H385" s="6"/>
      <c r="I385" s="6"/>
      <c r="J385" s="6"/>
      <c r="K385" s="7">
        <v>41307</v>
      </c>
      <c r="L385" s="6">
        <v>2933870</v>
      </c>
      <c r="M385" s="6">
        <v>2933870</v>
      </c>
      <c r="N385" s="6" t="s">
        <v>27</v>
      </c>
      <c r="O385" s="8">
        <v>43103</v>
      </c>
      <c r="Q385">
        <f>Table39[[#This Row],[AGREEMENT VALUE OF UNIT]]-Table39[[#This Row],[AMOUNT RECEIVED TILL DATE]]</f>
        <v>0</v>
      </c>
    </row>
    <row r="386" spans="2:17" x14ac:dyDescent="0.25">
      <c r="B386" s="5">
        <f t="shared" si="5"/>
        <v>384</v>
      </c>
      <c r="C386" s="6" t="s">
        <v>60</v>
      </c>
      <c r="D386" s="6" t="s">
        <v>24</v>
      </c>
      <c r="E386" s="6" t="s">
        <v>61</v>
      </c>
      <c r="F386" s="6">
        <v>990</v>
      </c>
      <c r="G386" s="6" t="s">
        <v>26</v>
      </c>
      <c r="H386" s="6"/>
      <c r="I386" s="6"/>
      <c r="J386" s="6"/>
      <c r="K386" s="7">
        <v>40674</v>
      </c>
      <c r="L386" s="6">
        <v>2000000</v>
      </c>
      <c r="M386" s="6">
        <v>2000000</v>
      </c>
      <c r="N386" s="6" t="s">
        <v>27</v>
      </c>
      <c r="O386" s="8">
        <v>43103</v>
      </c>
      <c r="Q386">
        <f>Table39[[#This Row],[AGREEMENT VALUE OF UNIT]]-Table39[[#This Row],[AMOUNT RECEIVED TILL DATE]]</f>
        <v>0</v>
      </c>
    </row>
    <row r="387" spans="2:17" x14ac:dyDescent="0.25">
      <c r="B387" s="5">
        <f t="shared" si="5"/>
        <v>385</v>
      </c>
      <c r="C387" s="6" t="s">
        <v>68</v>
      </c>
      <c r="D387" s="6" t="s">
        <v>24</v>
      </c>
      <c r="E387" s="6" t="s">
        <v>69</v>
      </c>
      <c r="F387" s="6">
        <v>990</v>
      </c>
      <c r="G387" s="6" t="s">
        <v>26</v>
      </c>
      <c r="H387" s="6"/>
      <c r="I387" s="6"/>
      <c r="J387" s="6"/>
      <c r="K387" s="7">
        <v>41143</v>
      </c>
      <c r="L387" s="6">
        <v>2928400</v>
      </c>
      <c r="M387" s="6">
        <v>2928400</v>
      </c>
      <c r="N387" s="6" t="s">
        <v>27</v>
      </c>
      <c r="O387" s="8">
        <v>43103</v>
      </c>
      <c r="Q387">
        <f>Table39[[#This Row],[AGREEMENT VALUE OF UNIT]]-Table39[[#This Row],[AMOUNT RECEIVED TILL DATE]]</f>
        <v>0</v>
      </c>
    </row>
    <row r="388" spans="2:17" x14ac:dyDescent="0.25">
      <c r="B388" s="5">
        <f t="shared" ref="B388:B442" si="6">B387+1</f>
        <v>386</v>
      </c>
      <c r="C388" s="6" t="s">
        <v>70</v>
      </c>
      <c r="D388" s="6" t="s">
        <v>24</v>
      </c>
      <c r="E388" s="6" t="s">
        <v>71</v>
      </c>
      <c r="F388" s="6">
        <v>990</v>
      </c>
      <c r="G388" s="6" t="s">
        <v>26</v>
      </c>
      <c r="H388" s="6"/>
      <c r="I388" s="6"/>
      <c r="J388" s="6"/>
      <c r="K388" s="7">
        <v>40583</v>
      </c>
      <c r="L388" s="6">
        <v>2049850</v>
      </c>
      <c r="M388" s="6">
        <v>2049850</v>
      </c>
      <c r="N388" s="6" t="s">
        <v>46</v>
      </c>
      <c r="O388" s="8">
        <v>43103</v>
      </c>
      <c r="Q388">
        <f>Table39[[#This Row],[AGREEMENT VALUE OF UNIT]]-Table39[[#This Row],[AMOUNT RECEIVED TILL DATE]]</f>
        <v>0</v>
      </c>
    </row>
    <row r="389" spans="2:17" x14ac:dyDescent="0.25">
      <c r="B389" s="5">
        <f t="shared" si="6"/>
        <v>387</v>
      </c>
      <c r="C389" s="6" t="s">
        <v>72</v>
      </c>
      <c r="D389" s="6" t="s">
        <v>24</v>
      </c>
      <c r="E389" s="6" t="s">
        <v>73</v>
      </c>
      <c r="F389" s="6">
        <v>990</v>
      </c>
      <c r="G389" s="6" t="s">
        <v>26</v>
      </c>
      <c r="H389" s="6"/>
      <c r="I389" s="6"/>
      <c r="J389" s="6"/>
      <c r="K389" s="7">
        <v>40520</v>
      </c>
      <c r="L389" s="6">
        <v>2100000</v>
      </c>
      <c r="M389" s="6">
        <v>2100000</v>
      </c>
      <c r="N389" s="6" t="s">
        <v>27</v>
      </c>
      <c r="O389" s="8">
        <v>43103</v>
      </c>
      <c r="Q389">
        <f>Table39[[#This Row],[AGREEMENT VALUE OF UNIT]]-Table39[[#This Row],[AMOUNT RECEIVED TILL DATE]]</f>
        <v>0</v>
      </c>
    </row>
    <row r="390" spans="2:17" x14ac:dyDescent="0.25">
      <c r="B390" s="5">
        <f t="shared" si="6"/>
        <v>388</v>
      </c>
      <c r="C390" s="6" t="s">
        <v>74</v>
      </c>
      <c r="D390" s="6" t="s">
        <v>24</v>
      </c>
      <c r="E390" s="6" t="s">
        <v>75</v>
      </c>
      <c r="F390" s="6">
        <v>990</v>
      </c>
      <c r="G390" s="6" t="s">
        <v>26</v>
      </c>
      <c r="H390" s="6"/>
      <c r="I390" s="6"/>
      <c r="J390" s="6"/>
      <c r="K390" s="7">
        <v>41238</v>
      </c>
      <c r="L390" s="6">
        <v>2739050</v>
      </c>
      <c r="M390" s="6">
        <v>2739050</v>
      </c>
      <c r="N390" s="6" t="s">
        <v>46</v>
      </c>
      <c r="O390" s="8">
        <v>43103</v>
      </c>
      <c r="Q390">
        <f>Table39[[#This Row],[AGREEMENT VALUE OF UNIT]]-Table39[[#This Row],[AMOUNT RECEIVED TILL DATE]]</f>
        <v>0</v>
      </c>
    </row>
    <row r="391" spans="2:17" x14ac:dyDescent="0.25">
      <c r="B391" s="5">
        <f t="shared" si="6"/>
        <v>389</v>
      </c>
      <c r="C391" s="6" t="s">
        <v>76</v>
      </c>
      <c r="D391" s="6" t="s">
        <v>24</v>
      </c>
      <c r="E391" s="6" t="s">
        <v>77</v>
      </c>
      <c r="F391" s="6">
        <v>990</v>
      </c>
      <c r="G391" s="6" t="s">
        <v>26</v>
      </c>
      <c r="H391" s="6"/>
      <c r="I391" s="6"/>
      <c r="J391" s="6"/>
      <c r="K391" s="7">
        <v>40484</v>
      </c>
      <c r="L391" s="6">
        <v>1999000</v>
      </c>
      <c r="M391" s="6">
        <v>1999000</v>
      </c>
      <c r="N391" s="6" t="s">
        <v>30</v>
      </c>
      <c r="O391" s="8">
        <v>43103</v>
      </c>
      <c r="Q391">
        <f>Table39[[#This Row],[AGREEMENT VALUE OF UNIT]]-Table39[[#This Row],[AMOUNT RECEIVED TILL DATE]]</f>
        <v>0</v>
      </c>
    </row>
    <row r="392" spans="2:17" x14ac:dyDescent="0.25">
      <c r="B392" s="5">
        <f t="shared" si="6"/>
        <v>390</v>
      </c>
      <c r="C392" s="6" t="s">
        <v>78</v>
      </c>
      <c r="D392" s="6" t="s">
        <v>24</v>
      </c>
      <c r="E392" s="6" t="s">
        <v>79</v>
      </c>
      <c r="F392" s="6">
        <v>990</v>
      </c>
      <c r="G392" s="6" t="s">
        <v>26</v>
      </c>
      <c r="H392" s="6"/>
      <c r="I392" s="6"/>
      <c r="J392" s="6"/>
      <c r="K392" s="7">
        <v>40886</v>
      </c>
      <c r="L392" s="6">
        <v>2001750</v>
      </c>
      <c r="M392" s="6">
        <v>2001750</v>
      </c>
      <c r="N392" s="6" t="s">
        <v>30</v>
      </c>
      <c r="O392" s="8">
        <v>43103</v>
      </c>
      <c r="Q392">
        <f>Table39[[#This Row],[AGREEMENT VALUE OF UNIT]]-Table39[[#This Row],[AMOUNT RECEIVED TILL DATE]]</f>
        <v>0</v>
      </c>
    </row>
    <row r="393" spans="2:17" x14ac:dyDescent="0.25">
      <c r="B393" s="5">
        <f t="shared" si="6"/>
        <v>391</v>
      </c>
      <c r="C393" s="6" t="s">
        <v>80</v>
      </c>
      <c r="D393" s="6" t="s">
        <v>24</v>
      </c>
      <c r="E393" s="6" t="s">
        <v>81</v>
      </c>
      <c r="F393" s="6">
        <v>990</v>
      </c>
      <c r="G393" s="6" t="s">
        <v>26</v>
      </c>
      <c r="H393" s="6"/>
      <c r="I393" s="6"/>
      <c r="J393" s="6"/>
      <c r="K393" s="7">
        <v>41012</v>
      </c>
      <c r="L393" s="6">
        <v>2460000</v>
      </c>
      <c r="M393" s="6">
        <v>2460000</v>
      </c>
      <c r="N393" s="6" t="s">
        <v>30</v>
      </c>
      <c r="O393" s="8">
        <v>43103</v>
      </c>
      <c r="Q393">
        <f>Table39[[#This Row],[AGREEMENT VALUE OF UNIT]]-Table39[[#This Row],[AMOUNT RECEIVED TILL DATE]]</f>
        <v>0</v>
      </c>
    </row>
    <row r="394" spans="2:17" x14ac:dyDescent="0.25">
      <c r="B394" s="5">
        <f t="shared" si="6"/>
        <v>392</v>
      </c>
      <c r="C394" s="6" t="s">
        <v>82</v>
      </c>
      <c r="D394" s="6" t="s">
        <v>24</v>
      </c>
      <c r="E394" s="6" t="s">
        <v>83</v>
      </c>
      <c r="F394" s="6">
        <v>990</v>
      </c>
      <c r="G394" s="6" t="s">
        <v>26</v>
      </c>
      <c r="H394" s="6"/>
      <c r="I394" s="6"/>
      <c r="J394" s="6"/>
      <c r="K394" s="7">
        <v>40623</v>
      </c>
      <c r="L394" s="6">
        <v>2129000</v>
      </c>
      <c r="M394" s="6">
        <v>2129000</v>
      </c>
      <c r="N394" s="6" t="s">
        <v>39</v>
      </c>
      <c r="O394" s="8">
        <v>43103</v>
      </c>
      <c r="Q394">
        <f>Table39[[#This Row],[AGREEMENT VALUE OF UNIT]]-Table39[[#This Row],[AMOUNT RECEIVED TILL DATE]]</f>
        <v>0</v>
      </c>
    </row>
    <row r="395" spans="2:17" x14ac:dyDescent="0.25">
      <c r="B395" s="5">
        <f t="shared" si="6"/>
        <v>393</v>
      </c>
      <c r="C395" s="6" t="s">
        <v>23</v>
      </c>
      <c r="D395" s="6" t="s">
        <v>24</v>
      </c>
      <c r="E395" s="6" t="s">
        <v>84</v>
      </c>
      <c r="F395" s="6">
        <v>990</v>
      </c>
      <c r="G395" s="6" t="s">
        <v>26</v>
      </c>
      <c r="H395" s="6"/>
      <c r="I395" s="6"/>
      <c r="J395" s="6"/>
      <c r="K395" s="7">
        <v>40904</v>
      </c>
      <c r="L395" s="6">
        <v>2330750</v>
      </c>
      <c r="M395" s="6">
        <v>2330750</v>
      </c>
      <c r="N395" s="6" t="s">
        <v>27</v>
      </c>
      <c r="O395" s="8">
        <v>43103</v>
      </c>
      <c r="Q395">
        <f>Table39[[#This Row],[AGREEMENT VALUE OF UNIT]]-Table39[[#This Row],[AMOUNT RECEIVED TILL DATE]]</f>
        <v>0</v>
      </c>
    </row>
    <row r="396" spans="2:17" x14ac:dyDescent="0.25">
      <c r="B396" s="5">
        <f t="shared" si="6"/>
        <v>394</v>
      </c>
      <c r="C396" s="6" t="s">
        <v>85</v>
      </c>
      <c r="D396" s="6" t="s">
        <v>24</v>
      </c>
      <c r="E396" s="6" t="s">
        <v>86</v>
      </c>
      <c r="F396" s="6">
        <v>990</v>
      </c>
      <c r="G396" s="6" t="s">
        <v>26</v>
      </c>
      <c r="H396" s="6"/>
      <c r="I396" s="6"/>
      <c r="J396" s="6"/>
      <c r="K396" s="7">
        <v>40821</v>
      </c>
      <c r="L396" s="6">
        <v>2228000</v>
      </c>
      <c r="M396" s="6">
        <v>2228000</v>
      </c>
      <c r="N396" s="6" t="s">
        <v>27</v>
      </c>
      <c r="O396" s="8">
        <v>43103</v>
      </c>
      <c r="Q396">
        <f>Table39[[#This Row],[AGREEMENT VALUE OF UNIT]]-Table39[[#This Row],[AMOUNT RECEIVED TILL DATE]]</f>
        <v>0</v>
      </c>
    </row>
    <row r="397" spans="2:17" x14ac:dyDescent="0.25">
      <c r="B397" s="5">
        <f t="shared" si="6"/>
        <v>395</v>
      </c>
      <c r="C397" s="6" t="s">
        <v>87</v>
      </c>
      <c r="D397" s="6" t="s">
        <v>24</v>
      </c>
      <c r="E397" s="6" t="s">
        <v>88</v>
      </c>
      <c r="F397" s="6">
        <v>990</v>
      </c>
      <c r="G397" s="6" t="s">
        <v>26</v>
      </c>
      <c r="H397" s="6"/>
      <c r="I397" s="6"/>
      <c r="J397" s="6"/>
      <c r="K397" s="7">
        <v>40450</v>
      </c>
      <c r="L397" s="6">
        <v>1808000</v>
      </c>
      <c r="M397" s="6">
        <v>1808000</v>
      </c>
      <c r="N397" s="6" t="s">
        <v>30</v>
      </c>
      <c r="O397" s="8">
        <v>43103</v>
      </c>
      <c r="Q397">
        <f>Table39[[#This Row],[AGREEMENT VALUE OF UNIT]]-Table39[[#This Row],[AMOUNT RECEIVED TILL DATE]]</f>
        <v>0</v>
      </c>
    </row>
    <row r="398" spans="2:17" x14ac:dyDescent="0.25">
      <c r="B398" s="5">
        <f t="shared" si="6"/>
        <v>396</v>
      </c>
      <c r="C398" s="6" t="s">
        <v>89</v>
      </c>
      <c r="D398" s="6" t="s">
        <v>24</v>
      </c>
      <c r="E398" s="6" t="s">
        <v>90</v>
      </c>
      <c r="F398" s="6">
        <v>990</v>
      </c>
      <c r="G398" s="6" t="s">
        <v>26</v>
      </c>
      <c r="H398" s="6"/>
      <c r="I398" s="6"/>
      <c r="J398" s="6"/>
      <c r="K398" s="7">
        <v>40831</v>
      </c>
      <c r="L398" s="6">
        <v>2302250</v>
      </c>
      <c r="M398" s="6">
        <v>2302250</v>
      </c>
      <c r="N398" s="6" t="s">
        <v>27</v>
      </c>
      <c r="O398" s="8">
        <v>43103</v>
      </c>
      <c r="Q398">
        <f>Table39[[#This Row],[AGREEMENT VALUE OF UNIT]]-Table39[[#This Row],[AMOUNT RECEIVED TILL DATE]]</f>
        <v>0</v>
      </c>
    </row>
    <row r="399" spans="2:17" x14ac:dyDescent="0.25">
      <c r="B399" s="5">
        <f t="shared" si="6"/>
        <v>397</v>
      </c>
      <c r="C399" s="6" t="s">
        <v>91</v>
      </c>
      <c r="D399" s="6" t="s">
        <v>24</v>
      </c>
      <c r="E399" s="6" t="s">
        <v>92</v>
      </c>
      <c r="F399" s="6">
        <v>990</v>
      </c>
      <c r="G399" s="6" t="s">
        <v>26</v>
      </c>
      <c r="H399" s="6"/>
      <c r="I399" s="6"/>
      <c r="J399" s="6"/>
      <c r="K399" s="7">
        <v>40782</v>
      </c>
      <c r="L399" s="6">
        <v>2372300</v>
      </c>
      <c r="M399" s="6">
        <v>2372300</v>
      </c>
      <c r="N399" s="6" t="s">
        <v>46</v>
      </c>
      <c r="O399" s="8">
        <v>43103</v>
      </c>
      <c r="Q399">
        <f>Table39[[#This Row],[AGREEMENT VALUE OF UNIT]]-Table39[[#This Row],[AMOUNT RECEIVED TILL DATE]]</f>
        <v>0</v>
      </c>
    </row>
    <row r="400" spans="2:17" x14ac:dyDescent="0.25">
      <c r="B400" s="5">
        <f t="shared" si="6"/>
        <v>398</v>
      </c>
      <c r="C400" s="6" t="s">
        <v>93</v>
      </c>
      <c r="D400" s="6" t="s">
        <v>24</v>
      </c>
      <c r="E400" s="6" t="s">
        <v>94</v>
      </c>
      <c r="F400" s="6">
        <v>990</v>
      </c>
      <c r="G400" s="6" t="s">
        <v>26</v>
      </c>
      <c r="H400" s="6"/>
      <c r="I400" s="6"/>
      <c r="J400" s="6"/>
      <c r="K400" s="7">
        <v>40539</v>
      </c>
      <c r="L400" s="6">
        <v>1758500</v>
      </c>
      <c r="M400" s="6">
        <v>1758500</v>
      </c>
      <c r="N400" s="6" t="s">
        <v>27</v>
      </c>
      <c r="O400" s="8">
        <v>43103</v>
      </c>
      <c r="Q400">
        <f>Table39[[#This Row],[AGREEMENT VALUE OF UNIT]]-Table39[[#This Row],[AMOUNT RECEIVED TILL DATE]]</f>
        <v>0</v>
      </c>
    </row>
    <row r="401" spans="2:17" x14ac:dyDescent="0.25">
      <c r="B401" s="5">
        <f t="shared" si="6"/>
        <v>399</v>
      </c>
      <c r="C401" s="6" t="s">
        <v>95</v>
      </c>
      <c r="D401" s="6" t="s">
        <v>24</v>
      </c>
      <c r="E401" s="6" t="s">
        <v>96</v>
      </c>
      <c r="F401" s="6">
        <v>990</v>
      </c>
      <c r="G401" s="6" t="s">
        <v>26</v>
      </c>
      <c r="H401" s="6"/>
      <c r="I401" s="6"/>
      <c r="J401" s="6"/>
      <c r="K401" s="7">
        <v>40548</v>
      </c>
      <c r="L401" s="6">
        <v>1799500</v>
      </c>
      <c r="M401" s="6">
        <v>1799500</v>
      </c>
      <c r="N401" s="6" t="s">
        <v>27</v>
      </c>
      <c r="O401" s="8">
        <v>43103</v>
      </c>
      <c r="Q401">
        <f>Table39[[#This Row],[AGREEMENT VALUE OF UNIT]]-Table39[[#This Row],[AMOUNT RECEIVED TILL DATE]]</f>
        <v>0</v>
      </c>
    </row>
    <row r="402" spans="2:17" x14ac:dyDescent="0.25">
      <c r="B402" s="5">
        <f t="shared" si="6"/>
        <v>400</v>
      </c>
      <c r="C402" s="6" t="s">
        <v>97</v>
      </c>
      <c r="D402" s="6" t="s">
        <v>24</v>
      </c>
      <c r="E402" s="6" t="s">
        <v>98</v>
      </c>
      <c r="F402" s="6">
        <v>990</v>
      </c>
      <c r="G402" s="6" t="s">
        <v>26</v>
      </c>
      <c r="H402" s="6"/>
      <c r="I402" s="6"/>
      <c r="J402" s="6"/>
      <c r="K402" s="7">
        <v>40604</v>
      </c>
      <c r="L402" s="6">
        <v>2105000</v>
      </c>
      <c r="M402" s="6">
        <v>2105000</v>
      </c>
      <c r="N402" s="6" t="s">
        <v>27</v>
      </c>
      <c r="O402" s="8">
        <v>43103</v>
      </c>
      <c r="Q402">
        <f>Table39[[#This Row],[AGREEMENT VALUE OF UNIT]]-Table39[[#This Row],[AMOUNT RECEIVED TILL DATE]]</f>
        <v>0</v>
      </c>
    </row>
    <row r="403" spans="2:17" x14ac:dyDescent="0.25">
      <c r="B403" s="5">
        <f t="shared" si="6"/>
        <v>401</v>
      </c>
      <c r="C403" s="6" t="s">
        <v>99</v>
      </c>
      <c r="D403" s="6" t="s">
        <v>24</v>
      </c>
      <c r="E403" s="6" t="s">
        <v>100</v>
      </c>
      <c r="F403" s="6">
        <v>990</v>
      </c>
      <c r="G403" s="6" t="s">
        <v>26</v>
      </c>
      <c r="H403" s="6"/>
      <c r="I403" s="6"/>
      <c r="J403" s="6"/>
      <c r="K403" s="7">
        <v>40468</v>
      </c>
      <c r="L403" s="6">
        <v>1730000</v>
      </c>
      <c r="M403" s="6">
        <v>1730000</v>
      </c>
      <c r="N403" s="6" t="s">
        <v>27</v>
      </c>
      <c r="O403" s="8">
        <v>43103</v>
      </c>
      <c r="Q403">
        <f>Table39[[#This Row],[AGREEMENT VALUE OF UNIT]]-Table39[[#This Row],[AMOUNT RECEIVED TILL DATE]]</f>
        <v>0</v>
      </c>
    </row>
    <row r="404" spans="2:17" x14ac:dyDescent="0.25">
      <c r="B404" s="5">
        <f t="shared" si="6"/>
        <v>402</v>
      </c>
      <c r="C404" s="6" t="s">
        <v>101</v>
      </c>
      <c r="D404" s="6" t="s">
        <v>24</v>
      </c>
      <c r="E404" s="6" t="s">
        <v>102</v>
      </c>
      <c r="F404" s="6">
        <v>990</v>
      </c>
      <c r="G404" s="6" t="s">
        <v>26</v>
      </c>
      <c r="H404" s="6"/>
      <c r="I404" s="6"/>
      <c r="J404" s="6"/>
      <c r="K404" s="7">
        <v>41386</v>
      </c>
      <c r="L404" s="6">
        <v>3260000</v>
      </c>
      <c r="M404" s="6">
        <v>3260000</v>
      </c>
      <c r="N404" s="6" t="s">
        <v>46</v>
      </c>
      <c r="O404" s="8">
        <v>43103</v>
      </c>
      <c r="Q404">
        <f>Table39[[#This Row],[AGREEMENT VALUE OF UNIT]]-Table39[[#This Row],[AMOUNT RECEIVED TILL DATE]]</f>
        <v>0</v>
      </c>
    </row>
    <row r="405" spans="2:17" x14ac:dyDescent="0.25">
      <c r="B405" s="5">
        <f t="shared" si="6"/>
        <v>403</v>
      </c>
      <c r="C405" s="6"/>
      <c r="D405" s="6" t="s">
        <v>24</v>
      </c>
      <c r="E405" s="6" t="s">
        <v>103</v>
      </c>
      <c r="F405" s="6">
        <v>990</v>
      </c>
      <c r="G405" s="6" t="s">
        <v>104</v>
      </c>
      <c r="H405" s="6"/>
      <c r="I405" s="6"/>
      <c r="J405" s="6"/>
      <c r="K405" s="7"/>
      <c r="L405" s="6"/>
      <c r="M405" s="6"/>
      <c r="N405" s="6"/>
      <c r="O405" s="8"/>
      <c r="Q405">
        <f>Table39[[#This Row],[AGREEMENT VALUE OF UNIT]]-Table39[[#This Row],[AMOUNT RECEIVED TILL DATE]]</f>
        <v>0</v>
      </c>
    </row>
    <row r="406" spans="2:17" x14ac:dyDescent="0.25">
      <c r="B406" s="5">
        <f t="shared" si="6"/>
        <v>404</v>
      </c>
      <c r="C406" s="6" t="s">
        <v>105</v>
      </c>
      <c r="D406" s="6" t="s">
        <v>24</v>
      </c>
      <c r="E406" s="6" t="s">
        <v>106</v>
      </c>
      <c r="F406" s="6">
        <v>990</v>
      </c>
      <c r="G406" s="6" t="s">
        <v>26</v>
      </c>
      <c r="H406" s="6"/>
      <c r="I406" s="6"/>
      <c r="J406" s="6"/>
      <c r="K406" s="7">
        <v>42256</v>
      </c>
      <c r="L406" s="6">
        <v>3736900</v>
      </c>
      <c r="M406" s="6">
        <v>3736900</v>
      </c>
      <c r="N406" s="6" t="s">
        <v>46</v>
      </c>
      <c r="O406" s="8">
        <v>43103</v>
      </c>
      <c r="Q406">
        <f>Table39[[#This Row],[AGREEMENT VALUE OF UNIT]]-Table39[[#This Row],[AMOUNT RECEIVED TILL DATE]]</f>
        <v>0</v>
      </c>
    </row>
    <row r="407" spans="2:17" x14ac:dyDescent="0.25">
      <c r="B407" s="5">
        <f t="shared" si="6"/>
        <v>405</v>
      </c>
      <c r="C407" s="6" t="s">
        <v>107</v>
      </c>
      <c r="D407" s="6" t="s">
        <v>24</v>
      </c>
      <c r="E407" s="6" t="s">
        <v>108</v>
      </c>
      <c r="F407" s="6">
        <v>990</v>
      </c>
      <c r="G407" s="6" t="s">
        <v>26</v>
      </c>
      <c r="H407" s="6"/>
      <c r="I407" s="6"/>
      <c r="J407" s="6"/>
      <c r="K407" s="7">
        <v>40655</v>
      </c>
      <c r="L407" s="6">
        <v>1872900</v>
      </c>
      <c r="M407" s="6">
        <v>1872900</v>
      </c>
      <c r="N407" s="6" t="s">
        <v>30</v>
      </c>
      <c r="O407" s="8">
        <v>43103</v>
      </c>
      <c r="Q407">
        <f>Table39[[#This Row],[AGREEMENT VALUE OF UNIT]]-Table39[[#This Row],[AMOUNT RECEIVED TILL DATE]]</f>
        <v>0</v>
      </c>
    </row>
    <row r="408" spans="2:17" x14ac:dyDescent="0.25">
      <c r="B408" s="5">
        <f t="shared" si="6"/>
        <v>406</v>
      </c>
      <c r="C408" s="6" t="s">
        <v>109</v>
      </c>
      <c r="D408" s="6" t="s">
        <v>24</v>
      </c>
      <c r="E408" s="6" t="s">
        <v>110</v>
      </c>
      <c r="F408" s="6">
        <v>990</v>
      </c>
      <c r="G408" s="6" t="s">
        <v>26</v>
      </c>
      <c r="H408" s="6"/>
      <c r="I408" s="6"/>
      <c r="J408" s="6"/>
      <c r="K408" s="7">
        <v>40546</v>
      </c>
      <c r="L408" s="6">
        <v>2011000</v>
      </c>
      <c r="M408" s="6">
        <v>2011000</v>
      </c>
      <c r="N408" s="6" t="s">
        <v>27</v>
      </c>
      <c r="O408" s="8">
        <v>43103</v>
      </c>
      <c r="Q408">
        <f>Table39[[#This Row],[AGREEMENT VALUE OF UNIT]]-Table39[[#This Row],[AMOUNT RECEIVED TILL DATE]]</f>
        <v>0</v>
      </c>
    </row>
    <row r="409" spans="2:17" x14ac:dyDescent="0.25">
      <c r="B409" s="5">
        <f t="shared" si="6"/>
        <v>407</v>
      </c>
      <c r="C409" s="6" t="s">
        <v>111</v>
      </c>
      <c r="D409" s="6" t="s">
        <v>24</v>
      </c>
      <c r="E409" s="6" t="s">
        <v>112</v>
      </c>
      <c r="F409" s="6">
        <v>990</v>
      </c>
      <c r="G409" s="6" t="s">
        <v>113</v>
      </c>
      <c r="H409" s="6"/>
      <c r="I409" s="6"/>
      <c r="J409" s="6"/>
      <c r="K409" s="7">
        <v>43066</v>
      </c>
      <c r="L409" s="6">
        <v>3510200</v>
      </c>
      <c r="M409" s="6">
        <v>3491020</v>
      </c>
      <c r="N409" s="6" t="s">
        <v>46</v>
      </c>
      <c r="O409" s="8">
        <v>43103</v>
      </c>
      <c r="Q409">
        <f>Table39[[#This Row],[AGREEMENT VALUE OF UNIT]]-Table39[[#This Row],[AMOUNT RECEIVED TILL DATE]]</f>
        <v>19180</v>
      </c>
    </row>
    <row r="410" spans="2:17" x14ac:dyDescent="0.25">
      <c r="B410" s="5">
        <f t="shared" si="6"/>
        <v>408</v>
      </c>
      <c r="C410" s="6" t="s">
        <v>114</v>
      </c>
      <c r="D410" s="6" t="s">
        <v>24</v>
      </c>
      <c r="E410" s="6" t="s">
        <v>115</v>
      </c>
      <c r="F410" s="6">
        <v>990</v>
      </c>
      <c r="G410" s="6" t="s">
        <v>26</v>
      </c>
      <c r="H410" s="6"/>
      <c r="I410" s="6"/>
      <c r="J410" s="6"/>
      <c r="K410" s="7">
        <v>40628</v>
      </c>
      <c r="L410" s="6">
        <v>2441250</v>
      </c>
      <c r="M410" s="6">
        <v>2441250</v>
      </c>
      <c r="N410" s="6" t="s">
        <v>27</v>
      </c>
      <c r="O410" s="8">
        <v>43103</v>
      </c>
      <c r="Q410">
        <f>Table39[[#This Row],[AGREEMENT VALUE OF UNIT]]-Table39[[#This Row],[AMOUNT RECEIVED TILL DATE]]</f>
        <v>0</v>
      </c>
    </row>
    <row r="411" spans="2:17" x14ac:dyDescent="0.25">
      <c r="B411" s="5">
        <f t="shared" si="6"/>
        <v>409</v>
      </c>
      <c r="C411" s="6" t="s">
        <v>116</v>
      </c>
      <c r="D411" s="6" t="s">
        <v>24</v>
      </c>
      <c r="E411" s="6" t="s">
        <v>117</v>
      </c>
      <c r="F411" s="6">
        <v>990</v>
      </c>
      <c r="G411" s="6" t="s">
        <v>26</v>
      </c>
      <c r="H411" s="6"/>
      <c r="I411" s="6"/>
      <c r="J411" s="6"/>
      <c r="K411" s="7">
        <v>40530</v>
      </c>
      <c r="L411" s="6">
        <v>2003950</v>
      </c>
      <c r="M411" s="6">
        <v>2003950</v>
      </c>
      <c r="N411" s="6" t="s">
        <v>27</v>
      </c>
      <c r="O411" s="8">
        <v>43103</v>
      </c>
      <c r="Q411">
        <f>Table39[[#This Row],[AGREEMENT VALUE OF UNIT]]-Table39[[#This Row],[AMOUNT RECEIVED TILL DATE]]</f>
        <v>0</v>
      </c>
    </row>
    <row r="412" spans="2:17" x14ac:dyDescent="0.25">
      <c r="B412" s="5">
        <f t="shared" si="6"/>
        <v>410</v>
      </c>
      <c r="C412" s="6" t="s">
        <v>118</v>
      </c>
      <c r="D412" s="6" t="s">
        <v>24</v>
      </c>
      <c r="E412" s="6" t="s">
        <v>119</v>
      </c>
      <c r="F412" s="6">
        <v>990</v>
      </c>
      <c r="G412" s="6" t="s">
        <v>26</v>
      </c>
      <c r="H412" s="6"/>
      <c r="I412" s="6"/>
      <c r="J412" s="6"/>
      <c r="K412" s="7">
        <v>40709</v>
      </c>
      <c r="L412" s="6">
        <v>2248550</v>
      </c>
      <c r="M412" s="6">
        <v>2248550</v>
      </c>
      <c r="N412" s="6" t="s">
        <v>27</v>
      </c>
      <c r="O412" s="8">
        <v>43103</v>
      </c>
      <c r="Q412">
        <f>Table39[[#This Row],[AGREEMENT VALUE OF UNIT]]-Table39[[#This Row],[AMOUNT RECEIVED TILL DATE]]</f>
        <v>0</v>
      </c>
    </row>
    <row r="413" spans="2:17" x14ac:dyDescent="0.25">
      <c r="B413" s="5">
        <f t="shared" si="6"/>
        <v>411</v>
      </c>
      <c r="C413" s="6" t="s">
        <v>120</v>
      </c>
      <c r="D413" s="6" t="s">
        <v>24</v>
      </c>
      <c r="E413" s="6" t="s">
        <v>121</v>
      </c>
      <c r="F413" s="6">
        <v>990</v>
      </c>
      <c r="G413" s="6" t="s">
        <v>26</v>
      </c>
      <c r="H413" s="6"/>
      <c r="I413" s="6"/>
      <c r="J413" s="6"/>
      <c r="K413" s="7">
        <v>41147</v>
      </c>
      <c r="L413" s="6">
        <v>2929500</v>
      </c>
      <c r="M413" s="6">
        <v>2929500</v>
      </c>
      <c r="N413" s="6" t="s">
        <v>39</v>
      </c>
      <c r="O413" s="8">
        <v>43103</v>
      </c>
      <c r="Q413">
        <f>Table39[[#This Row],[AGREEMENT VALUE OF UNIT]]-Table39[[#This Row],[AMOUNT RECEIVED TILL DATE]]</f>
        <v>0</v>
      </c>
    </row>
    <row r="414" spans="2:17" x14ac:dyDescent="0.25">
      <c r="B414" s="5">
        <f t="shared" si="6"/>
        <v>412</v>
      </c>
      <c r="C414" s="6" t="s">
        <v>122</v>
      </c>
      <c r="D414" s="6" t="s">
        <v>24</v>
      </c>
      <c r="E414" s="6" t="s">
        <v>123</v>
      </c>
      <c r="F414" s="6">
        <v>990</v>
      </c>
      <c r="G414" s="6" t="s">
        <v>26</v>
      </c>
      <c r="H414" s="6"/>
      <c r="I414" s="6"/>
      <c r="J414" s="6"/>
      <c r="K414" s="7">
        <v>40541</v>
      </c>
      <c r="L414" s="6">
        <v>1975000</v>
      </c>
      <c r="M414" s="6">
        <v>1975000</v>
      </c>
      <c r="N414" s="6" t="s">
        <v>27</v>
      </c>
      <c r="O414" s="8">
        <v>43103</v>
      </c>
      <c r="Q414">
        <f>Table39[[#This Row],[AGREEMENT VALUE OF UNIT]]-Table39[[#This Row],[AMOUNT RECEIVED TILL DATE]]</f>
        <v>0</v>
      </c>
    </row>
    <row r="415" spans="2:17" x14ac:dyDescent="0.25">
      <c r="B415" s="5">
        <f t="shared" si="6"/>
        <v>413</v>
      </c>
      <c r="C415" s="6" t="s">
        <v>124</v>
      </c>
      <c r="D415" s="6" t="s">
        <v>24</v>
      </c>
      <c r="E415" s="6" t="s">
        <v>125</v>
      </c>
      <c r="F415" s="6">
        <v>990</v>
      </c>
      <c r="G415" s="6" t="s">
        <v>26</v>
      </c>
      <c r="H415" s="6"/>
      <c r="I415" s="6"/>
      <c r="J415" s="6"/>
      <c r="K415" s="7">
        <v>40917</v>
      </c>
      <c r="L415" s="6">
        <v>2350000</v>
      </c>
      <c r="M415" s="6">
        <v>2350000</v>
      </c>
      <c r="N415" s="6" t="s">
        <v>39</v>
      </c>
      <c r="O415" s="8">
        <v>43103</v>
      </c>
      <c r="Q415">
        <f>Table39[[#This Row],[AGREEMENT VALUE OF UNIT]]-Table39[[#This Row],[AMOUNT RECEIVED TILL DATE]]</f>
        <v>0</v>
      </c>
    </row>
    <row r="416" spans="2:17" x14ac:dyDescent="0.25">
      <c r="B416" s="5">
        <f t="shared" si="6"/>
        <v>414</v>
      </c>
      <c r="C416" s="6"/>
      <c r="D416" s="6" t="s">
        <v>24</v>
      </c>
      <c r="E416" s="6" t="s">
        <v>126</v>
      </c>
      <c r="F416" s="6">
        <v>990</v>
      </c>
      <c r="G416" s="6" t="s">
        <v>104</v>
      </c>
      <c r="H416" s="6"/>
      <c r="I416" s="6"/>
      <c r="J416" s="6"/>
      <c r="K416" s="7"/>
      <c r="L416" s="6"/>
      <c r="M416" s="6"/>
      <c r="N416" s="6"/>
      <c r="O416" s="8"/>
      <c r="Q416">
        <f>Table39[[#This Row],[AGREEMENT VALUE OF UNIT]]-Table39[[#This Row],[AMOUNT RECEIVED TILL DATE]]</f>
        <v>0</v>
      </c>
    </row>
    <row r="417" spans="2:17" x14ac:dyDescent="0.25">
      <c r="B417" s="5">
        <f t="shared" si="6"/>
        <v>415</v>
      </c>
      <c r="C417" s="6" t="s">
        <v>127</v>
      </c>
      <c r="D417" s="6" t="s">
        <v>24</v>
      </c>
      <c r="E417" s="6" t="s">
        <v>128</v>
      </c>
      <c r="F417" s="6">
        <v>990</v>
      </c>
      <c r="G417" s="6" t="s">
        <v>26</v>
      </c>
      <c r="H417" s="6"/>
      <c r="I417" s="6"/>
      <c r="J417" s="6"/>
      <c r="K417" s="7">
        <v>40569</v>
      </c>
      <c r="L417" s="6">
        <v>2055500</v>
      </c>
      <c r="M417" s="6">
        <v>2055500</v>
      </c>
      <c r="N417" s="6" t="s">
        <v>27</v>
      </c>
      <c r="O417" s="8">
        <v>43103</v>
      </c>
      <c r="Q417">
        <f>Table39[[#This Row],[AGREEMENT VALUE OF UNIT]]-Table39[[#This Row],[AMOUNT RECEIVED TILL DATE]]</f>
        <v>0</v>
      </c>
    </row>
    <row r="418" spans="2:17" x14ac:dyDescent="0.25">
      <c r="B418" s="5">
        <f t="shared" si="6"/>
        <v>416</v>
      </c>
      <c r="C418" s="6" t="s">
        <v>129</v>
      </c>
      <c r="D418" s="6" t="s">
        <v>24</v>
      </c>
      <c r="E418" s="6" t="s">
        <v>130</v>
      </c>
      <c r="F418" s="6">
        <v>990</v>
      </c>
      <c r="G418" s="6" t="s">
        <v>26</v>
      </c>
      <c r="H418" s="6"/>
      <c r="I418" s="6"/>
      <c r="J418" s="6"/>
      <c r="K418" s="7">
        <v>40586</v>
      </c>
      <c r="L418" s="6">
        <v>2030750</v>
      </c>
      <c r="M418" s="6">
        <v>2030750</v>
      </c>
      <c r="N418" s="6" t="s">
        <v>27</v>
      </c>
      <c r="O418" s="8">
        <v>43103</v>
      </c>
      <c r="Q418">
        <f>Table39[[#This Row],[AGREEMENT VALUE OF UNIT]]-Table39[[#This Row],[AMOUNT RECEIVED TILL DATE]]</f>
        <v>0</v>
      </c>
    </row>
    <row r="419" spans="2:17" x14ac:dyDescent="0.25">
      <c r="B419" s="5">
        <f t="shared" si="6"/>
        <v>417</v>
      </c>
      <c r="C419" s="6" t="s">
        <v>131</v>
      </c>
      <c r="D419" s="6" t="s">
        <v>24</v>
      </c>
      <c r="E419" s="6" t="s">
        <v>132</v>
      </c>
      <c r="F419" s="6">
        <v>990</v>
      </c>
      <c r="G419" s="6" t="s">
        <v>26</v>
      </c>
      <c r="H419" s="6"/>
      <c r="I419" s="6"/>
      <c r="J419" s="6"/>
      <c r="K419" s="7">
        <v>41538</v>
      </c>
      <c r="L419" s="6">
        <v>2720000</v>
      </c>
      <c r="M419" s="6">
        <v>2720000</v>
      </c>
      <c r="N419" s="6" t="s">
        <v>30</v>
      </c>
      <c r="O419" s="8">
        <v>43103</v>
      </c>
      <c r="Q419">
        <f>Table39[[#This Row],[AGREEMENT VALUE OF UNIT]]-Table39[[#This Row],[AMOUNT RECEIVED TILL DATE]]</f>
        <v>0</v>
      </c>
    </row>
    <row r="420" spans="2:17" x14ac:dyDescent="0.25">
      <c r="B420" s="5">
        <f t="shared" si="6"/>
        <v>418</v>
      </c>
      <c r="C420" s="6" t="s">
        <v>133</v>
      </c>
      <c r="D420" s="6" t="s">
        <v>24</v>
      </c>
      <c r="E420" s="6" t="s">
        <v>134</v>
      </c>
      <c r="F420" s="6">
        <v>990</v>
      </c>
      <c r="G420" s="6" t="s">
        <v>26</v>
      </c>
      <c r="H420" s="6"/>
      <c r="I420" s="6"/>
      <c r="J420" s="6"/>
      <c r="K420" s="7">
        <v>40675</v>
      </c>
      <c r="L420" s="6">
        <v>1800000</v>
      </c>
      <c r="M420" s="6">
        <v>1800000</v>
      </c>
      <c r="N420" s="6" t="s">
        <v>135</v>
      </c>
      <c r="O420" s="8">
        <v>43103</v>
      </c>
      <c r="Q420">
        <f>Table39[[#This Row],[AGREEMENT VALUE OF UNIT]]-Table39[[#This Row],[AMOUNT RECEIVED TILL DATE]]</f>
        <v>0</v>
      </c>
    </row>
    <row r="421" spans="2:17" x14ac:dyDescent="0.25">
      <c r="B421" s="5">
        <f t="shared" si="6"/>
        <v>419</v>
      </c>
      <c r="C421" s="6" t="s">
        <v>136</v>
      </c>
      <c r="D421" s="6" t="s">
        <v>24</v>
      </c>
      <c r="E421" s="6" t="s">
        <v>137</v>
      </c>
      <c r="F421" s="6">
        <v>990</v>
      </c>
      <c r="G421" s="6" t="s">
        <v>26</v>
      </c>
      <c r="H421" s="6"/>
      <c r="I421" s="6"/>
      <c r="J421" s="6"/>
      <c r="K421" s="7">
        <v>40928</v>
      </c>
      <c r="L421" s="6">
        <v>2302250</v>
      </c>
      <c r="M421" s="6">
        <v>2302250</v>
      </c>
      <c r="N421" s="6" t="s">
        <v>57</v>
      </c>
      <c r="O421" s="8">
        <v>43103</v>
      </c>
      <c r="Q421">
        <f>Table39[[#This Row],[AGREEMENT VALUE OF UNIT]]-Table39[[#This Row],[AMOUNT RECEIVED TILL DATE]]</f>
        <v>0</v>
      </c>
    </row>
    <row r="422" spans="2:17" x14ac:dyDescent="0.25">
      <c r="B422" s="5">
        <f t="shared" si="6"/>
        <v>420</v>
      </c>
      <c r="C422" s="6" t="s">
        <v>138</v>
      </c>
      <c r="D422" s="6" t="s">
        <v>24</v>
      </c>
      <c r="E422" s="6" t="s">
        <v>139</v>
      </c>
      <c r="F422" s="6">
        <v>990</v>
      </c>
      <c r="G422" s="6" t="s">
        <v>26</v>
      </c>
      <c r="H422" s="6"/>
      <c r="I422" s="6"/>
      <c r="J422" s="6"/>
      <c r="K422" s="7">
        <v>40576</v>
      </c>
      <c r="L422" s="6">
        <v>1832000</v>
      </c>
      <c r="M422" s="6">
        <v>1832000</v>
      </c>
      <c r="N422" s="6" t="s">
        <v>46</v>
      </c>
      <c r="O422" s="8">
        <v>43103</v>
      </c>
      <c r="Q422">
        <f>Table39[[#This Row],[AGREEMENT VALUE OF UNIT]]-Table39[[#This Row],[AMOUNT RECEIVED TILL DATE]]</f>
        <v>0</v>
      </c>
    </row>
    <row r="423" spans="2:17" x14ac:dyDescent="0.25">
      <c r="B423" s="5">
        <f t="shared" si="6"/>
        <v>421</v>
      </c>
      <c r="C423" s="6" t="s">
        <v>140</v>
      </c>
      <c r="D423" s="6" t="s">
        <v>24</v>
      </c>
      <c r="E423" s="6" t="s">
        <v>141</v>
      </c>
      <c r="F423" s="6">
        <v>990</v>
      </c>
      <c r="G423" s="6" t="s">
        <v>26</v>
      </c>
      <c r="H423" s="6"/>
      <c r="I423" s="6"/>
      <c r="J423" s="6"/>
      <c r="K423" s="7">
        <v>40682</v>
      </c>
      <c r="L423" s="6">
        <v>2159000</v>
      </c>
      <c r="M423" s="6">
        <v>2159000</v>
      </c>
      <c r="N423" s="6" t="s">
        <v>30</v>
      </c>
      <c r="O423" s="8">
        <v>43103</v>
      </c>
      <c r="Q423">
        <f>Table39[[#This Row],[AGREEMENT VALUE OF UNIT]]-Table39[[#This Row],[AMOUNT RECEIVED TILL DATE]]</f>
        <v>0</v>
      </c>
    </row>
    <row r="424" spans="2:17" x14ac:dyDescent="0.25">
      <c r="B424" s="5">
        <f t="shared" si="6"/>
        <v>422</v>
      </c>
      <c r="C424" s="6" t="s">
        <v>142</v>
      </c>
      <c r="D424" s="6" t="s">
        <v>24</v>
      </c>
      <c r="E424" s="6" t="s">
        <v>143</v>
      </c>
      <c r="F424" s="6">
        <v>990</v>
      </c>
      <c r="G424" s="6" t="s">
        <v>113</v>
      </c>
      <c r="H424" s="6"/>
      <c r="I424" s="6"/>
      <c r="J424" s="6"/>
      <c r="K424" s="7">
        <v>42830</v>
      </c>
      <c r="L424" s="6">
        <v>3158425</v>
      </c>
      <c r="M424" s="6">
        <v>3158425</v>
      </c>
      <c r="N424" s="6" t="s">
        <v>144</v>
      </c>
      <c r="O424" s="8">
        <v>43103</v>
      </c>
      <c r="Q424">
        <f>Table39[[#This Row],[AGREEMENT VALUE OF UNIT]]-Table39[[#This Row],[AMOUNT RECEIVED TILL DATE]]</f>
        <v>0</v>
      </c>
    </row>
    <row r="425" spans="2:17" x14ac:dyDescent="0.25">
      <c r="B425" s="5">
        <f t="shared" si="6"/>
        <v>423</v>
      </c>
      <c r="C425" s="6" t="s">
        <v>145</v>
      </c>
      <c r="D425" s="6" t="s">
        <v>24</v>
      </c>
      <c r="E425" s="6" t="s">
        <v>146</v>
      </c>
      <c r="F425" s="6">
        <v>990</v>
      </c>
      <c r="G425" s="6" t="s">
        <v>26</v>
      </c>
      <c r="H425" s="6"/>
      <c r="I425" s="6"/>
      <c r="J425" s="6"/>
      <c r="K425" s="7">
        <v>40965</v>
      </c>
      <c r="L425" s="6">
        <v>2714100</v>
      </c>
      <c r="M425" s="6">
        <v>2714100</v>
      </c>
      <c r="N425" s="6" t="s">
        <v>30</v>
      </c>
      <c r="O425" s="8">
        <v>43103</v>
      </c>
      <c r="Q425">
        <f>Table39[[#This Row],[AGREEMENT VALUE OF UNIT]]-Table39[[#This Row],[AMOUNT RECEIVED TILL DATE]]</f>
        <v>0</v>
      </c>
    </row>
    <row r="426" spans="2:17" x14ac:dyDescent="0.25">
      <c r="B426" s="5">
        <f t="shared" si="6"/>
        <v>424</v>
      </c>
      <c r="C426" s="6" t="s">
        <v>147</v>
      </c>
      <c r="D426" s="6" t="s">
        <v>24</v>
      </c>
      <c r="E426" s="6" t="s">
        <v>148</v>
      </c>
      <c r="F426" s="6">
        <v>990</v>
      </c>
      <c r="G426" s="6" t="s">
        <v>26</v>
      </c>
      <c r="H426" s="6"/>
      <c r="I426" s="6"/>
      <c r="J426" s="6"/>
      <c r="K426" s="7">
        <v>40965</v>
      </c>
      <c r="L426" s="6">
        <v>2725200</v>
      </c>
      <c r="M426" s="6">
        <v>2725200</v>
      </c>
      <c r="N426" s="6" t="s">
        <v>30</v>
      </c>
      <c r="O426" s="8">
        <v>43103</v>
      </c>
      <c r="Q426">
        <f>Table39[[#This Row],[AGREEMENT VALUE OF UNIT]]-Table39[[#This Row],[AMOUNT RECEIVED TILL DATE]]</f>
        <v>0</v>
      </c>
    </row>
    <row r="427" spans="2:17" x14ac:dyDescent="0.25">
      <c r="B427" s="5">
        <f t="shared" si="6"/>
        <v>425</v>
      </c>
      <c r="C427" s="6" t="s">
        <v>149</v>
      </c>
      <c r="D427" s="6" t="s">
        <v>24</v>
      </c>
      <c r="E427" s="6" t="s">
        <v>150</v>
      </c>
      <c r="F427" s="6">
        <v>990</v>
      </c>
      <c r="G427" s="6" t="s">
        <v>113</v>
      </c>
      <c r="H427" s="6"/>
      <c r="I427" s="6"/>
      <c r="J427" s="6"/>
      <c r="K427" s="7">
        <v>42994</v>
      </c>
      <c r="L427" s="6">
        <v>1919024</v>
      </c>
      <c r="M427" s="6">
        <v>627000</v>
      </c>
      <c r="N427" s="6" t="s">
        <v>30</v>
      </c>
      <c r="O427" s="8">
        <v>43103</v>
      </c>
      <c r="Q427">
        <f>Table39[[#This Row],[AGREEMENT VALUE OF UNIT]]-Table39[[#This Row],[AMOUNT RECEIVED TILL DATE]]</f>
        <v>1292024</v>
      </c>
    </row>
    <row r="428" spans="2:17" x14ac:dyDescent="0.25">
      <c r="B428" s="5">
        <f t="shared" si="6"/>
        <v>426</v>
      </c>
      <c r="C428" s="6" t="s">
        <v>151</v>
      </c>
      <c r="D428" s="6" t="s">
        <v>24</v>
      </c>
      <c r="E428" s="6" t="s">
        <v>152</v>
      </c>
      <c r="F428" s="6">
        <v>990</v>
      </c>
      <c r="G428" s="6" t="s">
        <v>26</v>
      </c>
      <c r="H428" s="6"/>
      <c r="I428" s="6"/>
      <c r="J428" s="6"/>
      <c r="K428" s="7">
        <v>40587</v>
      </c>
      <c r="L428" s="6">
        <v>2101350</v>
      </c>
      <c r="M428" s="6">
        <v>2101350</v>
      </c>
      <c r="N428" s="6" t="s">
        <v>27</v>
      </c>
      <c r="O428" s="8">
        <v>43103</v>
      </c>
      <c r="Q428">
        <f>Table39[[#This Row],[AGREEMENT VALUE OF UNIT]]-Table39[[#This Row],[AMOUNT RECEIVED TILL DATE]]</f>
        <v>0</v>
      </c>
    </row>
    <row r="429" spans="2:17" x14ac:dyDescent="0.25">
      <c r="B429" s="5">
        <f t="shared" si="6"/>
        <v>427</v>
      </c>
      <c r="C429" s="6" t="s">
        <v>157</v>
      </c>
      <c r="D429" s="6" t="s">
        <v>24</v>
      </c>
      <c r="E429" s="6" t="s">
        <v>158</v>
      </c>
      <c r="F429" s="6">
        <v>990</v>
      </c>
      <c r="G429" s="6" t="s">
        <v>26</v>
      </c>
      <c r="H429" s="6"/>
      <c r="I429" s="6"/>
      <c r="J429" s="6"/>
      <c r="K429" s="7">
        <v>40558</v>
      </c>
      <c r="L429" s="6">
        <v>1960000</v>
      </c>
      <c r="M429" s="6">
        <v>1960000</v>
      </c>
      <c r="N429" s="6" t="s">
        <v>30</v>
      </c>
      <c r="O429" s="8">
        <v>43103</v>
      </c>
      <c r="Q429">
        <f>Table39[[#This Row],[AGREEMENT VALUE OF UNIT]]-Table39[[#This Row],[AMOUNT RECEIVED TILL DATE]]</f>
        <v>0</v>
      </c>
    </row>
    <row r="430" spans="2:17" x14ac:dyDescent="0.25">
      <c r="B430" s="5">
        <f t="shared" si="6"/>
        <v>428</v>
      </c>
      <c r="C430" s="6" t="s">
        <v>159</v>
      </c>
      <c r="D430" s="6" t="s">
        <v>24</v>
      </c>
      <c r="E430" s="6" t="s">
        <v>160</v>
      </c>
      <c r="F430" s="6">
        <v>990</v>
      </c>
      <c r="G430" s="6" t="s">
        <v>113</v>
      </c>
      <c r="H430" s="6"/>
      <c r="I430" s="6"/>
      <c r="J430" s="6"/>
      <c r="K430" s="7">
        <v>42887</v>
      </c>
      <c r="L430" s="6">
        <v>2990000</v>
      </c>
      <c r="M430" s="6">
        <v>2990000</v>
      </c>
      <c r="N430" s="6" t="s">
        <v>46</v>
      </c>
      <c r="O430" s="8">
        <v>43103</v>
      </c>
      <c r="Q430">
        <f>Table39[[#This Row],[AGREEMENT VALUE OF UNIT]]-Table39[[#This Row],[AMOUNT RECEIVED TILL DATE]]</f>
        <v>0</v>
      </c>
    </row>
    <row r="431" spans="2:17" x14ac:dyDescent="0.25">
      <c r="B431" s="5">
        <f t="shared" si="6"/>
        <v>429</v>
      </c>
      <c r="C431" s="6" t="s">
        <v>166</v>
      </c>
      <c r="D431" s="6" t="s">
        <v>24</v>
      </c>
      <c r="E431" s="6" t="s">
        <v>167</v>
      </c>
      <c r="F431" s="6">
        <v>990</v>
      </c>
      <c r="G431" s="6" t="s">
        <v>26</v>
      </c>
      <c r="H431" s="6"/>
      <c r="I431" s="6"/>
      <c r="J431" s="6"/>
      <c r="K431" s="7">
        <v>42598</v>
      </c>
      <c r="L431" s="6">
        <v>3089500</v>
      </c>
      <c r="M431" s="6">
        <v>2039500</v>
      </c>
      <c r="N431" s="6" t="s">
        <v>30</v>
      </c>
      <c r="O431" s="8">
        <v>43103</v>
      </c>
      <c r="Q431">
        <f>Table39[[#This Row],[AGREEMENT VALUE OF UNIT]]-Table39[[#This Row],[AMOUNT RECEIVED TILL DATE]]</f>
        <v>1050000</v>
      </c>
    </row>
    <row r="432" spans="2:17" x14ac:dyDescent="0.25">
      <c r="B432" s="5">
        <f t="shared" si="6"/>
        <v>430</v>
      </c>
      <c r="C432" s="6" t="s">
        <v>168</v>
      </c>
      <c r="D432" s="6" t="s">
        <v>24</v>
      </c>
      <c r="E432" s="6" t="s">
        <v>169</v>
      </c>
      <c r="F432" s="6">
        <v>990</v>
      </c>
      <c r="G432" s="6" t="s">
        <v>26</v>
      </c>
      <c r="H432" s="6"/>
      <c r="I432" s="6"/>
      <c r="J432" s="6"/>
      <c r="K432" s="7">
        <v>41054</v>
      </c>
      <c r="L432" s="6">
        <v>2625000</v>
      </c>
      <c r="M432" s="6">
        <v>2625000</v>
      </c>
      <c r="N432" s="6" t="s">
        <v>27</v>
      </c>
      <c r="O432" s="8">
        <v>43103</v>
      </c>
      <c r="Q432">
        <f>Table39[[#This Row],[AGREEMENT VALUE OF UNIT]]-Table39[[#This Row],[AMOUNT RECEIVED TILL DATE]]</f>
        <v>0</v>
      </c>
    </row>
    <row r="433" spans="2:17" x14ac:dyDescent="0.25">
      <c r="B433" s="5">
        <f t="shared" si="6"/>
        <v>431</v>
      </c>
      <c r="C433" s="6" t="s">
        <v>172</v>
      </c>
      <c r="D433" s="6" t="s">
        <v>24</v>
      </c>
      <c r="E433" s="6" t="s">
        <v>173</v>
      </c>
      <c r="F433" s="6">
        <v>990</v>
      </c>
      <c r="G433" s="6" t="s">
        <v>26</v>
      </c>
      <c r="H433" s="6"/>
      <c r="I433" s="6"/>
      <c r="J433" s="6"/>
      <c r="K433" s="7">
        <v>41031</v>
      </c>
      <c r="L433" s="6">
        <v>2652470</v>
      </c>
      <c r="M433" s="6">
        <v>2652470</v>
      </c>
      <c r="N433" s="6" t="s">
        <v>39</v>
      </c>
      <c r="O433" s="8">
        <v>43103</v>
      </c>
      <c r="Q433">
        <f>Table39[[#This Row],[AGREEMENT VALUE OF UNIT]]-Table39[[#This Row],[AMOUNT RECEIVED TILL DATE]]</f>
        <v>0</v>
      </c>
    </row>
    <row r="434" spans="2:17" x14ac:dyDescent="0.25">
      <c r="B434" s="5">
        <f t="shared" si="6"/>
        <v>432</v>
      </c>
      <c r="C434" s="6" t="s">
        <v>174</v>
      </c>
      <c r="D434" s="6" t="s">
        <v>24</v>
      </c>
      <c r="E434" s="6" t="s">
        <v>175</v>
      </c>
      <c r="F434" s="6">
        <v>990</v>
      </c>
      <c r="G434" s="6" t="s">
        <v>26</v>
      </c>
      <c r="H434" s="6"/>
      <c r="I434" s="6"/>
      <c r="J434" s="6"/>
      <c r="K434" s="7">
        <v>40704</v>
      </c>
      <c r="L434" s="6">
        <v>2211000</v>
      </c>
      <c r="M434" s="6">
        <v>2211000</v>
      </c>
      <c r="N434" s="6" t="s">
        <v>46</v>
      </c>
      <c r="O434" s="8">
        <v>43103</v>
      </c>
      <c r="Q434">
        <f>Table39[[#This Row],[AGREEMENT VALUE OF UNIT]]-Table39[[#This Row],[AMOUNT RECEIVED TILL DATE]]</f>
        <v>0</v>
      </c>
    </row>
    <row r="435" spans="2:17" x14ac:dyDescent="0.25">
      <c r="B435" s="5">
        <f t="shared" si="6"/>
        <v>433</v>
      </c>
      <c r="C435" s="6" t="s">
        <v>180</v>
      </c>
      <c r="D435" s="6" t="s">
        <v>24</v>
      </c>
      <c r="E435" s="6" t="s">
        <v>181</v>
      </c>
      <c r="F435" s="6">
        <v>990</v>
      </c>
      <c r="G435" s="6" t="s">
        <v>26</v>
      </c>
      <c r="H435" s="6"/>
      <c r="I435" s="6"/>
      <c r="J435" s="6"/>
      <c r="K435" s="7">
        <v>40734</v>
      </c>
      <c r="L435" s="6">
        <v>1804000</v>
      </c>
      <c r="M435" s="6">
        <v>1804000</v>
      </c>
      <c r="N435" s="6" t="s">
        <v>27</v>
      </c>
      <c r="O435" s="8">
        <v>43103</v>
      </c>
      <c r="Q435">
        <f>Table39[[#This Row],[AGREEMENT VALUE OF UNIT]]-Table39[[#This Row],[AMOUNT RECEIVED TILL DATE]]</f>
        <v>0</v>
      </c>
    </row>
    <row r="436" spans="2:17" x14ac:dyDescent="0.25">
      <c r="B436" s="5">
        <f t="shared" si="6"/>
        <v>434</v>
      </c>
      <c r="C436" s="6" t="s">
        <v>182</v>
      </c>
      <c r="D436" s="6" t="s">
        <v>24</v>
      </c>
      <c r="E436" s="6" t="s">
        <v>183</v>
      </c>
      <c r="F436" s="6">
        <v>990</v>
      </c>
      <c r="G436" s="6" t="s">
        <v>26</v>
      </c>
      <c r="H436" s="6"/>
      <c r="I436" s="6"/>
      <c r="J436" s="6"/>
      <c r="K436" s="7">
        <v>40943</v>
      </c>
      <c r="L436" s="6">
        <v>2466100</v>
      </c>
      <c r="M436" s="6">
        <v>2466100</v>
      </c>
      <c r="N436" s="6" t="s">
        <v>27</v>
      </c>
      <c r="O436" s="8">
        <v>43103</v>
      </c>
      <c r="Q436">
        <f>Table39[[#This Row],[AGREEMENT VALUE OF UNIT]]-Table39[[#This Row],[AMOUNT RECEIVED TILL DATE]]</f>
        <v>0</v>
      </c>
    </row>
    <row r="437" spans="2:17" x14ac:dyDescent="0.25">
      <c r="B437" s="5">
        <f t="shared" si="6"/>
        <v>435</v>
      </c>
      <c r="C437" s="6" t="s">
        <v>188</v>
      </c>
      <c r="D437" s="6" t="s">
        <v>24</v>
      </c>
      <c r="E437" s="6" t="s">
        <v>189</v>
      </c>
      <c r="F437" s="6">
        <v>990</v>
      </c>
      <c r="G437" s="6" t="s">
        <v>26</v>
      </c>
      <c r="H437" s="6"/>
      <c r="I437" s="6"/>
      <c r="J437" s="6"/>
      <c r="K437" s="7">
        <v>40659</v>
      </c>
      <c r="L437" s="6">
        <v>2250000</v>
      </c>
      <c r="M437" s="6">
        <v>1829000</v>
      </c>
      <c r="N437" s="6" t="s">
        <v>30</v>
      </c>
      <c r="O437" s="8">
        <v>43103</v>
      </c>
      <c r="Q437">
        <f>Table39[[#This Row],[AGREEMENT VALUE OF UNIT]]-Table39[[#This Row],[AMOUNT RECEIVED TILL DATE]]</f>
        <v>421000</v>
      </c>
    </row>
    <row r="438" spans="2:17" x14ac:dyDescent="0.25">
      <c r="B438" s="5">
        <f t="shared" si="6"/>
        <v>436</v>
      </c>
      <c r="C438" s="6" t="s">
        <v>28</v>
      </c>
      <c r="D438" s="6" t="s">
        <v>24</v>
      </c>
      <c r="E438" s="6" t="s">
        <v>29</v>
      </c>
      <c r="F438" s="6">
        <v>1010</v>
      </c>
      <c r="G438" s="6" t="s">
        <v>26</v>
      </c>
      <c r="H438" s="6"/>
      <c r="I438" s="6"/>
      <c r="J438" s="6"/>
      <c r="K438" s="7">
        <v>40738</v>
      </c>
      <c r="L438" s="6">
        <v>2689400</v>
      </c>
      <c r="M438" s="6">
        <v>2689400</v>
      </c>
      <c r="N438" s="6" t="s">
        <v>30</v>
      </c>
      <c r="O438" s="8">
        <v>43103</v>
      </c>
      <c r="Q438">
        <f>Table39[[#This Row],[AGREEMENT VALUE OF UNIT]]-Table39[[#This Row],[AMOUNT RECEIVED TILL DATE]]</f>
        <v>0</v>
      </c>
    </row>
    <row r="439" spans="2:17" x14ac:dyDescent="0.25">
      <c r="B439" s="5">
        <f t="shared" si="6"/>
        <v>437</v>
      </c>
      <c r="C439" s="6" t="s">
        <v>37</v>
      </c>
      <c r="D439" s="6" t="s">
        <v>24</v>
      </c>
      <c r="E439" s="6" t="s">
        <v>38</v>
      </c>
      <c r="F439" s="6">
        <v>1010</v>
      </c>
      <c r="G439" s="6" t="s">
        <v>26</v>
      </c>
      <c r="H439" s="6"/>
      <c r="I439" s="6"/>
      <c r="J439" s="6"/>
      <c r="K439" s="7">
        <v>41266</v>
      </c>
      <c r="L439" s="6">
        <v>3307250</v>
      </c>
      <c r="M439" s="6">
        <v>3307250</v>
      </c>
      <c r="N439" s="6" t="s">
        <v>39</v>
      </c>
      <c r="O439" s="8">
        <v>43103</v>
      </c>
      <c r="Q439">
        <f>Table39[[#This Row],[AGREEMENT VALUE OF UNIT]]-Table39[[#This Row],[AMOUNT RECEIVED TILL DATE]]</f>
        <v>0</v>
      </c>
    </row>
    <row r="440" spans="2:17" x14ac:dyDescent="0.25">
      <c r="B440" s="5">
        <f t="shared" si="6"/>
        <v>438</v>
      </c>
      <c r="C440" s="6" t="s">
        <v>47</v>
      </c>
      <c r="D440" s="6" t="s">
        <v>24</v>
      </c>
      <c r="E440" s="6" t="s">
        <v>48</v>
      </c>
      <c r="F440" s="6">
        <v>1010</v>
      </c>
      <c r="G440" s="6" t="s">
        <v>26</v>
      </c>
      <c r="H440" s="6"/>
      <c r="I440" s="6"/>
      <c r="J440" s="6"/>
      <c r="K440" s="7">
        <v>41584</v>
      </c>
      <c r="L440" s="6">
        <v>3407500</v>
      </c>
      <c r="M440" s="6">
        <v>3407500</v>
      </c>
      <c r="N440" s="6" t="s">
        <v>46</v>
      </c>
      <c r="O440" s="8">
        <v>43103</v>
      </c>
      <c r="Q440">
        <f>Table39[[#This Row],[AGREEMENT VALUE OF UNIT]]-Table39[[#This Row],[AMOUNT RECEIVED TILL DATE]]</f>
        <v>0</v>
      </c>
    </row>
    <row r="441" spans="2:17" x14ac:dyDescent="0.25">
      <c r="B441" s="5">
        <f t="shared" si="6"/>
        <v>439</v>
      </c>
      <c r="C441" s="6" t="s">
        <v>55</v>
      </c>
      <c r="D441" s="6" t="s">
        <v>24</v>
      </c>
      <c r="E441" s="6" t="s">
        <v>56</v>
      </c>
      <c r="F441" s="6">
        <v>1010</v>
      </c>
      <c r="G441" s="6" t="s">
        <v>26</v>
      </c>
      <c r="H441" s="6"/>
      <c r="I441" s="6"/>
      <c r="J441" s="6"/>
      <c r="K441" s="7">
        <v>40482</v>
      </c>
      <c r="L441" s="6">
        <v>1847800</v>
      </c>
      <c r="M441" s="6">
        <v>1847800</v>
      </c>
      <c r="N441" s="6" t="s">
        <v>57</v>
      </c>
      <c r="O441" s="8">
        <v>43103</v>
      </c>
      <c r="Q441">
        <f>Table39[[#This Row],[AGREEMENT VALUE OF UNIT]]-Table39[[#This Row],[AMOUNT RECEIVED TILL DATE]]</f>
        <v>0</v>
      </c>
    </row>
    <row r="442" spans="2:17" x14ac:dyDescent="0.25">
      <c r="B442" s="5">
        <f t="shared" si="6"/>
        <v>440</v>
      </c>
      <c r="C442" s="10" t="s">
        <v>64</v>
      </c>
      <c r="D442" s="10" t="s">
        <v>24</v>
      </c>
      <c r="E442" s="10" t="s">
        <v>65</v>
      </c>
      <c r="F442" s="10">
        <v>1010</v>
      </c>
      <c r="G442" s="6" t="s">
        <v>26</v>
      </c>
      <c r="H442" s="10"/>
      <c r="I442" s="10"/>
      <c r="J442" s="10"/>
      <c r="K442" s="11">
        <v>41275</v>
      </c>
      <c r="L442" s="10">
        <v>3248042</v>
      </c>
      <c r="M442" s="10">
        <v>3248042</v>
      </c>
      <c r="N442" s="10" t="s">
        <v>66</v>
      </c>
      <c r="O442" s="12">
        <v>43103</v>
      </c>
      <c r="Q442">
        <f>Table39[[#This Row],[AGREEMENT VALUE OF UNIT]]-Table39[[#This Row],[AMOUNT RECEIVED TILL DATE]]</f>
        <v>0</v>
      </c>
    </row>
    <row r="443" spans="2:17" x14ac:dyDescent="0.25">
      <c r="B443" s="84"/>
      <c r="C443" s="10"/>
      <c r="D443" s="10"/>
      <c r="E443" s="10"/>
      <c r="F443" s="10"/>
      <c r="G443" s="10"/>
      <c r="H443" s="10"/>
      <c r="I443" s="10"/>
      <c r="J443" s="10"/>
      <c r="K443" s="10"/>
      <c r="L443" s="10">
        <f>SUM(Table39[AGREEMENT VALUE OF UNIT])</f>
        <v>696848484</v>
      </c>
      <c r="M443" s="10">
        <f>SUM(Table39[AMOUNT RECEIVED TILL DATE])</f>
        <v>671485468</v>
      </c>
      <c r="N443" s="10"/>
      <c r="O443" s="135"/>
    </row>
  </sheetData>
  <autoFilter ref="Q2:Q442" xr:uid="{00000000-0009-0000-0000-000001000000}"/>
  <mergeCells count="1">
    <mergeCell ref="B1:O1"/>
  </mergeCells>
  <conditionalFormatting sqref="E2:E442">
    <cfRule type="duplicateValues" dxfId="22"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815"/>
  <sheetViews>
    <sheetView topLeftCell="A655" workbookViewId="0">
      <selection activeCell="M814" sqref="M814"/>
    </sheetView>
  </sheetViews>
  <sheetFormatPr defaultRowHeight="15" x14ac:dyDescent="0.25"/>
  <cols>
    <col min="11" max="11" width="10.7109375" bestFit="1" customWidth="1"/>
    <col min="12" max="13" width="14" bestFit="1" customWidth="1"/>
    <col min="14" max="14" width="20.42578125" bestFit="1" customWidth="1"/>
    <col min="15" max="15" width="10.140625" bestFit="1" customWidth="1"/>
    <col min="16" max="16" width="10.28515625" bestFit="1" customWidth="1"/>
    <col min="19" max="19" width="11.28515625" bestFit="1" customWidth="1"/>
    <col min="21" max="21" width="14.85546875" bestFit="1" customWidth="1"/>
  </cols>
  <sheetData>
    <row r="3" spans="2:21" ht="76.5" x14ac:dyDescent="0.25">
      <c r="B3" s="4" t="s">
        <v>9</v>
      </c>
      <c r="C3" s="25" t="s">
        <v>10</v>
      </c>
      <c r="D3" s="25" t="s">
        <v>11</v>
      </c>
      <c r="E3" s="25" t="s">
        <v>12</v>
      </c>
      <c r="F3" s="25" t="s">
        <v>13</v>
      </c>
      <c r="G3" s="25" t="s">
        <v>905</v>
      </c>
      <c r="H3" s="25" t="s">
        <v>15</v>
      </c>
      <c r="I3" s="25" t="s">
        <v>16</v>
      </c>
      <c r="J3" s="25" t="s">
        <v>17</v>
      </c>
      <c r="K3" s="25" t="s">
        <v>18</v>
      </c>
      <c r="L3" s="25" t="s">
        <v>19</v>
      </c>
      <c r="M3" s="26" t="s">
        <v>20</v>
      </c>
      <c r="N3" s="27" t="s">
        <v>21</v>
      </c>
      <c r="O3" s="25" t="s">
        <v>22</v>
      </c>
      <c r="P3" s="28" t="s">
        <v>906</v>
      </c>
    </row>
    <row r="4" spans="2:21" x14ac:dyDescent="0.25">
      <c r="B4" s="5">
        <v>1</v>
      </c>
      <c r="C4" s="29" t="s">
        <v>907</v>
      </c>
      <c r="D4" s="6" t="s">
        <v>902</v>
      </c>
      <c r="E4" s="29" t="s">
        <v>908</v>
      </c>
      <c r="F4" s="6">
        <v>800</v>
      </c>
      <c r="G4" s="6" t="s">
        <v>26</v>
      </c>
      <c r="H4" s="6"/>
      <c r="I4" s="6"/>
      <c r="J4" s="6"/>
      <c r="K4" s="7">
        <v>41166</v>
      </c>
      <c r="L4" s="30">
        <v>1909750</v>
      </c>
      <c r="M4" s="30">
        <v>1909750</v>
      </c>
      <c r="N4" s="6" t="s">
        <v>30</v>
      </c>
      <c r="O4" s="31">
        <v>43103</v>
      </c>
      <c r="P4" s="32" t="e">
        <f>VLOOKUP(Table311[[#This Row],[UNIT NO.]],[1]!Table35711[[#Headers],[#Data],[Unit '#]:[Application/Sold/ Unsold]],7,0)</f>
        <v>#REF!</v>
      </c>
      <c r="S4" s="64"/>
    </row>
    <row r="5" spans="2:21" x14ac:dyDescent="0.25">
      <c r="B5" s="5">
        <f>B4+1</f>
        <v>2</v>
      </c>
      <c r="C5" s="29" t="s">
        <v>909</v>
      </c>
      <c r="D5" s="6" t="s">
        <v>902</v>
      </c>
      <c r="E5" s="29" t="s">
        <v>910</v>
      </c>
      <c r="F5" s="6">
        <v>800</v>
      </c>
      <c r="G5" s="6" t="s">
        <v>26</v>
      </c>
      <c r="H5" s="6"/>
      <c r="I5" s="6"/>
      <c r="J5" s="6"/>
      <c r="K5" s="7">
        <v>40943</v>
      </c>
      <c r="L5" s="30">
        <v>1915000</v>
      </c>
      <c r="M5" s="30">
        <v>1915000</v>
      </c>
      <c r="N5" s="6" t="s">
        <v>27</v>
      </c>
      <c r="O5" s="31">
        <v>43103</v>
      </c>
      <c r="P5" s="32" t="e">
        <f>VLOOKUP(Table311[[#This Row],[UNIT NO.]],[1]!Table35711[[#Headers],[#Data],[Unit '#]:[Application/Sold/ Unsold]],7,0)</f>
        <v>#REF!</v>
      </c>
      <c r="S5" s="64"/>
      <c r="U5" s="64"/>
    </row>
    <row r="6" spans="2:21" ht="26.25" x14ac:dyDescent="0.25">
      <c r="B6" s="5">
        <f t="shared" ref="B6:B69" si="0">B5+1</f>
        <v>3</v>
      </c>
      <c r="C6" s="29" t="s">
        <v>911</v>
      </c>
      <c r="D6" s="6" t="s">
        <v>902</v>
      </c>
      <c r="E6" s="29" t="s">
        <v>912</v>
      </c>
      <c r="F6" s="6">
        <v>800</v>
      </c>
      <c r="G6" s="6" t="s">
        <v>26</v>
      </c>
      <c r="H6" s="6"/>
      <c r="I6" s="6"/>
      <c r="J6" s="6"/>
      <c r="K6" s="7">
        <v>40971</v>
      </c>
      <c r="L6" s="30">
        <v>1985450</v>
      </c>
      <c r="M6" s="30">
        <v>1985450</v>
      </c>
      <c r="N6" s="6" t="s">
        <v>144</v>
      </c>
      <c r="O6" s="31">
        <v>43103</v>
      </c>
      <c r="P6" s="32" t="e">
        <f>VLOOKUP(Table311[[#This Row],[UNIT NO.]],[1]!Table35711[[#Headers],[#Data],[Unit '#]:[Application/Sold/ Unsold]],7,0)</f>
        <v>#REF!</v>
      </c>
      <c r="S6" s="64"/>
      <c r="U6" s="64"/>
    </row>
    <row r="7" spans="2:21" ht="26.25" x14ac:dyDescent="0.25">
      <c r="B7" s="5">
        <f t="shared" si="0"/>
        <v>4</v>
      </c>
      <c r="C7" s="29" t="s">
        <v>913</v>
      </c>
      <c r="D7" s="6" t="s">
        <v>902</v>
      </c>
      <c r="E7" s="29" t="s">
        <v>914</v>
      </c>
      <c r="F7" s="6">
        <v>800</v>
      </c>
      <c r="G7" s="6" t="s">
        <v>26</v>
      </c>
      <c r="H7" s="6"/>
      <c r="I7" s="6"/>
      <c r="J7" s="6"/>
      <c r="K7" s="7">
        <v>41168</v>
      </c>
      <c r="L7" s="30">
        <v>1945000</v>
      </c>
      <c r="M7" s="30">
        <v>1945000</v>
      </c>
      <c r="N7" s="6" t="s">
        <v>30</v>
      </c>
      <c r="O7" s="31">
        <v>43103</v>
      </c>
      <c r="P7" s="32" t="e">
        <f>VLOOKUP(Table311[[#This Row],[UNIT NO.]],[1]!Table35711[[#Headers],[#Data],[Unit '#]:[Application/Sold/ Unsold]],7,0)</f>
        <v>#REF!</v>
      </c>
      <c r="S7" s="64"/>
      <c r="U7" s="64"/>
    </row>
    <row r="8" spans="2:21" x14ac:dyDescent="0.25">
      <c r="B8" s="5">
        <f t="shared" si="0"/>
        <v>5</v>
      </c>
      <c r="C8" s="29" t="s">
        <v>915</v>
      </c>
      <c r="D8" s="6" t="s">
        <v>902</v>
      </c>
      <c r="E8" s="29" t="s">
        <v>916</v>
      </c>
      <c r="F8" s="6">
        <v>800</v>
      </c>
      <c r="G8" s="6" t="s">
        <v>26</v>
      </c>
      <c r="H8" s="6"/>
      <c r="I8" s="6"/>
      <c r="J8" s="6"/>
      <c r="K8" s="7">
        <v>40968</v>
      </c>
      <c r="L8" s="30">
        <v>1945750</v>
      </c>
      <c r="M8" s="30">
        <v>1848452</v>
      </c>
      <c r="N8" s="6" t="s">
        <v>30</v>
      </c>
      <c r="O8" s="31">
        <v>43103</v>
      </c>
      <c r="P8" s="32" t="e">
        <f>VLOOKUP(Table311[[#This Row],[UNIT NO.]],[1]!Table35711[[#Headers],[#Data],[Unit '#]:[Application/Sold/ Unsold]],7,0)</f>
        <v>#REF!</v>
      </c>
      <c r="S8" s="64"/>
    </row>
    <row r="9" spans="2:21" ht="26.25" x14ac:dyDescent="0.25">
      <c r="B9" s="5">
        <f t="shared" si="0"/>
        <v>6</v>
      </c>
      <c r="C9" s="29" t="s">
        <v>917</v>
      </c>
      <c r="D9" s="6" t="s">
        <v>902</v>
      </c>
      <c r="E9" s="29" t="s">
        <v>918</v>
      </c>
      <c r="F9" s="6">
        <v>800</v>
      </c>
      <c r="G9" s="6" t="s">
        <v>26</v>
      </c>
      <c r="H9" s="6"/>
      <c r="I9" s="6"/>
      <c r="J9" s="6"/>
      <c r="K9" s="7">
        <v>40968</v>
      </c>
      <c r="L9" s="30">
        <v>1925750</v>
      </c>
      <c r="M9" s="30">
        <v>1828745</v>
      </c>
      <c r="N9" s="6" t="s">
        <v>30</v>
      </c>
      <c r="O9" s="31">
        <v>43103</v>
      </c>
      <c r="P9" s="32" t="e">
        <f>VLOOKUP(Table311[[#This Row],[UNIT NO.]],[1]!Table35711[[#Headers],[#Data],[Unit '#]:[Application/Sold/ Unsold]],7,0)</f>
        <v>#REF!</v>
      </c>
      <c r="S9" s="64"/>
      <c r="U9" s="64"/>
    </row>
    <row r="10" spans="2:21" ht="39" x14ac:dyDescent="0.25">
      <c r="B10" s="5">
        <f t="shared" si="0"/>
        <v>7</v>
      </c>
      <c r="C10" s="29" t="s">
        <v>919</v>
      </c>
      <c r="D10" s="6" t="s">
        <v>902</v>
      </c>
      <c r="E10" s="29" t="s">
        <v>920</v>
      </c>
      <c r="F10" s="6">
        <v>800</v>
      </c>
      <c r="G10" s="6" t="s">
        <v>26</v>
      </c>
      <c r="H10" s="6"/>
      <c r="I10" s="6"/>
      <c r="J10" s="6"/>
      <c r="K10" s="7">
        <v>41085</v>
      </c>
      <c r="L10" s="30">
        <v>2097750</v>
      </c>
      <c r="M10" s="30">
        <v>2097750</v>
      </c>
      <c r="N10" s="6" t="s">
        <v>30</v>
      </c>
      <c r="O10" s="31">
        <v>43103</v>
      </c>
      <c r="P10" s="32" t="e">
        <f>VLOOKUP(Table311[[#This Row],[UNIT NO.]],[1]!Table35711[[#Headers],[#Data],[Unit '#]:[Application/Sold/ Unsold]],7,0)</f>
        <v>#REF!</v>
      </c>
      <c r="S10" s="64"/>
    </row>
    <row r="11" spans="2:21" ht="26.25" x14ac:dyDescent="0.25">
      <c r="B11" s="5">
        <f t="shared" si="0"/>
        <v>8</v>
      </c>
      <c r="C11" s="29" t="s">
        <v>917</v>
      </c>
      <c r="D11" s="6" t="s">
        <v>902</v>
      </c>
      <c r="E11" s="29" t="s">
        <v>921</v>
      </c>
      <c r="F11" s="6">
        <v>800</v>
      </c>
      <c r="G11" s="6" t="s">
        <v>26</v>
      </c>
      <c r="H11" s="6"/>
      <c r="I11" s="6"/>
      <c r="J11" s="6"/>
      <c r="K11" s="7">
        <v>40968</v>
      </c>
      <c r="L11" s="30">
        <v>1985750</v>
      </c>
      <c r="M11" s="30">
        <v>1885121</v>
      </c>
      <c r="N11" s="6" t="s">
        <v>30</v>
      </c>
      <c r="O11" s="31">
        <v>43103</v>
      </c>
      <c r="P11" s="32" t="e">
        <f>VLOOKUP(Table311[[#This Row],[UNIT NO.]],[1]!Table35711[[#Headers],[#Data],[Unit '#]:[Application/Sold/ Unsold]],7,0)</f>
        <v>#REF!</v>
      </c>
      <c r="S11" s="64"/>
    </row>
    <row r="12" spans="2:21" ht="39" x14ac:dyDescent="0.25">
      <c r="B12" s="5">
        <f t="shared" si="0"/>
        <v>9</v>
      </c>
      <c r="C12" s="29" t="s">
        <v>922</v>
      </c>
      <c r="D12" s="6" t="s">
        <v>902</v>
      </c>
      <c r="E12" s="29" t="s">
        <v>923</v>
      </c>
      <c r="F12" s="6">
        <v>800</v>
      </c>
      <c r="G12" s="6" t="s">
        <v>26</v>
      </c>
      <c r="H12" s="10"/>
      <c r="I12" s="10"/>
      <c r="J12" s="10"/>
      <c r="K12" s="7">
        <v>40939</v>
      </c>
      <c r="L12" s="30">
        <v>1964750</v>
      </c>
      <c r="M12" s="30">
        <v>1866140</v>
      </c>
      <c r="N12" s="6" t="s">
        <v>165</v>
      </c>
      <c r="O12" s="31">
        <v>43103</v>
      </c>
      <c r="P12" s="32" t="e">
        <f>VLOOKUP(Table311[[#This Row],[UNIT NO.]],[1]!Table35711[[#Headers],[#Data],[Unit '#]:[Application/Sold/ Unsold]],7,0)</f>
        <v>#REF!</v>
      </c>
      <c r="S12" s="64"/>
    </row>
    <row r="13" spans="2:21" ht="26.25" x14ac:dyDescent="0.25">
      <c r="B13" s="5">
        <f t="shared" si="0"/>
        <v>10</v>
      </c>
      <c r="C13" s="29" t="s">
        <v>924</v>
      </c>
      <c r="D13" s="6" t="s">
        <v>902</v>
      </c>
      <c r="E13" s="29" t="s">
        <v>925</v>
      </c>
      <c r="F13" s="6">
        <v>800</v>
      </c>
      <c r="G13" s="6" t="s">
        <v>26</v>
      </c>
      <c r="H13" s="6"/>
      <c r="I13" s="6"/>
      <c r="J13" s="6"/>
      <c r="K13" s="7">
        <v>40939</v>
      </c>
      <c r="L13" s="30">
        <v>1888800</v>
      </c>
      <c r="M13" s="30">
        <v>1888800</v>
      </c>
      <c r="N13" s="6" t="s">
        <v>30</v>
      </c>
      <c r="O13" s="31">
        <v>43103</v>
      </c>
      <c r="P13" s="32" t="e">
        <f>VLOOKUP(Table311[[#This Row],[UNIT NO.]],[1]!Table35711[[#Headers],[#Data],[Unit '#]:[Application/Sold/ Unsold]],7,0)</f>
        <v>#REF!</v>
      </c>
      <c r="S13" s="64"/>
    </row>
    <row r="14" spans="2:21" ht="26.25" x14ac:dyDescent="0.25">
      <c r="B14" s="5">
        <f t="shared" si="0"/>
        <v>11</v>
      </c>
      <c r="C14" s="29" t="s">
        <v>926</v>
      </c>
      <c r="D14" s="6" t="s">
        <v>902</v>
      </c>
      <c r="E14" s="29" t="s">
        <v>927</v>
      </c>
      <c r="F14" s="6">
        <v>800</v>
      </c>
      <c r="G14" s="6" t="s">
        <v>26</v>
      </c>
      <c r="H14" s="6"/>
      <c r="I14" s="6"/>
      <c r="J14" s="6"/>
      <c r="K14" s="7">
        <v>40931</v>
      </c>
      <c r="L14" s="30">
        <v>1880000</v>
      </c>
      <c r="M14" s="30">
        <v>1880000</v>
      </c>
      <c r="N14" s="6" t="s">
        <v>30</v>
      </c>
      <c r="O14" s="31">
        <v>43103</v>
      </c>
      <c r="P14" s="32" t="e">
        <f>VLOOKUP(Table311[[#This Row],[UNIT NO.]],[1]!Table35711[[#Headers],[#Data],[Unit '#]:[Application/Sold/ Unsold]],7,0)</f>
        <v>#REF!</v>
      </c>
      <c r="S14" s="64"/>
    </row>
    <row r="15" spans="2:21" ht="39" x14ac:dyDescent="0.25">
      <c r="B15" s="5">
        <f t="shared" si="0"/>
        <v>12</v>
      </c>
      <c r="C15" s="29" t="s">
        <v>928</v>
      </c>
      <c r="D15" s="6" t="s">
        <v>902</v>
      </c>
      <c r="E15" s="29" t="s">
        <v>929</v>
      </c>
      <c r="F15" s="6">
        <v>800</v>
      </c>
      <c r="G15" s="6" t="s">
        <v>26</v>
      </c>
      <c r="H15" s="6"/>
      <c r="I15" s="6"/>
      <c r="J15" s="6"/>
      <c r="K15" s="7">
        <v>41085</v>
      </c>
      <c r="L15" s="30">
        <v>2097750</v>
      </c>
      <c r="M15" s="30">
        <v>1993001</v>
      </c>
      <c r="N15" s="6" t="s">
        <v>30</v>
      </c>
      <c r="O15" s="31">
        <v>43103</v>
      </c>
      <c r="P15" s="32" t="e">
        <f>VLOOKUP(Table311[[#This Row],[UNIT NO.]],[1]!Table35711[[#Headers],[#Data],[Unit '#]:[Application/Sold/ Unsold]],7,0)</f>
        <v>#REF!</v>
      </c>
      <c r="S15" s="64"/>
    </row>
    <row r="16" spans="2:21" ht="39" x14ac:dyDescent="0.25">
      <c r="B16" s="5">
        <f t="shared" si="0"/>
        <v>13</v>
      </c>
      <c r="C16" s="29" t="s">
        <v>930</v>
      </c>
      <c r="D16" s="6" t="s">
        <v>902</v>
      </c>
      <c r="E16" s="29" t="s">
        <v>931</v>
      </c>
      <c r="F16" s="6">
        <v>800</v>
      </c>
      <c r="G16" s="6" t="s">
        <v>26</v>
      </c>
      <c r="H16" s="6"/>
      <c r="I16" s="6"/>
      <c r="J16" s="6"/>
      <c r="K16" s="7">
        <v>40922</v>
      </c>
      <c r="L16" s="30">
        <v>1849750</v>
      </c>
      <c r="M16" s="30">
        <v>1849750</v>
      </c>
      <c r="N16" s="6" t="s">
        <v>27</v>
      </c>
      <c r="O16" s="31">
        <v>43103</v>
      </c>
      <c r="P16" s="32" t="e">
        <f>VLOOKUP(Table311[[#This Row],[UNIT NO.]],[1]!Table35711[[#Headers],[#Data],[Unit '#]:[Application/Sold/ Unsold]],7,0)</f>
        <v>#REF!</v>
      </c>
      <c r="S16" s="64"/>
    </row>
    <row r="17" spans="2:19" ht="26.25" x14ac:dyDescent="0.25">
      <c r="B17" s="5">
        <f t="shared" si="0"/>
        <v>14</v>
      </c>
      <c r="C17" s="29" t="s">
        <v>932</v>
      </c>
      <c r="D17" s="6" t="s">
        <v>902</v>
      </c>
      <c r="E17" s="29" t="s">
        <v>933</v>
      </c>
      <c r="F17" s="6">
        <v>800</v>
      </c>
      <c r="G17" s="6" t="s">
        <v>26</v>
      </c>
      <c r="H17" s="6"/>
      <c r="I17" s="6"/>
      <c r="J17" s="6"/>
      <c r="K17" s="7">
        <v>41819</v>
      </c>
      <c r="L17" s="30">
        <v>2943750</v>
      </c>
      <c r="M17" s="30">
        <v>2943750</v>
      </c>
      <c r="N17" s="6" t="s">
        <v>165</v>
      </c>
      <c r="O17" s="31">
        <v>43103</v>
      </c>
      <c r="P17" s="32" t="e">
        <f>VLOOKUP(Table311[[#This Row],[UNIT NO.]],[1]!Table35711[[#Headers],[#Data],[Unit '#]:[Application/Sold/ Unsold]],7,0)</f>
        <v>#REF!</v>
      </c>
      <c r="S17" s="64"/>
    </row>
    <row r="18" spans="2:19" ht="26.25" x14ac:dyDescent="0.25">
      <c r="B18" s="5">
        <f t="shared" si="0"/>
        <v>15</v>
      </c>
      <c r="C18" s="29" t="s">
        <v>934</v>
      </c>
      <c r="D18" s="6" t="s">
        <v>902</v>
      </c>
      <c r="E18" s="29" t="s">
        <v>935</v>
      </c>
      <c r="F18" s="6">
        <v>800</v>
      </c>
      <c r="G18" s="6" t="s">
        <v>26</v>
      </c>
      <c r="H18" s="6"/>
      <c r="I18" s="6"/>
      <c r="J18" s="6"/>
      <c r="K18" s="7">
        <v>40939</v>
      </c>
      <c r="L18" s="30">
        <v>2015000</v>
      </c>
      <c r="M18" s="30">
        <v>2014519</v>
      </c>
      <c r="N18" s="6" t="s">
        <v>27</v>
      </c>
      <c r="O18" s="31">
        <v>43103</v>
      </c>
      <c r="P18" s="32" t="e">
        <f>VLOOKUP(Table311[[#This Row],[UNIT NO.]],[1]!Table35711[[#Headers],[#Data],[Unit '#]:[Application/Sold/ Unsold]],7,0)</f>
        <v>#REF!</v>
      </c>
      <c r="S18" s="64"/>
    </row>
    <row r="19" spans="2:19" ht="39" x14ac:dyDescent="0.25">
      <c r="B19" s="5">
        <f t="shared" si="0"/>
        <v>16</v>
      </c>
      <c r="C19" s="29" t="s">
        <v>936</v>
      </c>
      <c r="D19" s="6" t="s">
        <v>902</v>
      </c>
      <c r="E19" s="29" t="s">
        <v>937</v>
      </c>
      <c r="F19" s="6">
        <v>800</v>
      </c>
      <c r="G19" s="6" t="s">
        <v>26</v>
      </c>
      <c r="H19" s="6"/>
      <c r="I19" s="6"/>
      <c r="J19" s="6"/>
      <c r="K19" s="7">
        <v>40940</v>
      </c>
      <c r="L19" s="30">
        <v>1926750</v>
      </c>
      <c r="M19" s="30">
        <v>1912996</v>
      </c>
      <c r="N19" s="6" t="s">
        <v>165</v>
      </c>
      <c r="O19" s="31">
        <v>43103</v>
      </c>
      <c r="P19" s="32" t="e">
        <f>VLOOKUP(Table311[[#This Row],[UNIT NO.]],[1]!Table35711[[#Headers],[#Data],[Unit '#]:[Application/Sold/ Unsold]],7,0)</f>
        <v>#REF!</v>
      </c>
      <c r="S19" s="64"/>
    </row>
    <row r="20" spans="2:19" ht="26.25" x14ac:dyDescent="0.25">
      <c r="B20" s="5">
        <f t="shared" si="0"/>
        <v>17</v>
      </c>
      <c r="C20" s="29" t="s">
        <v>938</v>
      </c>
      <c r="D20" s="6" t="s">
        <v>902</v>
      </c>
      <c r="E20" s="29" t="s">
        <v>939</v>
      </c>
      <c r="F20" s="6">
        <v>800</v>
      </c>
      <c r="G20" s="6" t="s">
        <v>26</v>
      </c>
      <c r="H20" s="6"/>
      <c r="I20" s="6"/>
      <c r="J20" s="6"/>
      <c r="K20" s="7">
        <v>40933</v>
      </c>
      <c r="L20" s="30">
        <v>1850400</v>
      </c>
      <c r="M20" s="30">
        <v>1850400</v>
      </c>
      <c r="N20" s="6" t="s">
        <v>30</v>
      </c>
      <c r="O20" s="31">
        <v>43103</v>
      </c>
      <c r="P20" s="32" t="e">
        <f>VLOOKUP(Table311[[#This Row],[UNIT NO.]],[1]!Table35711[[#Headers],[#Data],[Unit '#]:[Application/Sold/ Unsold]],7,0)</f>
        <v>#REF!</v>
      </c>
      <c r="S20" s="64"/>
    </row>
    <row r="21" spans="2:19" ht="26.25" x14ac:dyDescent="0.25">
      <c r="B21" s="5">
        <f t="shared" si="0"/>
        <v>18</v>
      </c>
      <c r="C21" s="29" t="s">
        <v>940</v>
      </c>
      <c r="D21" s="6" t="s">
        <v>902</v>
      </c>
      <c r="E21" s="29" t="s">
        <v>941</v>
      </c>
      <c r="F21" s="6">
        <v>800</v>
      </c>
      <c r="G21" s="6" t="s">
        <v>26</v>
      </c>
      <c r="H21" s="6"/>
      <c r="I21" s="6"/>
      <c r="J21" s="6"/>
      <c r="K21" s="7">
        <v>41168</v>
      </c>
      <c r="L21" s="30">
        <v>1755000</v>
      </c>
      <c r="M21" s="30">
        <v>1642085</v>
      </c>
      <c r="N21" s="6" t="s">
        <v>27</v>
      </c>
      <c r="O21" s="31">
        <v>43103</v>
      </c>
      <c r="P21" s="32" t="e">
        <f>VLOOKUP(Table311[[#This Row],[UNIT NO.]],[1]!Table35711[[#Headers],[#Data],[Unit '#]:[Application/Sold/ Unsold]],7,0)</f>
        <v>#REF!</v>
      </c>
      <c r="S21" s="64"/>
    </row>
    <row r="22" spans="2:19" ht="26.25" x14ac:dyDescent="0.25">
      <c r="B22" s="5">
        <f t="shared" si="0"/>
        <v>19</v>
      </c>
      <c r="C22" s="29" t="s">
        <v>419</v>
      </c>
      <c r="D22" s="6" t="s">
        <v>902</v>
      </c>
      <c r="E22" s="29" t="s">
        <v>942</v>
      </c>
      <c r="F22" s="6">
        <v>800</v>
      </c>
      <c r="G22" s="6" t="s">
        <v>26</v>
      </c>
      <c r="H22" s="6"/>
      <c r="I22" s="6"/>
      <c r="J22" s="6"/>
      <c r="K22" s="7">
        <v>40929</v>
      </c>
      <c r="L22" s="30">
        <v>1925000</v>
      </c>
      <c r="M22" s="30">
        <v>1054126</v>
      </c>
      <c r="N22" s="6" t="s">
        <v>30</v>
      </c>
      <c r="O22" s="31">
        <v>43103</v>
      </c>
      <c r="P22" s="32" t="e">
        <f>VLOOKUP(Table311[[#This Row],[UNIT NO.]],[1]!Table35711[[#Headers],[#Data],[Unit '#]:[Application/Sold/ Unsold]],7,0)</f>
        <v>#REF!</v>
      </c>
      <c r="S22" s="64"/>
    </row>
    <row r="23" spans="2:19" x14ac:dyDescent="0.25">
      <c r="B23" s="5">
        <f t="shared" si="0"/>
        <v>20</v>
      </c>
      <c r="C23" s="33" t="s">
        <v>943</v>
      </c>
      <c r="D23" s="6" t="s">
        <v>902</v>
      </c>
      <c r="E23" s="33" t="s">
        <v>944</v>
      </c>
      <c r="F23" s="34">
        <v>800</v>
      </c>
      <c r="G23" s="6" t="s">
        <v>113</v>
      </c>
      <c r="H23" s="6"/>
      <c r="I23" s="6"/>
      <c r="J23" s="6"/>
      <c r="K23" s="35">
        <v>42954</v>
      </c>
      <c r="L23" s="36">
        <v>2380000</v>
      </c>
      <c r="M23" s="30">
        <v>2335362</v>
      </c>
      <c r="N23" s="6" t="s">
        <v>27</v>
      </c>
      <c r="O23" s="31">
        <v>43103</v>
      </c>
      <c r="P23" s="32" t="e">
        <f>VLOOKUP(Table311[[#This Row],[UNIT NO.]],[1]!Table35711[[#Headers],[#Data],[Unit '#]:[Application/Sold/ Unsold]],7,0)</f>
        <v>#REF!</v>
      </c>
      <c r="S23" s="64"/>
    </row>
    <row r="24" spans="2:19" ht="39" x14ac:dyDescent="0.25">
      <c r="B24" s="5">
        <f t="shared" si="0"/>
        <v>21</v>
      </c>
      <c r="C24" s="29" t="s">
        <v>945</v>
      </c>
      <c r="D24" s="6" t="s">
        <v>902</v>
      </c>
      <c r="E24" s="29" t="s">
        <v>946</v>
      </c>
      <c r="F24" s="6">
        <v>800</v>
      </c>
      <c r="G24" s="6" t="s">
        <v>26</v>
      </c>
      <c r="H24" s="6"/>
      <c r="I24" s="6"/>
      <c r="J24" s="6"/>
      <c r="K24" s="7">
        <v>41042</v>
      </c>
      <c r="L24" s="30">
        <v>1973625</v>
      </c>
      <c r="M24" s="30">
        <v>1973625</v>
      </c>
      <c r="N24" s="6" t="s">
        <v>27</v>
      </c>
      <c r="O24" s="31">
        <v>43103</v>
      </c>
      <c r="P24" s="32" t="e">
        <f>VLOOKUP(Table311[[#This Row],[UNIT NO.]],[1]!Table35711[[#Headers],[#Data],[Unit '#]:[Application/Sold/ Unsold]],7,0)</f>
        <v>#REF!</v>
      </c>
      <c r="S24" s="64"/>
    </row>
    <row r="25" spans="2:19" ht="26.25" x14ac:dyDescent="0.25">
      <c r="B25" s="5">
        <f t="shared" si="0"/>
        <v>22</v>
      </c>
      <c r="C25" s="29" t="s">
        <v>947</v>
      </c>
      <c r="D25" s="6" t="s">
        <v>902</v>
      </c>
      <c r="E25" s="29" t="s">
        <v>948</v>
      </c>
      <c r="F25" s="6">
        <v>800</v>
      </c>
      <c r="G25" s="6" t="s">
        <v>26</v>
      </c>
      <c r="H25" s="6"/>
      <c r="I25" s="6"/>
      <c r="J25" s="6"/>
      <c r="K25" s="7">
        <v>40968</v>
      </c>
      <c r="L25" s="30">
        <v>1957475</v>
      </c>
      <c r="M25" s="30">
        <v>1957475</v>
      </c>
      <c r="N25" s="6" t="s">
        <v>27</v>
      </c>
      <c r="O25" s="31">
        <v>43103</v>
      </c>
      <c r="P25" s="32" t="e">
        <f>VLOOKUP(Table311[[#This Row],[UNIT NO.]],[1]!Table35711[[#Headers],[#Data],[Unit '#]:[Application/Sold/ Unsold]],7,0)</f>
        <v>#REF!</v>
      </c>
      <c r="S25" s="64"/>
    </row>
    <row r="26" spans="2:19" x14ac:dyDescent="0.25">
      <c r="B26" s="5">
        <f t="shared" si="0"/>
        <v>23</v>
      </c>
      <c r="C26" s="29" t="s">
        <v>949</v>
      </c>
      <c r="D26" s="6" t="s">
        <v>902</v>
      </c>
      <c r="E26" s="29" t="s">
        <v>950</v>
      </c>
      <c r="F26" s="6">
        <v>800</v>
      </c>
      <c r="G26" s="6" t="s">
        <v>26</v>
      </c>
      <c r="H26" s="6"/>
      <c r="I26" s="6"/>
      <c r="J26" s="6"/>
      <c r="K26" s="7">
        <v>41166</v>
      </c>
      <c r="L26" s="30">
        <v>1851750</v>
      </c>
      <c r="M26" s="30">
        <v>1851750</v>
      </c>
      <c r="N26" s="6" t="s">
        <v>46</v>
      </c>
      <c r="O26" s="31">
        <v>43103</v>
      </c>
      <c r="P26" s="32" t="e">
        <f>VLOOKUP(Table311[[#This Row],[UNIT NO.]],[1]!Table35711[[#Headers],[#Data],[Unit '#]:[Application/Sold/ Unsold]],7,0)</f>
        <v>#REF!</v>
      </c>
      <c r="S26" s="64"/>
    </row>
    <row r="27" spans="2:19" x14ac:dyDescent="0.25">
      <c r="B27" s="5">
        <f t="shared" si="0"/>
        <v>24</v>
      </c>
      <c r="C27" s="29" t="s">
        <v>951</v>
      </c>
      <c r="D27" s="6" t="s">
        <v>902</v>
      </c>
      <c r="E27" s="29" t="s">
        <v>952</v>
      </c>
      <c r="F27" s="6">
        <v>800</v>
      </c>
      <c r="G27" s="6" t="s">
        <v>26</v>
      </c>
      <c r="H27" s="6"/>
      <c r="I27" s="6"/>
      <c r="J27" s="6"/>
      <c r="K27" s="7">
        <v>41168</v>
      </c>
      <c r="L27" s="30">
        <v>1775000</v>
      </c>
      <c r="M27" s="30">
        <v>1683910</v>
      </c>
      <c r="N27" s="6" t="s">
        <v>46</v>
      </c>
      <c r="O27" s="31">
        <v>43103</v>
      </c>
      <c r="P27" s="32" t="e">
        <f>VLOOKUP(Table311[[#This Row],[UNIT NO.]],[1]!Table35711[[#Headers],[#Data],[Unit '#]:[Application/Sold/ Unsold]],7,0)</f>
        <v>#REF!</v>
      </c>
      <c r="S27" s="64"/>
    </row>
    <row r="28" spans="2:19" ht="26.25" x14ac:dyDescent="0.25">
      <c r="B28" s="5">
        <f t="shared" si="0"/>
        <v>25</v>
      </c>
      <c r="C28" s="29" t="s">
        <v>953</v>
      </c>
      <c r="D28" s="6" t="s">
        <v>902</v>
      </c>
      <c r="E28" s="29" t="s">
        <v>954</v>
      </c>
      <c r="F28" s="6">
        <v>800</v>
      </c>
      <c r="G28" s="6" t="s">
        <v>26</v>
      </c>
      <c r="H28" s="6"/>
      <c r="I28" s="6"/>
      <c r="J28" s="6"/>
      <c r="K28" s="7">
        <v>41166</v>
      </c>
      <c r="L28" s="30">
        <v>1770000</v>
      </c>
      <c r="M28" s="30">
        <v>1682417</v>
      </c>
      <c r="N28" s="6" t="s">
        <v>955</v>
      </c>
      <c r="O28" s="31">
        <v>43103</v>
      </c>
      <c r="P28" s="32" t="e">
        <f>VLOOKUP(Table311[[#This Row],[UNIT NO.]],[1]!Table35711[[#Headers],[#Data],[Unit '#]:[Application/Sold/ Unsold]],7,0)</f>
        <v>#REF!</v>
      </c>
      <c r="S28" s="64"/>
    </row>
    <row r="29" spans="2:19" ht="26.25" x14ac:dyDescent="0.25">
      <c r="B29" s="5">
        <f t="shared" si="0"/>
        <v>26</v>
      </c>
      <c r="C29" s="29" t="s">
        <v>956</v>
      </c>
      <c r="D29" s="6" t="s">
        <v>902</v>
      </c>
      <c r="E29" s="29" t="s">
        <v>957</v>
      </c>
      <c r="F29" s="6">
        <v>800</v>
      </c>
      <c r="G29" s="6" t="s">
        <v>26</v>
      </c>
      <c r="H29" s="6"/>
      <c r="I29" s="6"/>
      <c r="J29" s="6"/>
      <c r="K29" s="7">
        <v>41168</v>
      </c>
      <c r="L29" s="30">
        <v>1790000</v>
      </c>
      <c r="M29" s="30">
        <v>1478485</v>
      </c>
      <c r="N29" s="6" t="s">
        <v>955</v>
      </c>
      <c r="O29" s="31">
        <v>43103</v>
      </c>
      <c r="P29" s="32" t="e">
        <f>VLOOKUP(Table311[[#This Row],[UNIT NO.]],[1]!Table35711[[#Headers],[#Data],[Unit '#]:[Application/Sold/ Unsold]],7,0)</f>
        <v>#REF!</v>
      </c>
      <c r="S29" s="64"/>
    </row>
    <row r="30" spans="2:19" ht="39" x14ac:dyDescent="0.25">
      <c r="B30" s="5">
        <f t="shared" si="0"/>
        <v>27</v>
      </c>
      <c r="C30" s="29" t="s">
        <v>958</v>
      </c>
      <c r="D30" s="6" t="s">
        <v>902</v>
      </c>
      <c r="E30" s="29" t="s">
        <v>959</v>
      </c>
      <c r="F30" s="6">
        <v>800</v>
      </c>
      <c r="G30" s="6" t="s">
        <v>26</v>
      </c>
      <c r="H30" s="6"/>
      <c r="I30" s="6"/>
      <c r="J30" s="6"/>
      <c r="K30" s="7">
        <v>41168</v>
      </c>
      <c r="L30" s="30">
        <v>1770000</v>
      </c>
      <c r="M30" s="30">
        <v>1770000</v>
      </c>
      <c r="N30" s="6" t="s">
        <v>955</v>
      </c>
      <c r="O30" s="31">
        <v>43103</v>
      </c>
      <c r="P30" s="32" t="e">
        <f>VLOOKUP(Table311[[#This Row],[UNIT NO.]],[1]!Table35711[[#Headers],[#Data],[Unit '#]:[Application/Sold/ Unsold]],7,0)</f>
        <v>#REF!</v>
      </c>
      <c r="S30" s="64"/>
    </row>
    <row r="31" spans="2:19" ht="26.25" x14ac:dyDescent="0.25">
      <c r="B31" s="5">
        <f t="shared" si="0"/>
        <v>28</v>
      </c>
      <c r="C31" s="29" t="s">
        <v>960</v>
      </c>
      <c r="D31" s="6" t="s">
        <v>902</v>
      </c>
      <c r="E31" s="29" t="s">
        <v>961</v>
      </c>
      <c r="F31" s="6">
        <v>800</v>
      </c>
      <c r="G31" s="6" t="s">
        <v>26</v>
      </c>
      <c r="H31" s="6"/>
      <c r="I31" s="6"/>
      <c r="J31" s="6"/>
      <c r="K31" s="7">
        <v>41166</v>
      </c>
      <c r="L31" s="30">
        <v>1775000</v>
      </c>
      <c r="M31" s="30">
        <v>1464371</v>
      </c>
      <c r="N31" s="6" t="s">
        <v>955</v>
      </c>
      <c r="O31" s="31">
        <v>43103</v>
      </c>
      <c r="P31" s="32" t="e">
        <f>VLOOKUP(Table311[[#This Row],[UNIT NO.]],[1]!Table35711[[#Headers],[#Data],[Unit '#]:[Application/Sold/ Unsold]],7,0)</f>
        <v>#REF!</v>
      </c>
      <c r="S31" s="64"/>
    </row>
    <row r="32" spans="2:19" ht="26.25" x14ac:dyDescent="0.25">
      <c r="B32" s="5">
        <f t="shared" si="0"/>
        <v>29</v>
      </c>
      <c r="C32" s="29" t="s">
        <v>962</v>
      </c>
      <c r="D32" s="6" t="s">
        <v>902</v>
      </c>
      <c r="E32" s="29" t="s">
        <v>963</v>
      </c>
      <c r="F32" s="6">
        <v>800</v>
      </c>
      <c r="G32" s="6" t="s">
        <v>26</v>
      </c>
      <c r="H32" s="6"/>
      <c r="I32" s="6"/>
      <c r="J32" s="6"/>
      <c r="K32" s="7">
        <v>41110</v>
      </c>
      <c r="L32" s="30">
        <v>1252300</v>
      </c>
      <c r="M32" s="30">
        <v>1188647</v>
      </c>
      <c r="N32" s="6" t="s">
        <v>30</v>
      </c>
      <c r="O32" s="31">
        <v>43103</v>
      </c>
      <c r="P32" s="32" t="e">
        <f>VLOOKUP(Table311[[#This Row],[UNIT NO.]],[1]!Table35711[[#Headers],[#Data],[Unit '#]:[Application/Sold/ Unsold]],7,0)</f>
        <v>#REF!</v>
      </c>
      <c r="S32" s="64"/>
    </row>
    <row r="33" spans="2:19" ht="26.25" x14ac:dyDescent="0.25">
      <c r="B33" s="5">
        <f t="shared" si="0"/>
        <v>30</v>
      </c>
      <c r="C33" s="29" t="s">
        <v>964</v>
      </c>
      <c r="D33" s="6" t="s">
        <v>902</v>
      </c>
      <c r="E33" s="29" t="s">
        <v>965</v>
      </c>
      <c r="F33" s="6">
        <v>800</v>
      </c>
      <c r="G33" s="6" t="s">
        <v>26</v>
      </c>
      <c r="H33" s="6"/>
      <c r="I33" s="6"/>
      <c r="J33" s="6"/>
      <c r="K33" s="7">
        <v>41166</v>
      </c>
      <c r="L33" s="30">
        <v>1800000</v>
      </c>
      <c r="M33" s="30">
        <v>1800000</v>
      </c>
      <c r="N33" s="6" t="s">
        <v>27</v>
      </c>
      <c r="O33" s="31">
        <v>43103</v>
      </c>
      <c r="P33" s="32" t="e">
        <f>VLOOKUP(Table311[[#This Row],[UNIT NO.]],[1]!Table35711[[#Headers],[#Data],[Unit '#]:[Application/Sold/ Unsold]],7,0)</f>
        <v>#REF!</v>
      </c>
      <c r="S33" s="64"/>
    </row>
    <row r="34" spans="2:19" ht="26.25" x14ac:dyDescent="0.25">
      <c r="B34" s="5">
        <f t="shared" si="0"/>
        <v>31</v>
      </c>
      <c r="C34" s="29" t="s">
        <v>966</v>
      </c>
      <c r="D34" s="6" t="s">
        <v>902</v>
      </c>
      <c r="E34" s="29" t="s">
        <v>967</v>
      </c>
      <c r="F34" s="6">
        <v>800</v>
      </c>
      <c r="G34" s="6" t="s">
        <v>26</v>
      </c>
      <c r="H34" s="6"/>
      <c r="I34" s="6"/>
      <c r="J34" s="6"/>
      <c r="K34" s="7">
        <v>40938</v>
      </c>
      <c r="L34" s="30">
        <v>1810000</v>
      </c>
      <c r="M34" s="30">
        <v>1719422</v>
      </c>
      <c r="N34" s="6" t="s">
        <v>27</v>
      </c>
      <c r="O34" s="31">
        <v>43103</v>
      </c>
      <c r="P34" s="32" t="e">
        <f>VLOOKUP(Table311[[#This Row],[UNIT NO.]],[1]!Table35711[[#Headers],[#Data],[Unit '#]:[Application/Sold/ Unsold]],7,0)</f>
        <v>#REF!</v>
      </c>
      <c r="S34" s="64"/>
    </row>
    <row r="35" spans="2:19" x14ac:dyDescent="0.25">
      <c r="B35" s="5">
        <f t="shared" si="0"/>
        <v>32</v>
      </c>
      <c r="C35" s="33" t="s">
        <v>968</v>
      </c>
      <c r="D35" s="6" t="s">
        <v>902</v>
      </c>
      <c r="E35" s="33" t="s">
        <v>969</v>
      </c>
      <c r="F35" s="34">
        <v>800</v>
      </c>
      <c r="G35" s="6" t="s">
        <v>26</v>
      </c>
      <c r="H35" s="6"/>
      <c r="I35" s="6"/>
      <c r="J35" s="6"/>
      <c r="K35" s="35">
        <v>42870</v>
      </c>
      <c r="L35" s="36">
        <v>2100000</v>
      </c>
      <c r="M35" s="30">
        <v>2100000</v>
      </c>
      <c r="N35" s="6" t="s">
        <v>30</v>
      </c>
      <c r="O35" s="31">
        <v>43103</v>
      </c>
      <c r="P35" s="32" t="e">
        <f>VLOOKUP(Table311[[#This Row],[UNIT NO.]],[1]!Table35711[[#Headers],[#Data],[Unit '#]:[Application/Sold/ Unsold]],7,0)</f>
        <v>#REF!</v>
      </c>
      <c r="S35" s="64"/>
    </row>
    <row r="36" spans="2:19" ht="26.25" x14ac:dyDescent="0.25">
      <c r="B36" s="5">
        <f t="shared" si="0"/>
        <v>33</v>
      </c>
      <c r="C36" s="29" t="s">
        <v>970</v>
      </c>
      <c r="D36" s="6" t="s">
        <v>902</v>
      </c>
      <c r="E36" s="29" t="s">
        <v>971</v>
      </c>
      <c r="F36" s="6">
        <v>800</v>
      </c>
      <c r="G36" s="6" t="s">
        <v>26</v>
      </c>
      <c r="H36" s="6"/>
      <c r="I36" s="6"/>
      <c r="J36" s="6"/>
      <c r="K36" s="7">
        <v>40968</v>
      </c>
      <c r="L36" s="30">
        <v>1849000</v>
      </c>
      <c r="M36" s="30">
        <v>1849000</v>
      </c>
      <c r="N36" s="6" t="s">
        <v>144</v>
      </c>
      <c r="O36" s="31">
        <v>43103</v>
      </c>
      <c r="P36" s="32" t="e">
        <f>VLOOKUP(Table311[[#This Row],[UNIT NO.]],[1]!Table35711[[#Headers],[#Data],[Unit '#]:[Application/Sold/ Unsold]],7,0)</f>
        <v>#REF!</v>
      </c>
      <c r="S36" s="64"/>
    </row>
    <row r="37" spans="2:19" ht="39" x14ac:dyDescent="0.25">
      <c r="B37" s="5">
        <f t="shared" si="0"/>
        <v>34</v>
      </c>
      <c r="C37" s="29" t="s">
        <v>972</v>
      </c>
      <c r="D37" s="6" t="s">
        <v>902</v>
      </c>
      <c r="E37" s="29" t="s">
        <v>973</v>
      </c>
      <c r="F37" s="6">
        <v>800</v>
      </c>
      <c r="G37" s="6" t="s">
        <v>26</v>
      </c>
      <c r="H37" s="6"/>
      <c r="I37" s="6"/>
      <c r="J37" s="6"/>
      <c r="K37" s="7">
        <v>40968</v>
      </c>
      <c r="L37" s="30">
        <v>1859000</v>
      </c>
      <c r="M37" s="30">
        <v>1859000</v>
      </c>
      <c r="N37" s="6" t="s">
        <v>39</v>
      </c>
      <c r="O37" s="31">
        <v>43103</v>
      </c>
      <c r="P37" s="32" t="e">
        <f>VLOOKUP(Table311[[#This Row],[UNIT NO.]],[1]!Table35711[[#Headers],[#Data],[Unit '#]:[Application/Sold/ Unsold]],7,0)</f>
        <v>#REF!</v>
      </c>
      <c r="S37" s="64"/>
    </row>
    <row r="38" spans="2:19" ht="26.25" x14ac:dyDescent="0.25">
      <c r="B38" s="5">
        <f t="shared" si="0"/>
        <v>35</v>
      </c>
      <c r="C38" s="29" t="s">
        <v>974</v>
      </c>
      <c r="D38" s="6" t="s">
        <v>902</v>
      </c>
      <c r="E38" s="29" t="s">
        <v>975</v>
      </c>
      <c r="F38" s="6">
        <v>800</v>
      </c>
      <c r="G38" s="6" t="s">
        <v>26</v>
      </c>
      <c r="H38" s="6"/>
      <c r="I38" s="6"/>
      <c r="J38" s="6"/>
      <c r="K38" s="7">
        <v>40943</v>
      </c>
      <c r="L38" s="30">
        <v>1810000</v>
      </c>
      <c r="M38" s="30">
        <v>1719500</v>
      </c>
      <c r="N38" s="6" t="s">
        <v>27</v>
      </c>
      <c r="O38" s="31">
        <v>43103</v>
      </c>
      <c r="P38" s="32" t="e">
        <f>VLOOKUP(Table311[[#This Row],[UNIT NO.]],[1]!Table35711[[#Headers],[#Data],[Unit '#]:[Application/Sold/ Unsold]],7,0)</f>
        <v>#REF!</v>
      </c>
      <c r="S38" s="64"/>
    </row>
    <row r="39" spans="2:19" x14ac:dyDescent="0.25">
      <c r="B39" s="5">
        <f t="shared" si="0"/>
        <v>36</v>
      </c>
      <c r="C39" s="29" t="s">
        <v>976</v>
      </c>
      <c r="D39" s="6" t="s">
        <v>902</v>
      </c>
      <c r="E39" s="29" t="s">
        <v>977</v>
      </c>
      <c r="F39" s="6">
        <v>800</v>
      </c>
      <c r="G39" s="6" t="s">
        <v>26</v>
      </c>
      <c r="H39" s="6"/>
      <c r="I39" s="6"/>
      <c r="J39" s="6"/>
      <c r="K39" s="7">
        <v>41080</v>
      </c>
      <c r="L39" s="30">
        <v>2030775</v>
      </c>
      <c r="M39" s="30">
        <v>2030775</v>
      </c>
      <c r="N39" s="6" t="s">
        <v>955</v>
      </c>
      <c r="O39" s="31">
        <v>43103</v>
      </c>
      <c r="P39" s="32" t="e">
        <f>VLOOKUP(Table311[[#This Row],[UNIT NO.]],[1]!Table35711[[#Headers],[#Data],[Unit '#]:[Application/Sold/ Unsold]],7,0)</f>
        <v>#REF!</v>
      </c>
      <c r="S39" s="64"/>
    </row>
    <row r="40" spans="2:19" ht="39" x14ac:dyDescent="0.25">
      <c r="B40" s="5">
        <f t="shared" si="0"/>
        <v>37</v>
      </c>
      <c r="C40" s="29" t="s">
        <v>978</v>
      </c>
      <c r="D40" s="6" t="s">
        <v>902</v>
      </c>
      <c r="E40" s="29" t="s">
        <v>979</v>
      </c>
      <c r="F40" s="6">
        <v>800</v>
      </c>
      <c r="G40" s="6" t="s">
        <v>26</v>
      </c>
      <c r="H40" s="6"/>
      <c r="I40" s="6"/>
      <c r="J40" s="6"/>
      <c r="K40" s="7">
        <v>40941</v>
      </c>
      <c r="L40" s="30">
        <v>1832000</v>
      </c>
      <c r="M40" s="30">
        <v>1739252</v>
      </c>
      <c r="N40" s="6" t="s">
        <v>144</v>
      </c>
      <c r="O40" s="31">
        <v>43103</v>
      </c>
      <c r="P40" s="32" t="e">
        <f>VLOOKUP(Table311[[#This Row],[UNIT NO.]],[1]!Table35711[[#Headers],[#Data],[Unit '#]:[Application/Sold/ Unsold]],7,0)</f>
        <v>#REF!</v>
      </c>
      <c r="S40" s="64"/>
    </row>
    <row r="41" spans="2:19" ht="26.25" x14ac:dyDescent="0.25">
      <c r="B41" s="5">
        <f t="shared" si="0"/>
        <v>38</v>
      </c>
      <c r="C41" s="29" t="s">
        <v>980</v>
      </c>
      <c r="D41" s="6" t="s">
        <v>902</v>
      </c>
      <c r="E41" s="29" t="s">
        <v>981</v>
      </c>
      <c r="F41" s="6">
        <v>800</v>
      </c>
      <c r="G41" s="6" t="s">
        <v>26</v>
      </c>
      <c r="H41" s="6"/>
      <c r="I41" s="6"/>
      <c r="J41" s="6"/>
      <c r="K41" s="7">
        <v>41832</v>
      </c>
      <c r="L41" s="30">
        <v>2857750</v>
      </c>
      <c r="M41" s="30">
        <v>2857750</v>
      </c>
      <c r="N41" s="6" t="s">
        <v>165</v>
      </c>
      <c r="O41" s="31">
        <v>43103</v>
      </c>
      <c r="P41" s="32" t="e">
        <f>VLOOKUP(Table311[[#This Row],[UNIT NO.]],[1]!Table35711[[#Headers],[#Data],[Unit '#]:[Application/Sold/ Unsold]],7,0)</f>
        <v>#REF!</v>
      </c>
      <c r="S41" s="64"/>
    </row>
    <row r="42" spans="2:19" ht="26.25" x14ac:dyDescent="0.25">
      <c r="B42" s="5">
        <f t="shared" si="0"/>
        <v>39</v>
      </c>
      <c r="C42" s="29" t="s">
        <v>982</v>
      </c>
      <c r="D42" s="6" t="s">
        <v>902</v>
      </c>
      <c r="E42" s="29" t="s">
        <v>983</v>
      </c>
      <c r="F42" s="6">
        <v>800</v>
      </c>
      <c r="G42" s="6" t="s">
        <v>26</v>
      </c>
      <c r="H42" s="6"/>
      <c r="I42" s="6"/>
      <c r="J42" s="6"/>
      <c r="K42" s="7">
        <v>40922</v>
      </c>
      <c r="L42" s="30">
        <v>1780000</v>
      </c>
      <c r="M42" s="30">
        <v>1780000</v>
      </c>
      <c r="N42" s="6" t="s">
        <v>984</v>
      </c>
      <c r="O42" s="31">
        <v>43103</v>
      </c>
      <c r="P42" s="32" t="e">
        <f>VLOOKUP(Table311[[#This Row],[UNIT NO.]],[1]!Table35711[[#Headers],[#Data],[Unit '#]:[Application/Sold/ Unsold]],7,0)</f>
        <v>#REF!</v>
      </c>
      <c r="S42" s="64"/>
    </row>
    <row r="43" spans="2:19" x14ac:dyDescent="0.25">
      <c r="B43" s="5">
        <f t="shared" si="0"/>
        <v>40</v>
      </c>
      <c r="C43" s="29" t="s">
        <v>985</v>
      </c>
      <c r="D43" s="6" t="s">
        <v>902</v>
      </c>
      <c r="E43" s="29" t="s">
        <v>986</v>
      </c>
      <c r="F43" s="6">
        <v>800</v>
      </c>
      <c r="G43" s="6" t="s">
        <v>26</v>
      </c>
      <c r="H43" s="6"/>
      <c r="I43" s="6"/>
      <c r="J43" s="6"/>
      <c r="K43" s="7">
        <v>40943</v>
      </c>
      <c r="L43" s="30">
        <v>1885000</v>
      </c>
      <c r="M43" s="30">
        <v>1885000</v>
      </c>
      <c r="N43" s="6" t="s">
        <v>27</v>
      </c>
      <c r="O43" s="31">
        <v>43103</v>
      </c>
      <c r="P43" s="32" t="e">
        <f>VLOOKUP(Table311[[#This Row],[UNIT NO.]],[1]!Table35711[[#Headers],[#Data],[Unit '#]:[Application/Sold/ Unsold]],7,0)</f>
        <v>#REF!</v>
      </c>
      <c r="S43" s="64"/>
    </row>
    <row r="44" spans="2:19" ht="39" x14ac:dyDescent="0.25">
      <c r="B44" s="5">
        <f t="shared" si="0"/>
        <v>41</v>
      </c>
      <c r="C44" s="29" t="s">
        <v>987</v>
      </c>
      <c r="D44" s="6" t="s">
        <v>902</v>
      </c>
      <c r="E44" s="29" t="s">
        <v>988</v>
      </c>
      <c r="F44" s="6">
        <v>800</v>
      </c>
      <c r="G44" s="6" t="s">
        <v>26</v>
      </c>
      <c r="H44" s="6"/>
      <c r="I44" s="6"/>
      <c r="J44" s="6"/>
      <c r="K44" s="7">
        <v>40922</v>
      </c>
      <c r="L44" s="30">
        <v>1780000</v>
      </c>
      <c r="M44" s="30">
        <v>1780000</v>
      </c>
      <c r="N44" s="6" t="s">
        <v>30</v>
      </c>
      <c r="O44" s="31">
        <v>43103</v>
      </c>
      <c r="P44" s="32" t="e">
        <f>VLOOKUP(Table311[[#This Row],[UNIT NO.]],[1]!Table35711[[#Headers],[#Data],[Unit '#]:[Application/Sold/ Unsold]],7,0)</f>
        <v>#REF!</v>
      </c>
      <c r="S44" s="64"/>
    </row>
    <row r="45" spans="2:19" x14ac:dyDescent="0.25">
      <c r="B45" s="5">
        <f t="shared" si="0"/>
        <v>42</v>
      </c>
      <c r="C45" s="29" t="s">
        <v>989</v>
      </c>
      <c r="D45" s="6" t="s">
        <v>902</v>
      </c>
      <c r="E45" s="29" t="s">
        <v>990</v>
      </c>
      <c r="F45" s="6">
        <v>800</v>
      </c>
      <c r="G45" s="6" t="s">
        <v>26</v>
      </c>
      <c r="H45" s="6"/>
      <c r="I45" s="6"/>
      <c r="J45" s="6"/>
      <c r="K45" s="7">
        <v>41166</v>
      </c>
      <c r="L45" s="30">
        <v>1866750</v>
      </c>
      <c r="M45" s="30">
        <v>1866750</v>
      </c>
      <c r="N45" s="6" t="s">
        <v>27</v>
      </c>
      <c r="O45" s="31">
        <v>43103</v>
      </c>
      <c r="P45" s="32" t="e">
        <f>VLOOKUP(Table311[[#This Row],[UNIT NO.]],[1]!Table35711[[#Headers],[#Data],[Unit '#]:[Application/Sold/ Unsold]],7,0)</f>
        <v>#REF!</v>
      </c>
      <c r="S45" s="64"/>
    </row>
    <row r="46" spans="2:19" ht="26.25" x14ac:dyDescent="0.25">
      <c r="B46" s="5">
        <f t="shared" si="0"/>
        <v>43</v>
      </c>
      <c r="C46" s="29" t="s">
        <v>991</v>
      </c>
      <c r="D46" s="6" t="s">
        <v>902</v>
      </c>
      <c r="E46" s="29" t="s">
        <v>992</v>
      </c>
      <c r="F46" s="6">
        <v>800</v>
      </c>
      <c r="G46" s="6" t="s">
        <v>26</v>
      </c>
      <c r="H46" s="6"/>
      <c r="I46" s="6"/>
      <c r="J46" s="6"/>
      <c r="K46" s="7">
        <v>41168</v>
      </c>
      <c r="L46" s="30">
        <v>1876825</v>
      </c>
      <c r="M46" s="30">
        <v>1876825</v>
      </c>
      <c r="N46" s="6" t="s">
        <v>30</v>
      </c>
      <c r="O46" s="31">
        <v>43103</v>
      </c>
      <c r="P46" s="32" t="e">
        <f>VLOOKUP(Table311[[#This Row],[UNIT NO.]],[1]!Table35711[[#Headers],[#Data],[Unit '#]:[Application/Sold/ Unsold]],7,0)</f>
        <v>#REF!</v>
      </c>
      <c r="S46" s="64"/>
    </row>
    <row r="47" spans="2:19" ht="39" x14ac:dyDescent="0.25">
      <c r="B47" s="5">
        <f t="shared" si="0"/>
        <v>44</v>
      </c>
      <c r="C47" s="29" t="s">
        <v>993</v>
      </c>
      <c r="D47" s="6" t="s">
        <v>902</v>
      </c>
      <c r="E47" s="29" t="s">
        <v>994</v>
      </c>
      <c r="F47" s="6">
        <v>800</v>
      </c>
      <c r="G47" s="6" t="s">
        <v>26</v>
      </c>
      <c r="H47" s="6"/>
      <c r="I47" s="6"/>
      <c r="J47" s="6"/>
      <c r="K47" s="7">
        <v>40940</v>
      </c>
      <c r="L47" s="30">
        <v>1850750</v>
      </c>
      <c r="M47" s="30">
        <v>1850750</v>
      </c>
      <c r="N47" s="6" t="s">
        <v>165</v>
      </c>
      <c r="O47" s="31">
        <v>43103</v>
      </c>
      <c r="P47" s="32" t="e">
        <f>VLOOKUP(Table311[[#This Row],[UNIT NO.]],[1]!Table35711[[#Headers],[#Data],[Unit '#]:[Application/Sold/ Unsold]],7,0)</f>
        <v>#REF!</v>
      </c>
      <c r="S47" s="64"/>
    </row>
    <row r="48" spans="2:19" ht="39" x14ac:dyDescent="0.25">
      <c r="B48" s="5">
        <f t="shared" si="0"/>
        <v>45</v>
      </c>
      <c r="C48" s="29" t="s">
        <v>995</v>
      </c>
      <c r="D48" s="6" t="s">
        <v>902</v>
      </c>
      <c r="E48" s="29" t="s">
        <v>996</v>
      </c>
      <c r="F48" s="6">
        <v>800</v>
      </c>
      <c r="G48" s="6" t="s">
        <v>26</v>
      </c>
      <c r="H48" s="6"/>
      <c r="I48" s="6"/>
      <c r="J48" s="6"/>
      <c r="K48" s="7">
        <v>41168</v>
      </c>
      <c r="L48" s="30">
        <v>1765000</v>
      </c>
      <c r="M48" s="30">
        <v>1765000</v>
      </c>
      <c r="N48" s="6" t="s">
        <v>27</v>
      </c>
      <c r="O48" s="31">
        <v>43103</v>
      </c>
      <c r="P48" s="32" t="e">
        <f>VLOOKUP(Table311[[#This Row],[UNIT NO.]],[1]!Table35711[[#Headers],[#Data],[Unit '#]:[Application/Sold/ Unsold]],7,0)</f>
        <v>#REF!</v>
      </c>
      <c r="S48" s="64"/>
    </row>
    <row r="49" spans="2:19" ht="26.25" x14ac:dyDescent="0.25">
      <c r="B49" s="5">
        <f t="shared" si="0"/>
        <v>46</v>
      </c>
      <c r="C49" s="29" t="s">
        <v>997</v>
      </c>
      <c r="D49" s="6" t="s">
        <v>902</v>
      </c>
      <c r="E49" s="29" t="s">
        <v>998</v>
      </c>
      <c r="F49" s="6">
        <v>800</v>
      </c>
      <c r="G49" s="6" t="s">
        <v>26</v>
      </c>
      <c r="H49" s="6"/>
      <c r="I49" s="6"/>
      <c r="J49" s="6"/>
      <c r="K49" s="7">
        <v>41166</v>
      </c>
      <c r="L49" s="30">
        <v>1730000</v>
      </c>
      <c r="M49" s="30">
        <v>1730000</v>
      </c>
      <c r="N49" s="6" t="s">
        <v>27</v>
      </c>
      <c r="O49" s="31">
        <v>43103</v>
      </c>
      <c r="P49" s="32" t="e">
        <f>VLOOKUP(Table311[[#This Row],[UNIT NO.]],[1]!Table35711[[#Headers],[#Data],[Unit '#]:[Application/Sold/ Unsold]],7,0)</f>
        <v>#REF!</v>
      </c>
      <c r="S49" s="64"/>
    </row>
    <row r="50" spans="2:19" ht="39" x14ac:dyDescent="0.25">
      <c r="B50" s="5">
        <f t="shared" si="0"/>
        <v>47</v>
      </c>
      <c r="C50" s="29" t="s">
        <v>999</v>
      </c>
      <c r="D50" s="6" t="s">
        <v>902</v>
      </c>
      <c r="E50" s="29" t="s">
        <v>1000</v>
      </c>
      <c r="F50" s="6">
        <v>800</v>
      </c>
      <c r="G50" s="6" t="s">
        <v>26</v>
      </c>
      <c r="H50" s="6"/>
      <c r="I50" s="6"/>
      <c r="J50" s="6"/>
      <c r="K50" s="7">
        <v>40938</v>
      </c>
      <c r="L50" s="30">
        <v>1845000</v>
      </c>
      <c r="M50" s="30">
        <v>1845000</v>
      </c>
      <c r="N50" s="6" t="s">
        <v>30</v>
      </c>
      <c r="O50" s="31">
        <v>43103</v>
      </c>
      <c r="P50" s="32" t="e">
        <f>VLOOKUP(Table311[[#This Row],[UNIT NO.]],[1]!Table35711[[#Headers],[#Data],[Unit '#]:[Application/Sold/ Unsold]],7,0)</f>
        <v>#REF!</v>
      </c>
      <c r="S50" s="64"/>
    </row>
    <row r="51" spans="2:19" ht="26.25" x14ac:dyDescent="0.25">
      <c r="B51" s="5">
        <f t="shared" si="0"/>
        <v>48</v>
      </c>
      <c r="C51" s="29" t="s">
        <v>1001</v>
      </c>
      <c r="D51" s="6" t="s">
        <v>902</v>
      </c>
      <c r="E51" s="29" t="s">
        <v>1002</v>
      </c>
      <c r="F51" s="6">
        <v>800</v>
      </c>
      <c r="G51" s="6" t="s">
        <v>26</v>
      </c>
      <c r="H51" s="6"/>
      <c r="I51" s="6"/>
      <c r="J51" s="6"/>
      <c r="K51" s="7">
        <v>41166</v>
      </c>
      <c r="L51" s="30">
        <v>1735750</v>
      </c>
      <c r="M51" s="30">
        <v>1650056</v>
      </c>
      <c r="N51" s="6" t="s">
        <v>46</v>
      </c>
      <c r="O51" s="31">
        <v>43103</v>
      </c>
      <c r="P51" s="32" t="e">
        <f>VLOOKUP(Table311[[#This Row],[UNIT NO.]],[1]!Table35711[[#Headers],[#Data],[Unit '#]:[Application/Sold/ Unsold]],7,0)</f>
        <v>#REF!</v>
      </c>
      <c r="S51" s="64"/>
    </row>
    <row r="52" spans="2:19" ht="26.25" x14ac:dyDescent="0.25">
      <c r="B52" s="5">
        <f t="shared" si="0"/>
        <v>49</v>
      </c>
      <c r="C52" s="29" t="s">
        <v>1003</v>
      </c>
      <c r="D52" s="6" t="s">
        <v>902</v>
      </c>
      <c r="E52" s="29" t="s">
        <v>1004</v>
      </c>
      <c r="F52" s="6">
        <v>800</v>
      </c>
      <c r="G52" s="6" t="s">
        <v>26</v>
      </c>
      <c r="H52" s="6"/>
      <c r="I52" s="6"/>
      <c r="J52" s="6"/>
      <c r="K52" s="7">
        <v>41166</v>
      </c>
      <c r="L52" s="30">
        <v>1809300</v>
      </c>
      <c r="M52" s="30">
        <v>1717361</v>
      </c>
      <c r="N52" s="6" t="s">
        <v>30</v>
      </c>
      <c r="O52" s="31">
        <v>43103</v>
      </c>
      <c r="P52" s="32" t="e">
        <f>VLOOKUP(Table311[[#This Row],[UNIT NO.]],[1]!Table35711[[#Headers],[#Data],[Unit '#]:[Application/Sold/ Unsold]],7,0)</f>
        <v>#REF!</v>
      </c>
      <c r="S52" s="64"/>
    </row>
    <row r="53" spans="2:19" ht="39" x14ac:dyDescent="0.25">
      <c r="B53" s="5">
        <f t="shared" si="0"/>
        <v>50</v>
      </c>
      <c r="C53" s="29" t="s">
        <v>1005</v>
      </c>
      <c r="D53" s="6" t="s">
        <v>902</v>
      </c>
      <c r="E53" s="29" t="s">
        <v>1006</v>
      </c>
      <c r="F53" s="6">
        <v>800</v>
      </c>
      <c r="G53" s="6" t="s">
        <v>26</v>
      </c>
      <c r="H53" s="6"/>
      <c r="I53" s="6"/>
      <c r="J53" s="6"/>
      <c r="K53" s="7">
        <v>41089</v>
      </c>
      <c r="L53" s="30">
        <v>2125000</v>
      </c>
      <c r="M53" s="30">
        <v>2017855</v>
      </c>
      <c r="N53" s="6" t="s">
        <v>30</v>
      </c>
      <c r="O53" s="31">
        <v>43103</v>
      </c>
      <c r="P53" s="32" t="e">
        <f>VLOOKUP(Table311[[#This Row],[UNIT NO.]],[1]!Table35711[[#Headers],[#Data],[Unit '#]:[Application/Sold/ Unsold]],7,0)</f>
        <v>#REF!</v>
      </c>
      <c r="S53" s="64"/>
    </row>
    <row r="54" spans="2:19" ht="39" x14ac:dyDescent="0.25">
      <c r="B54" s="5">
        <f t="shared" si="0"/>
        <v>51</v>
      </c>
      <c r="C54" s="29" t="s">
        <v>1005</v>
      </c>
      <c r="D54" s="6" t="s">
        <v>902</v>
      </c>
      <c r="E54" s="29" t="s">
        <v>1007</v>
      </c>
      <c r="F54" s="6">
        <v>800</v>
      </c>
      <c r="G54" s="6" t="s">
        <v>26</v>
      </c>
      <c r="H54" s="6"/>
      <c r="I54" s="6"/>
      <c r="J54" s="6"/>
      <c r="K54" s="7">
        <v>41166</v>
      </c>
      <c r="L54" s="30">
        <v>2105000</v>
      </c>
      <c r="M54" s="30">
        <v>1999035</v>
      </c>
      <c r="N54" s="6" t="s">
        <v>30</v>
      </c>
      <c r="O54" s="31">
        <v>43103</v>
      </c>
      <c r="P54" s="32" t="e">
        <f>VLOOKUP(Table311[[#This Row],[UNIT NO.]],[1]!Table35711[[#Headers],[#Data],[Unit '#]:[Application/Sold/ Unsold]],7,0)</f>
        <v>#REF!</v>
      </c>
      <c r="S54" s="64"/>
    </row>
    <row r="55" spans="2:19" ht="26.25" x14ac:dyDescent="0.25">
      <c r="B55" s="5">
        <f t="shared" si="0"/>
        <v>52</v>
      </c>
      <c r="C55" s="29" t="s">
        <v>1008</v>
      </c>
      <c r="D55" s="6" t="s">
        <v>902</v>
      </c>
      <c r="E55" s="29" t="s">
        <v>1009</v>
      </c>
      <c r="F55" s="6">
        <v>800</v>
      </c>
      <c r="G55" s="6" t="s">
        <v>26</v>
      </c>
      <c r="H55" s="6"/>
      <c r="I55" s="6"/>
      <c r="J55" s="6"/>
      <c r="K55" s="7">
        <v>40938</v>
      </c>
      <c r="L55" s="30">
        <v>1809300</v>
      </c>
      <c r="M55" s="30">
        <v>1713663</v>
      </c>
      <c r="N55" s="6" t="s">
        <v>27</v>
      </c>
      <c r="O55" s="31">
        <v>43103</v>
      </c>
      <c r="P55" s="32" t="e">
        <f>VLOOKUP(Table311[[#This Row],[UNIT NO.]],[1]!Table35711[[#Headers],[#Data],[Unit '#]:[Application/Sold/ Unsold]],7,0)</f>
        <v>#REF!</v>
      </c>
      <c r="S55" s="64"/>
    </row>
    <row r="56" spans="2:19" ht="26.25" x14ac:dyDescent="0.25">
      <c r="B56" s="5">
        <f t="shared" si="0"/>
        <v>53</v>
      </c>
      <c r="C56" s="29" t="s">
        <v>1010</v>
      </c>
      <c r="D56" s="6" t="s">
        <v>902</v>
      </c>
      <c r="E56" s="29" t="s">
        <v>1011</v>
      </c>
      <c r="F56" s="6">
        <v>800</v>
      </c>
      <c r="G56" s="6" t="s">
        <v>26</v>
      </c>
      <c r="H56" s="6"/>
      <c r="I56" s="6"/>
      <c r="J56" s="6"/>
      <c r="K56" s="7">
        <v>41166</v>
      </c>
      <c r="L56" s="30">
        <v>1748000</v>
      </c>
      <c r="M56" s="30">
        <v>1748000</v>
      </c>
      <c r="N56" s="6" t="s">
        <v>30</v>
      </c>
      <c r="O56" s="31">
        <v>43103</v>
      </c>
      <c r="P56" s="32" t="e">
        <f>VLOOKUP(Table311[[#This Row],[UNIT NO.]],[1]!Table35711[[#Headers],[#Data],[Unit '#]:[Application/Sold/ Unsold]],7,0)</f>
        <v>#REF!</v>
      </c>
      <c r="S56" s="64"/>
    </row>
    <row r="57" spans="2:19" x14ac:dyDescent="0.25">
      <c r="B57" s="5">
        <f t="shared" si="0"/>
        <v>54</v>
      </c>
      <c r="C57" s="29" t="s">
        <v>1012</v>
      </c>
      <c r="D57" s="6" t="s">
        <v>902</v>
      </c>
      <c r="E57" s="29" t="s">
        <v>1013</v>
      </c>
      <c r="F57" s="6">
        <v>800</v>
      </c>
      <c r="G57" s="6" t="s">
        <v>26</v>
      </c>
      <c r="H57" s="6"/>
      <c r="I57" s="6"/>
      <c r="J57" s="6"/>
      <c r="K57" s="7">
        <v>40938</v>
      </c>
      <c r="L57" s="30">
        <v>1809300</v>
      </c>
      <c r="M57" s="30">
        <v>1809300</v>
      </c>
      <c r="N57" s="6" t="s">
        <v>30</v>
      </c>
      <c r="O57" s="31">
        <v>43103</v>
      </c>
      <c r="P57" s="32" t="e">
        <f>VLOOKUP(Table311[[#This Row],[UNIT NO.]],[1]!Table35711[[#Headers],[#Data],[Unit '#]:[Application/Sold/ Unsold]],7,0)</f>
        <v>#REF!</v>
      </c>
      <c r="S57" s="64"/>
    </row>
    <row r="58" spans="2:19" ht="26.25" x14ac:dyDescent="0.25">
      <c r="B58" s="5">
        <f t="shared" si="0"/>
        <v>55</v>
      </c>
      <c r="C58" s="29" t="s">
        <v>1014</v>
      </c>
      <c r="D58" s="6" t="s">
        <v>902</v>
      </c>
      <c r="E58" s="29" t="s">
        <v>1015</v>
      </c>
      <c r="F58" s="6">
        <v>800</v>
      </c>
      <c r="G58" s="6" t="s">
        <v>26</v>
      </c>
      <c r="H58" s="6"/>
      <c r="I58" s="6"/>
      <c r="J58" s="6"/>
      <c r="K58" s="7">
        <v>40926</v>
      </c>
      <c r="L58" s="30">
        <v>1740000</v>
      </c>
      <c r="M58" s="30">
        <v>1623068</v>
      </c>
      <c r="N58" s="6" t="s">
        <v>27</v>
      </c>
      <c r="O58" s="31">
        <v>43103</v>
      </c>
      <c r="P58" s="32" t="e">
        <f>VLOOKUP(Table311[[#This Row],[UNIT NO.]],[1]!Table35711[[#Headers],[#Data],[Unit '#]:[Application/Sold/ Unsold]],7,0)</f>
        <v>#REF!</v>
      </c>
      <c r="S58" s="64"/>
    </row>
    <row r="59" spans="2:19" ht="26.25" x14ac:dyDescent="0.25">
      <c r="B59" s="5">
        <f t="shared" si="0"/>
        <v>56</v>
      </c>
      <c r="C59" s="29" t="s">
        <v>1016</v>
      </c>
      <c r="D59" s="6" t="s">
        <v>902</v>
      </c>
      <c r="E59" s="29" t="s">
        <v>1017</v>
      </c>
      <c r="F59" s="6">
        <v>800</v>
      </c>
      <c r="G59" s="6" t="s">
        <v>26</v>
      </c>
      <c r="H59" s="6"/>
      <c r="I59" s="6"/>
      <c r="J59" s="6"/>
      <c r="K59" s="7">
        <v>41166</v>
      </c>
      <c r="L59" s="30">
        <v>1760000</v>
      </c>
      <c r="M59" s="30">
        <v>1760000</v>
      </c>
      <c r="N59" s="6" t="s">
        <v>39</v>
      </c>
      <c r="O59" s="31">
        <v>43103</v>
      </c>
      <c r="P59" s="32" t="e">
        <f>VLOOKUP(Table311[[#This Row],[UNIT NO.]],[1]!Table35711[[#Headers],[#Data],[Unit '#]:[Application/Sold/ Unsold]],7,0)</f>
        <v>#REF!</v>
      </c>
      <c r="S59" s="64"/>
    </row>
    <row r="60" spans="2:19" ht="39" x14ac:dyDescent="0.25">
      <c r="B60" s="5">
        <f t="shared" si="0"/>
        <v>57</v>
      </c>
      <c r="C60" s="29" t="s">
        <v>1018</v>
      </c>
      <c r="D60" s="6" t="s">
        <v>902</v>
      </c>
      <c r="E60" s="29" t="s">
        <v>1019</v>
      </c>
      <c r="F60" s="6">
        <v>800</v>
      </c>
      <c r="G60" s="6" t="s">
        <v>26</v>
      </c>
      <c r="H60" s="6"/>
      <c r="I60" s="6"/>
      <c r="J60" s="6"/>
      <c r="K60" s="7">
        <v>41181</v>
      </c>
      <c r="L60" s="30">
        <v>2127025</v>
      </c>
      <c r="M60" s="30">
        <v>2127025</v>
      </c>
      <c r="N60" s="6" t="s">
        <v>27</v>
      </c>
      <c r="O60" s="31">
        <v>43103</v>
      </c>
      <c r="P60" s="32" t="e">
        <f>VLOOKUP(Table311[[#This Row],[UNIT NO.]],[1]!Table35711[[#Headers],[#Data],[Unit '#]:[Application/Sold/ Unsold]],7,0)</f>
        <v>#REF!</v>
      </c>
      <c r="S60" s="64"/>
    </row>
    <row r="61" spans="2:19" ht="26.25" x14ac:dyDescent="0.25">
      <c r="B61" s="5">
        <f t="shared" si="0"/>
        <v>58</v>
      </c>
      <c r="C61" s="29" t="s">
        <v>1020</v>
      </c>
      <c r="D61" s="6" t="s">
        <v>902</v>
      </c>
      <c r="E61" s="29" t="s">
        <v>1021</v>
      </c>
      <c r="F61" s="6">
        <v>800</v>
      </c>
      <c r="G61" s="6" t="s">
        <v>26</v>
      </c>
      <c r="H61" s="6"/>
      <c r="I61" s="6"/>
      <c r="J61" s="6"/>
      <c r="K61" s="7">
        <v>40945</v>
      </c>
      <c r="L61" s="30">
        <v>1825000</v>
      </c>
      <c r="M61" s="30">
        <v>1760000</v>
      </c>
      <c r="N61" s="6" t="s">
        <v>30</v>
      </c>
      <c r="O61" s="31">
        <v>43103</v>
      </c>
      <c r="P61" s="32" t="e">
        <f>VLOOKUP(Table311[[#This Row],[UNIT NO.]],[1]!Table35711[[#Headers],[#Data],[Unit '#]:[Application/Sold/ Unsold]],7,0)</f>
        <v>#REF!</v>
      </c>
      <c r="S61" s="64"/>
    </row>
    <row r="62" spans="2:19" ht="26.25" x14ac:dyDescent="0.25">
      <c r="B62" s="5">
        <f t="shared" si="0"/>
        <v>59</v>
      </c>
      <c r="C62" s="29" t="s">
        <v>1022</v>
      </c>
      <c r="D62" s="6" t="s">
        <v>902</v>
      </c>
      <c r="E62" s="29" t="s">
        <v>1023</v>
      </c>
      <c r="F62" s="6">
        <v>800</v>
      </c>
      <c r="G62" s="6" t="s">
        <v>26</v>
      </c>
      <c r="H62" s="6"/>
      <c r="I62" s="6"/>
      <c r="J62" s="6"/>
      <c r="K62" s="7">
        <v>40945</v>
      </c>
      <c r="L62" s="30">
        <v>1805000</v>
      </c>
      <c r="M62" s="30">
        <v>1799670</v>
      </c>
      <c r="N62" s="6" t="s">
        <v>30</v>
      </c>
      <c r="O62" s="31">
        <v>43103</v>
      </c>
      <c r="P62" s="32" t="e">
        <f>VLOOKUP(Table311[[#This Row],[UNIT NO.]],[1]!Table35711[[#Headers],[#Data],[Unit '#]:[Application/Sold/ Unsold]],7,0)</f>
        <v>#REF!</v>
      </c>
      <c r="S62" s="64"/>
    </row>
    <row r="63" spans="2:19" ht="26.25" x14ac:dyDescent="0.25">
      <c r="B63" s="5">
        <f t="shared" si="0"/>
        <v>60</v>
      </c>
      <c r="C63" s="29" t="s">
        <v>1024</v>
      </c>
      <c r="D63" s="6" t="s">
        <v>902</v>
      </c>
      <c r="E63" s="29" t="s">
        <v>1025</v>
      </c>
      <c r="F63" s="6">
        <v>800</v>
      </c>
      <c r="G63" s="6" t="s">
        <v>26</v>
      </c>
      <c r="H63" s="6"/>
      <c r="I63" s="6"/>
      <c r="J63" s="6"/>
      <c r="K63" s="7">
        <v>40964</v>
      </c>
      <c r="L63" s="30">
        <v>1895000</v>
      </c>
      <c r="M63" s="30">
        <v>1895000</v>
      </c>
      <c r="N63" s="6" t="s">
        <v>27</v>
      </c>
      <c r="O63" s="31">
        <v>43103</v>
      </c>
      <c r="P63" s="32" t="e">
        <f>VLOOKUP(Table311[[#This Row],[UNIT NO.]],[1]!Table35711[[#Headers],[#Data],[Unit '#]:[Application/Sold/ Unsold]],7,0)</f>
        <v>#REF!</v>
      </c>
      <c r="S63" s="64"/>
    </row>
    <row r="64" spans="2:19" ht="26.25" x14ac:dyDescent="0.25">
      <c r="B64" s="5">
        <f t="shared" si="0"/>
        <v>61</v>
      </c>
      <c r="C64" s="29" t="s">
        <v>1026</v>
      </c>
      <c r="D64" s="6" t="s">
        <v>902</v>
      </c>
      <c r="E64" s="29" t="s">
        <v>1027</v>
      </c>
      <c r="F64" s="6">
        <v>800</v>
      </c>
      <c r="G64" s="6" t="s">
        <v>26</v>
      </c>
      <c r="H64" s="6"/>
      <c r="I64" s="6"/>
      <c r="J64" s="6"/>
      <c r="K64" s="7">
        <v>40917</v>
      </c>
      <c r="L64" s="30">
        <v>1772850</v>
      </c>
      <c r="M64" s="30">
        <v>1684826</v>
      </c>
      <c r="N64" s="6" t="s">
        <v>30</v>
      </c>
      <c r="O64" s="31">
        <v>43103</v>
      </c>
      <c r="P64" s="32" t="e">
        <f>VLOOKUP(Table311[[#This Row],[UNIT NO.]],[1]!Table35711[[#Headers],[#Data],[Unit '#]:[Application/Sold/ Unsold]],7,0)</f>
        <v>#REF!</v>
      </c>
      <c r="S64" s="64"/>
    </row>
    <row r="65" spans="2:19" ht="39" x14ac:dyDescent="0.25">
      <c r="B65" s="5">
        <f t="shared" si="0"/>
        <v>62</v>
      </c>
      <c r="C65" s="29" t="s">
        <v>1028</v>
      </c>
      <c r="D65" s="6" t="s">
        <v>902</v>
      </c>
      <c r="E65" s="29" t="s">
        <v>1029</v>
      </c>
      <c r="F65" s="6">
        <v>800</v>
      </c>
      <c r="G65" s="6" t="s">
        <v>26</v>
      </c>
      <c r="H65" s="6"/>
      <c r="I65" s="6"/>
      <c r="J65" s="6"/>
      <c r="K65" s="7">
        <v>40920</v>
      </c>
      <c r="L65" s="30">
        <v>1745000</v>
      </c>
      <c r="M65" s="30">
        <v>1745000</v>
      </c>
      <c r="N65" s="6" t="s">
        <v>27</v>
      </c>
      <c r="O65" s="31">
        <v>43103</v>
      </c>
      <c r="P65" s="32" t="e">
        <f>VLOOKUP(Table311[[#This Row],[UNIT NO.]],[1]!Table35711[[#Headers],[#Data],[Unit '#]:[Application/Sold/ Unsold]],7,0)</f>
        <v>#REF!</v>
      </c>
      <c r="S65" s="64"/>
    </row>
    <row r="66" spans="2:19" ht="26.25" x14ac:dyDescent="0.25">
      <c r="B66" s="5">
        <f t="shared" si="0"/>
        <v>63</v>
      </c>
      <c r="C66" s="29" t="s">
        <v>1030</v>
      </c>
      <c r="D66" s="6" t="s">
        <v>902</v>
      </c>
      <c r="E66" s="29" t="s">
        <v>1031</v>
      </c>
      <c r="F66" s="6">
        <v>800</v>
      </c>
      <c r="G66" s="6" t="s">
        <v>26</v>
      </c>
      <c r="H66" s="6"/>
      <c r="I66" s="6"/>
      <c r="J66" s="6"/>
      <c r="K66" s="7">
        <v>40932</v>
      </c>
      <c r="L66" s="30">
        <v>1780000</v>
      </c>
      <c r="M66" s="30">
        <v>1736147</v>
      </c>
      <c r="N66" s="6" t="s">
        <v>27</v>
      </c>
      <c r="O66" s="31">
        <v>43103</v>
      </c>
      <c r="P66" s="32" t="e">
        <f>VLOOKUP(Table311[[#This Row],[UNIT NO.]],[1]!Table35711[[#Headers],[#Data],[Unit '#]:[Application/Sold/ Unsold]],7,0)</f>
        <v>#REF!</v>
      </c>
      <c r="S66" s="64"/>
    </row>
    <row r="67" spans="2:19" x14ac:dyDescent="0.25">
      <c r="B67" s="5">
        <f t="shared" si="0"/>
        <v>64</v>
      </c>
      <c r="C67" s="29" t="s">
        <v>1032</v>
      </c>
      <c r="D67" s="6" t="s">
        <v>902</v>
      </c>
      <c r="E67" s="29" t="s">
        <v>1033</v>
      </c>
      <c r="F67" s="6">
        <v>800</v>
      </c>
      <c r="G67" s="6" t="s">
        <v>26</v>
      </c>
      <c r="H67" s="6"/>
      <c r="I67" s="6"/>
      <c r="J67" s="6"/>
      <c r="K67" s="7">
        <v>40938</v>
      </c>
      <c r="L67" s="30">
        <v>1775200</v>
      </c>
      <c r="M67" s="30">
        <v>1395445</v>
      </c>
      <c r="N67" s="6" t="s">
        <v>30</v>
      </c>
      <c r="O67" s="31">
        <v>43103</v>
      </c>
      <c r="P67" s="32" t="e">
        <f>VLOOKUP(Table311[[#This Row],[UNIT NO.]],[1]!Table35711[[#Headers],[#Data],[Unit '#]:[Application/Sold/ Unsold]],7,0)</f>
        <v>#REF!</v>
      </c>
      <c r="S67" s="64"/>
    </row>
    <row r="68" spans="2:19" ht="39" x14ac:dyDescent="0.25">
      <c r="B68" s="5">
        <f t="shared" si="0"/>
        <v>65</v>
      </c>
      <c r="C68" s="29" t="s">
        <v>1034</v>
      </c>
      <c r="D68" s="6" t="s">
        <v>902</v>
      </c>
      <c r="E68" s="29" t="s">
        <v>1035</v>
      </c>
      <c r="F68" s="6">
        <v>800</v>
      </c>
      <c r="G68" s="6" t="s">
        <v>26</v>
      </c>
      <c r="H68" s="6"/>
      <c r="I68" s="6"/>
      <c r="J68" s="6"/>
      <c r="K68" s="7">
        <v>41044</v>
      </c>
      <c r="L68" s="30">
        <v>1897425</v>
      </c>
      <c r="M68" s="30">
        <v>1897425</v>
      </c>
      <c r="N68" s="6" t="s">
        <v>30</v>
      </c>
      <c r="O68" s="31">
        <v>43103</v>
      </c>
      <c r="P68" s="32" t="e">
        <f>VLOOKUP(Table311[[#This Row],[UNIT NO.]],[1]!Table35711[[#Headers],[#Data],[Unit '#]:[Application/Sold/ Unsold]],7,0)</f>
        <v>#REF!</v>
      </c>
      <c r="S68" s="64"/>
    </row>
    <row r="69" spans="2:19" ht="39" x14ac:dyDescent="0.25">
      <c r="B69" s="5">
        <f t="shared" si="0"/>
        <v>66</v>
      </c>
      <c r="C69" s="29" t="s">
        <v>1036</v>
      </c>
      <c r="D69" s="6" t="s">
        <v>902</v>
      </c>
      <c r="E69" s="29" t="s">
        <v>1037</v>
      </c>
      <c r="F69" s="6">
        <v>800</v>
      </c>
      <c r="G69" s="6" t="s">
        <v>26</v>
      </c>
      <c r="H69" s="6"/>
      <c r="I69" s="6"/>
      <c r="J69" s="6"/>
      <c r="K69" s="7">
        <v>40938</v>
      </c>
      <c r="L69" s="30">
        <v>1735200</v>
      </c>
      <c r="M69" s="30">
        <v>1648791</v>
      </c>
      <c r="N69" s="6" t="s">
        <v>500</v>
      </c>
      <c r="O69" s="31">
        <v>43103</v>
      </c>
      <c r="P69" s="32" t="e">
        <f>VLOOKUP(Table311[[#This Row],[UNIT NO.]],[1]!Table35711[[#Headers],[#Data],[Unit '#]:[Application/Sold/ Unsold]],7,0)</f>
        <v>#REF!</v>
      </c>
      <c r="S69" s="64"/>
    </row>
    <row r="70" spans="2:19" x14ac:dyDescent="0.25">
      <c r="B70" s="5">
        <f t="shared" ref="B70:B133" si="1">B69+1</f>
        <v>67</v>
      </c>
      <c r="C70" s="29" t="s">
        <v>1038</v>
      </c>
      <c r="D70" s="6" t="s">
        <v>902</v>
      </c>
      <c r="E70" s="29" t="s">
        <v>1039</v>
      </c>
      <c r="F70" s="6">
        <v>800</v>
      </c>
      <c r="G70" s="6" t="s">
        <v>26</v>
      </c>
      <c r="H70" s="6"/>
      <c r="I70" s="6"/>
      <c r="J70" s="6"/>
      <c r="K70" s="7">
        <v>40924</v>
      </c>
      <c r="L70" s="30">
        <v>1730000</v>
      </c>
      <c r="M70" s="30">
        <v>1730000</v>
      </c>
      <c r="N70" s="6" t="s">
        <v>144</v>
      </c>
      <c r="O70" s="31">
        <v>43103</v>
      </c>
      <c r="P70" s="32" t="e">
        <f>VLOOKUP(Table311[[#This Row],[UNIT NO.]],[1]!Table35711[[#Headers],[#Data],[Unit '#]:[Application/Sold/ Unsold]],7,0)</f>
        <v>#REF!</v>
      </c>
      <c r="S70" s="64"/>
    </row>
    <row r="71" spans="2:19" ht="26.25" x14ac:dyDescent="0.25">
      <c r="B71" s="5">
        <f t="shared" si="1"/>
        <v>68</v>
      </c>
      <c r="C71" s="29" t="s">
        <v>1040</v>
      </c>
      <c r="D71" s="6" t="s">
        <v>902</v>
      </c>
      <c r="E71" s="29" t="s">
        <v>1041</v>
      </c>
      <c r="F71" s="6">
        <v>800</v>
      </c>
      <c r="G71" s="6" t="s">
        <v>26</v>
      </c>
      <c r="H71" s="6"/>
      <c r="I71" s="6"/>
      <c r="J71" s="6"/>
      <c r="K71" s="7">
        <v>40938</v>
      </c>
      <c r="L71" s="30">
        <v>1735200</v>
      </c>
      <c r="M71" s="30">
        <v>1735200</v>
      </c>
      <c r="N71" s="6" t="s">
        <v>30</v>
      </c>
      <c r="O71" s="31">
        <v>43103</v>
      </c>
      <c r="P71" s="32" t="e">
        <f>VLOOKUP(Table311[[#This Row],[UNIT NO.]],[1]!Table35711[[#Headers],[#Data],[Unit '#]:[Application/Sold/ Unsold]],7,0)</f>
        <v>#REF!</v>
      </c>
      <c r="S71" s="64"/>
    </row>
    <row r="72" spans="2:19" ht="26.25" x14ac:dyDescent="0.25">
      <c r="B72" s="5">
        <f t="shared" si="1"/>
        <v>69</v>
      </c>
      <c r="C72" s="29" t="s">
        <v>1042</v>
      </c>
      <c r="D72" s="6" t="s">
        <v>902</v>
      </c>
      <c r="E72" s="29" t="s">
        <v>1043</v>
      </c>
      <c r="F72" s="6">
        <v>800</v>
      </c>
      <c r="G72" s="6" t="s">
        <v>26</v>
      </c>
      <c r="H72" s="6"/>
      <c r="I72" s="6"/>
      <c r="J72" s="6"/>
      <c r="K72" s="7">
        <v>40935</v>
      </c>
      <c r="L72" s="30">
        <v>1730200</v>
      </c>
      <c r="M72" s="30">
        <v>1730200</v>
      </c>
      <c r="N72" s="6" t="s">
        <v>30</v>
      </c>
      <c r="O72" s="31">
        <v>43103</v>
      </c>
      <c r="P72" s="32" t="e">
        <f>VLOOKUP(Table311[[#This Row],[UNIT NO.]],[1]!Table35711[[#Headers],[#Data],[Unit '#]:[Application/Sold/ Unsold]],7,0)</f>
        <v>#REF!</v>
      </c>
      <c r="S72" s="64"/>
    </row>
    <row r="73" spans="2:19" ht="26.25" x14ac:dyDescent="0.25">
      <c r="B73" s="5">
        <f t="shared" si="1"/>
        <v>70</v>
      </c>
      <c r="C73" s="29" t="s">
        <v>1044</v>
      </c>
      <c r="D73" s="6" t="s">
        <v>902</v>
      </c>
      <c r="E73" s="29" t="s">
        <v>1045</v>
      </c>
      <c r="F73" s="6">
        <v>800</v>
      </c>
      <c r="G73" s="6" t="s">
        <v>26</v>
      </c>
      <c r="H73" s="6"/>
      <c r="I73" s="6"/>
      <c r="J73" s="6"/>
      <c r="K73" s="7">
        <v>40938</v>
      </c>
      <c r="L73" s="30">
        <v>1735200</v>
      </c>
      <c r="M73" s="30">
        <v>1735200</v>
      </c>
      <c r="N73" s="6" t="s">
        <v>46</v>
      </c>
      <c r="O73" s="31">
        <v>43103</v>
      </c>
      <c r="P73" s="32" t="e">
        <f>VLOOKUP(Table311[[#This Row],[UNIT NO.]],[1]!Table35711[[#Headers],[#Data],[Unit '#]:[Application/Sold/ Unsold]],7,0)</f>
        <v>#REF!</v>
      </c>
      <c r="S73" s="64"/>
    </row>
    <row r="74" spans="2:19" ht="26.25" x14ac:dyDescent="0.25">
      <c r="B74" s="5">
        <f t="shared" si="1"/>
        <v>71</v>
      </c>
      <c r="C74" s="29" t="s">
        <v>1046</v>
      </c>
      <c r="D74" s="6" t="s">
        <v>902</v>
      </c>
      <c r="E74" s="29" t="s">
        <v>1047</v>
      </c>
      <c r="F74" s="6">
        <v>800</v>
      </c>
      <c r="G74" s="6" t="s">
        <v>26</v>
      </c>
      <c r="H74" s="6"/>
      <c r="I74" s="6"/>
      <c r="J74" s="6"/>
      <c r="K74" s="7">
        <v>41099</v>
      </c>
      <c r="L74" s="30">
        <v>2195000</v>
      </c>
      <c r="M74" s="30">
        <v>1918731</v>
      </c>
      <c r="N74" s="6" t="s">
        <v>27</v>
      </c>
      <c r="O74" s="31">
        <v>43103</v>
      </c>
      <c r="P74" s="32" t="e">
        <f>VLOOKUP(Table311[[#This Row],[UNIT NO.]],[1]!Table35711[[#Headers],[#Data],[Unit '#]:[Application/Sold/ Unsold]],7,0)</f>
        <v>#REF!</v>
      </c>
      <c r="S74" s="64"/>
    </row>
    <row r="75" spans="2:19" ht="51.75" x14ac:dyDescent="0.25">
      <c r="B75" s="5">
        <f t="shared" si="1"/>
        <v>72</v>
      </c>
      <c r="C75" s="29" t="s">
        <v>1048</v>
      </c>
      <c r="D75" s="6" t="s">
        <v>902</v>
      </c>
      <c r="E75" s="29" t="s">
        <v>1049</v>
      </c>
      <c r="F75" s="6">
        <v>800</v>
      </c>
      <c r="G75" s="6" t="s">
        <v>26</v>
      </c>
      <c r="H75" s="6"/>
      <c r="I75" s="6"/>
      <c r="J75" s="6"/>
      <c r="K75" s="7">
        <v>40967</v>
      </c>
      <c r="L75" s="30">
        <v>1766825</v>
      </c>
      <c r="M75" s="30">
        <v>1766825</v>
      </c>
      <c r="N75" s="6" t="s">
        <v>39</v>
      </c>
      <c r="O75" s="31">
        <v>43103</v>
      </c>
      <c r="P75" s="32" t="e">
        <f>VLOOKUP(Table311[[#This Row],[UNIT NO.]],[1]!Table35711[[#Headers],[#Data],[Unit '#]:[Application/Sold/ Unsold]],7,0)</f>
        <v>#REF!</v>
      </c>
      <c r="S75" s="64"/>
    </row>
    <row r="76" spans="2:19" ht="26.25" x14ac:dyDescent="0.25">
      <c r="B76" s="5">
        <f t="shared" si="1"/>
        <v>73</v>
      </c>
      <c r="C76" s="29" t="s">
        <v>1050</v>
      </c>
      <c r="D76" s="6" t="s">
        <v>902</v>
      </c>
      <c r="E76" s="29" t="s">
        <v>1051</v>
      </c>
      <c r="F76" s="6">
        <v>800</v>
      </c>
      <c r="G76" s="6" t="s">
        <v>26</v>
      </c>
      <c r="H76" s="6"/>
      <c r="I76" s="6"/>
      <c r="J76" s="6"/>
      <c r="K76" s="7">
        <v>40967</v>
      </c>
      <c r="L76" s="30">
        <v>1746000</v>
      </c>
      <c r="M76" s="30">
        <v>1658561</v>
      </c>
      <c r="N76" s="6" t="s">
        <v>39</v>
      </c>
      <c r="O76" s="31">
        <v>43103</v>
      </c>
      <c r="P76" s="32" t="e">
        <f>VLOOKUP(Table311[[#This Row],[UNIT NO.]],[1]!Table35711[[#Headers],[#Data],[Unit '#]:[Application/Sold/ Unsold]],7,0)</f>
        <v>#REF!</v>
      </c>
      <c r="S76" s="64"/>
    </row>
    <row r="77" spans="2:19" ht="39" x14ac:dyDescent="0.25">
      <c r="B77" s="5">
        <f t="shared" si="1"/>
        <v>74</v>
      </c>
      <c r="C77" s="29" t="s">
        <v>1052</v>
      </c>
      <c r="D77" s="6" t="s">
        <v>902</v>
      </c>
      <c r="E77" s="29" t="s">
        <v>1053</v>
      </c>
      <c r="F77" s="6">
        <v>800</v>
      </c>
      <c r="G77" s="6" t="s">
        <v>26</v>
      </c>
      <c r="H77" s="6"/>
      <c r="I77" s="6"/>
      <c r="J77" s="6"/>
      <c r="K77" s="7">
        <v>40955</v>
      </c>
      <c r="L77" s="30">
        <v>1725000</v>
      </c>
      <c r="M77" s="30">
        <v>1639870</v>
      </c>
      <c r="N77" s="6" t="s">
        <v>30</v>
      </c>
      <c r="O77" s="31">
        <v>43103</v>
      </c>
      <c r="P77" s="32" t="e">
        <f>VLOOKUP(Table311[[#This Row],[UNIT NO.]],[1]!Table35711[[#Headers],[#Data],[Unit '#]:[Application/Sold/ Unsold]],7,0)</f>
        <v>#REF!</v>
      </c>
      <c r="S77" s="64"/>
    </row>
    <row r="78" spans="2:19" ht="26.25" x14ac:dyDescent="0.25">
      <c r="B78" s="5">
        <f t="shared" si="1"/>
        <v>75</v>
      </c>
      <c r="C78" s="29" t="s">
        <v>1054</v>
      </c>
      <c r="D78" s="6" t="s">
        <v>902</v>
      </c>
      <c r="E78" s="29" t="s">
        <v>1055</v>
      </c>
      <c r="F78" s="6">
        <v>800</v>
      </c>
      <c r="G78" s="6" t="s">
        <v>26</v>
      </c>
      <c r="H78" s="6"/>
      <c r="I78" s="6"/>
      <c r="J78" s="6"/>
      <c r="K78" s="7">
        <v>41090</v>
      </c>
      <c r="L78" s="30">
        <v>1945000</v>
      </c>
      <c r="M78" s="30">
        <v>1874251</v>
      </c>
      <c r="N78" s="6" t="s">
        <v>27</v>
      </c>
      <c r="O78" s="31">
        <v>43103</v>
      </c>
      <c r="P78" s="32" t="e">
        <f>VLOOKUP(Table311[[#This Row],[UNIT NO.]],[1]!Table35711[[#Headers],[#Data],[Unit '#]:[Application/Sold/ Unsold]],7,0)</f>
        <v>#REF!</v>
      </c>
      <c r="S78" s="64"/>
    </row>
    <row r="79" spans="2:19" ht="26.25" x14ac:dyDescent="0.25">
      <c r="B79" s="5">
        <f t="shared" si="1"/>
        <v>76</v>
      </c>
      <c r="C79" s="29" t="s">
        <v>1056</v>
      </c>
      <c r="D79" s="6" t="s">
        <v>902</v>
      </c>
      <c r="E79" s="29" t="s">
        <v>1057</v>
      </c>
      <c r="F79" s="6">
        <v>800</v>
      </c>
      <c r="G79" s="6" t="s">
        <v>26</v>
      </c>
      <c r="H79" s="6"/>
      <c r="I79" s="6"/>
      <c r="J79" s="6"/>
      <c r="K79" s="7">
        <v>41162</v>
      </c>
      <c r="L79" s="30">
        <v>1744675</v>
      </c>
      <c r="M79" s="30">
        <v>1744675</v>
      </c>
      <c r="N79" s="6" t="s">
        <v>30</v>
      </c>
      <c r="O79" s="31">
        <v>43103</v>
      </c>
      <c r="P79" s="32" t="e">
        <f>VLOOKUP(Table311[[#This Row],[UNIT NO.]],[1]!Table35711[[#Headers],[#Data],[Unit '#]:[Application/Sold/ Unsold]],7,0)</f>
        <v>#REF!</v>
      </c>
      <c r="S79" s="64"/>
    </row>
    <row r="80" spans="2:19" ht="26.25" x14ac:dyDescent="0.25">
      <c r="B80" s="5">
        <f t="shared" si="1"/>
        <v>77</v>
      </c>
      <c r="C80" s="29" t="s">
        <v>1058</v>
      </c>
      <c r="D80" s="6" t="s">
        <v>902</v>
      </c>
      <c r="E80" s="29" t="s">
        <v>1059</v>
      </c>
      <c r="F80" s="6">
        <v>800</v>
      </c>
      <c r="G80" s="6" t="s">
        <v>26</v>
      </c>
      <c r="H80" s="6"/>
      <c r="I80" s="6"/>
      <c r="J80" s="6"/>
      <c r="K80" s="7">
        <v>41050</v>
      </c>
      <c r="L80" s="30">
        <v>1835000</v>
      </c>
      <c r="M80" s="30">
        <v>1835000</v>
      </c>
      <c r="N80" s="6" t="s">
        <v>27</v>
      </c>
      <c r="O80" s="31">
        <v>43103</v>
      </c>
      <c r="P80" s="32" t="e">
        <f>VLOOKUP(Table311[[#This Row],[UNIT NO.]],[1]!Table35711[[#Headers],[#Data],[Unit '#]:[Application/Sold/ Unsold]],7,0)</f>
        <v>#REF!</v>
      </c>
      <c r="S80" s="64"/>
    </row>
    <row r="81" spans="2:19" ht="39" x14ac:dyDescent="0.25">
      <c r="B81" s="5">
        <f t="shared" si="1"/>
        <v>78</v>
      </c>
      <c r="C81" s="29" t="s">
        <v>1060</v>
      </c>
      <c r="D81" s="6" t="s">
        <v>902</v>
      </c>
      <c r="E81" s="29" t="s">
        <v>1061</v>
      </c>
      <c r="F81" s="6">
        <v>800</v>
      </c>
      <c r="G81" s="6" t="s">
        <v>26</v>
      </c>
      <c r="H81" s="6"/>
      <c r="I81" s="6"/>
      <c r="J81" s="6"/>
      <c r="K81" s="7">
        <v>41164</v>
      </c>
      <c r="L81" s="30">
        <v>2375000</v>
      </c>
      <c r="M81" s="30">
        <v>2375000</v>
      </c>
      <c r="N81" s="6" t="s">
        <v>30</v>
      </c>
      <c r="O81" s="31">
        <v>43103</v>
      </c>
      <c r="P81" s="32" t="e">
        <f>VLOOKUP(Table311[[#This Row],[UNIT NO.]],[1]!Table35711[[#Headers],[#Data],[Unit '#]:[Application/Sold/ Unsold]],7,0)</f>
        <v>#REF!</v>
      </c>
      <c r="S81" s="64"/>
    </row>
    <row r="82" spans="2:19" ht="39" x14ac:dyDescent="0.25">
      <c r="B82" s="5">
        <f t="shared" si="1"/>
        <v>79</v>
      </c>
      <c r="C82" s="29" t="s">
        <v>1060</v>
      </c>
      <c r="D82" s="6" t="s">
        <v>902</v>
      </c>
      <c r="E82" s="29" t="s">
        <v>1062</v>
      </c>
      <c r="F82" s="6">
        <v>800</v>
      </c>
      <c r="G82" s="6" t="s">
        <v>26</v>
      </c>
      <c r="H82" s="6"/>
      <c r="I82" s="6"/>
      <c r="J82" s="6"/>
      <c r="K82" s="7">
        <v>41164</v>
      </c>
      <c r="L82" s="30">
        <v>2355000</v>
      </c>
      <c r="M82" s="30">
        <v>2355000</v>
      </c>
      <c r="N82" s="6" t="s">
        <v>30</v>
      </c>
      <c r="O82" s="31">
        <v>43103</v>
      </c>
      <c r="P82" s="32" t="e">
        <f>VLOOKUP(Table311[[#This Row],[UNIT NO.]],[1]!Table35711[[#Headers],[#Data],[Unit '#]:[Application/Sold/ Unsold]],7,0)</f>
        <v>#REF!</v>
      </c>
      <c r="S82" s="64"/>
    </row>
    <row r="83" spans="2:19" ht="26.25" x14ac:dyDescent="0.25">
      <c r="B83" s="5">
        <f t="shared" si="1"/>
        <v>80</v>
      </c>
      <c r="C83" s="29" t="s">
        <v>428</v>
      </c>
      <c r="D83" s="6" t="s">
        <v>902</v>
      </c>
      <c r="E83" s="29" t="s">
        <v>1063</v>
      </c>
      <c r="F83" s="6">
        <v>800</v>
      </c>
      <c r="G83" s="6" t="s">
        <v>26</v>
      </c>
      <c r="H83" s="6"/>
      <c r="I83" s="6"/>
      <c r="J83" s="6"/>
      <c r="K83" s="7">
        <v>41110</v>
      </c>
      <c r="L83" s="30">
        <v>2041425</v>
      </c>
      <c r="M83" s="30">
        <v>1506596</v>
      </c>
      <c r="N83" s="6" t="s">
        <v>27</v>
      </c>
      <c r="O83" s="31">
        <v>43103</v>
      </c>
      <c r="P83" s="32" t="e">
        <f>VLOOKUP(Table311[[#This Row],[UNIT NO.]],[1]!Table35711[[#Headers],[#Data],[Unit '#]:[Application/Sold/ Unsold]],7,0)</f>
        <v>#REF!</v>
      </c>
      <c r="S83" s="64"/>
    </row>
    <row r="84" spans="2:19" ht="26.25" x14ac:dyDescent="0.25">
      <c r="B84" s="5">
        <f t="shared" si="1"/>
        <v>81</v>
      </c>
      <c r="C84" s="29" t="s">
        <v>1064</v>
      </c>
      <c r="D84" s="6" t="s">
        <v>902</v>
      </c>
      <c r="E84" s="29" t="s">
        <v>1065</v>
      </c>
      <c r="F84" s="6">
        <v>800</v>
      </c>
      <c r="G84" s="6" t="s">
        <v>26</v>
      </c>
      <c r="H84" s="6"/>
      <c r="I84" s="6"/>
      <c r="J84" s="6"/>
      <c r="K84" s="7">
        <v>41287</v>
      </c>
      <c r="L84" s="30">
        <v>2180425</v>
      </c>
      <c r="M84" s="30">
        <v>2180425</v>
      </c>
      <c r="N84" s="6" t="s">
        <v>27</v>
      </c>
      <c r="O84" s="31">
        <v>43103</v>
      </c>
      <c r="P84" s="32" t="e">
        <f>VLOOKUP(Table311[[#This Row],[UNIT NO.]],[1]!Table35711[[#Headers],[#Data],[Unit '#]:[Application/Sold/ Unsold]],7,0)</f>
        <v>#REF!</v>
      </c>
      <c r="S84" s="64"/>
    </row>
    <row r="85" spans="2:19" ht="39" x14ac:dyDescent="0.25">
      <c r="B85" s="5">
        <f t="shared" si="1"/>
        <v>82</v>
      </c>
      <c r="C85" s="29" t="s">
        <v>1066</v>
      </c>
      <c r="D85" s="6" t="s">
        <v>902</v>
      </c>
      <c r="E85" s="29" t="s">
        <v>1067</v>
      </c>
      <c r="F85" s="6">
        <v>800</v>
      </c>
      <c r="G85" s="6" t="s">
        <v>26</v>
      </c>
      <c r="H85" s="6"/>
      <c r="I85" s="6"/>
      <c r="J85" s="6"/>
      <c r="K85" s="7">
        <v>41230</v>
      </c>
      <c r="L85" s="30">
        <v>2150000</v>
      </c>
      <c r="M85" s="30">
        <v>2150000</v>
      </c>
      <c r="N85" s="6" t="s">
        <v>27</v>
      </c>
      <c r="O85" s="31">
        <v>43103</v>
      </c>
      <c r="P85" s="32" t="e">
        <f>VLOOKUP(Table311[[#This Row],[UNIT NO.]],[1]!Table35711[[#Headers],[#Data],[Unit '#]:[Application/Sold/ Unsold]],7,0)</f>
        <v>#REF!</v>
      </c>
      <c r="S85" s="64"/>
    </row>
    <row r="86" spans="2:19" x14ac:dyDescent="0.25">
      <c r="B86" s="5">
        <f t="shared" si="1"/>
        <v>83</v>
      </c>
      <c r="C86" s="29" t="s">
        <v>1068</v>
      </c>
      <c r="D86" s="6" t="s">
        <v>902</v>
      </c>
      <c r="E86" s="29" t="s">
        <v>1069</v>
      </c>
      <c r="F86" s="6">
        <v>800</v>
      </c>
      <c r="G86" s="6" t="s">
        <v>26</v>
      </c>
      <c r="H86" s="6"/>
      <c r="I86" s="6"/>
      <c r="J86" s="6"/>
      <c r="K86" s="7">
        <v>41087</v>
      </c>
      <c r="L86" s="30">
        <v>2036100</v>
      </c>
      <c r="M86" s="30">
        <v>2036100</v>
      </c>
      <c r="N86" s="6" t="s">
        <v>30</v>
      </c>
      <c r="O86" s="31">
        <v>43103</v>
      </c>
      <c r="P86" s="32" t="e">
        <f>VLOOKUP(Table311[[#This Row],[UNIT NO.]],[1]!Table35711[[#Headers],[#Data],[Unit '#]:[Application/Sold/ Unsold]],7,0)</f>
        <v>#REF!</v>
      </c>
      <c r="S86" s="64"/>
    </row>
    <row r="87" spans="2:19" ht="39" x14ac:dyDescent="0.25">
      <c r="B87" s="5">
        <f t="shared" si="1"/>
        <v>84</v>
      </c>
      <c r="C87" s="29" t="s">
        <v>1070</v>
      </c>
      <c r="D87" s="6" t="s">
        <v>902</v>
      </c>
      <c r="E87" s="29" t="s">
        <v>1071</v>
      </c>
      <c r="F87" s="6">
        <v>800</v>
      </c>
      <c r="G87" s="6" t="s">
        <v>26</v>
      </c>
      <c r="H87" s="6"/>
      <c r="I87" s="6"/>
      <c r="J87" s="6"/>
      <c r="K87" s="7">
        <v>42341</v>
      </c>
      <c r="L87" s="30">
        <v>1988025</v>
      </c>
      <c r="M87" s="30">
        <v>1467186.24</v>
      </c>
      <c r="N87" s="6" t="s">
        <v>27</v>
      </c>
      <c r="O87" s="31">
        <v>43103</v>
      </c>
      <c r="P87" s="32" t="e">
        <f>VLOOKUP(Table311[[#This Row],[UNIT NO.]],[1]!Table35711[[#Headers],[#Data],[Unit '#]:[Application/Sold/ Unsold]],7,0)</f>
        <v>#REF!</v>
      </c>
      <c r="S87" s="64"/>
    </row>
    <row r="88" spans="2:19" ht="26.25" x14ac:dyDescent="0.25">
      <c r="B88" s="5">
        <f t="shared" si="1"/>
        <v>85</v>
      </c>
      <c r="C88" s="29" t="s">
        <v>1072</v>
      </c>
      <c r="D88" s="6" t="s">
        <v>902</v>
      </c>
      <c r="E88" s="29" t="s">
        <v>1073</v>
      </c>
      <c r="F88" s="6">
        <v>800</v>
      </c>
      <c r="G88" s="6" t="s">
        <v>26</v>
      </c>
      <c r="H88" s="6"/>
      <c r="I88" s="6"/>
      <c r="J88" s="6"/>
      <c r="K88" s="7">
        <v>41127</v>
      </c>
      <c r="L88" s="30">
        <v>2121665</v>
      </c>
      <c r="M88" s="30">
        <v>2056822</v>
      </c>
      <c r="N88" s="6" t="s">
        <v>30</v>
      </c>
      <c r="O88" s="31">
        <v>43103</v>
      </c>
      <c r="P88" s="32" t="e">
        <f>VLOOKUP(Table311[[#This Row],[UNIT NO.]],[1]!Table35711[[#Headers],[#Data],[Unit '#]:[Application/Sold/ Unsold]],7,0)</f>
        <v>#REF!</v>
      </c>
      <c r="S88" s="64"/>
    </row>
    <row r="89" spans="2:19" ht="26.25" x14ac:dyDescent="0.25">
      <c r="B89" s="5">
        <f t="shared" si="1"/>
        <v>86</v>
      </c>
      <c r="C89" s="29" t="s">
        <v>1074</v>
      </c>
      <c r="D89" s="6" t="s">
        <v>902</v>
      </c>
      <c r="E89" s="29" t="s">
        <v>1075</v>
      </c>
      <c r="F89" s="6">
        <v>800</v>
      </c>
      <c r="G89" s="6" t="s">
        <v>26</v>
      </c>
      <c r="H89" s="6"/>
      <c r="I89" s="6"/>
      <c r="J89" s="6"/>
      <c r="K89" s="7">
        <v>41166</v>
      </c>
      <c r="L89" s="30">
        <v>2255000</v>
      </c>
      <c r="M89" s="30">
        <v>2255000</v>
      </c>
      <c r="N89" s="6" t="s">
        <v>30</v>
      </c>
      <c r="O89" s="31">
        <v>43103</v>
      </c>
      <c r="P89" s="32" t="e">
        <f>VLOOKUP(Table311[[#This Row],[UNIT NO.]],[1]!Table35711[[#Headers],[#Data],[Unit '#]:[Application/Sold/ Unsold]],7,0)</f>
        <v>#REF!</v>
      </c>
      <c r="S89" s="64"/>
    </row>
    <row r="90" spans="2:19" x14ac:dyDescent="0.25">
      <c r="B90" s="5">
        <f t="shared" si="1"/>
        <v>87</v>
      </c>
      <c r="C90" s="33" t="s">
        <v>168</v>
      </c>
      <c r="D90" s="6" t="s">
        <v>902</v>
      </c>
      <c r="E90" s="33" t="s">
        <v>1076</v>
      </c>
      <c r="F90" s="34">
        <v>800</v>
      </c>
      <c r="G90" s="6" t="s">
        <v>113</v>
      </c>
      <c r="H90" s="6"/>
      <c r="I90" s="6"/>
      <c r="J90" s="6"/>
      <c r="K90" s="35">
        <v>42952</v>
      </c>
      <c r="L90" s="36">
        <v>2369700</v>
      </c>
      <c r="M90" s="30">
        <v>301117</v>
      </c>
      <c r="N90" s="6" t="s">
        <v>30</v>
      </c>
      <c r="O90" s="31">
        <v>43103</v>
      </c>
      <c r="P90" s="32" t="e">
        <f>VLOOKUP(Table311[[#This Row],[UNIT NO.]],[1]!Table35711[[#Headers],[#Data],[Unit '#]:[Application/Sold/ Unsold]],7,0)</f>
        <v>#REF!</v>
      </c>
      <c r="S90" s="64"/>
    </row>
    <row r="91" spans="2:19" ht="26.25" x14ac:dyDescent="0.25">
      <c r="B91" s="5">
        <f t="shared" si="1"/>
        <v>88</v>
      </c>
      <c r="C91" s="29" t="s">
        <v>1077</v>
      </c>
      <c r="D91" s="6" t="s">
        <v>902</v>
      </c>
      <c r="E91" s="29" t="s">
        <v>1078</v>
      </c>
      <c r="F91" s="6">
        <v>800</v>
      </c>
      <c r="G91" s="6" t="s">
        <v>26</v>
      </c>
      <c r="H91" s="6"/>
      <c r="I91" s="6"/>
      <c r="J91" s="6"/>
      <c r="K91" s="7">
        <v>41143</v>
      </c>
      <c r="L91" s="30">
        <v>2110000</v>
      </c>
      <c r="M91" s="30">
        <v>1997475</v>
      </c>
      <c r="N91" s="6" t="s">
        <v>27</v>
      </c>
      <c r="O91" s="31">
        <v>43103</v>
      </c>
      <c r="P91" s="32" t="e">
        <f>VLOOKUP(Table311[[#This Row],[UNIT NO.]],[1]!Table35711[[#Headers],[#Data],[Unit '#]:[Application/Sold/ Unsold]],7,0)</f>
        <v>#REF!</v>
      </c>
      <c r="S91" s="64"/>
    </row>
    <row r="92" spans="2:19" x14ac:dyDescent="0.25">
      <c r="B92" s="5">
        <f t="shared" si="1"/>
        <v>89</v>
      </c>
      <c r="C92" s="29" t="s">
        <v>1079</v>
      </c>
      <c r="D92" s="6" t="s">
        <v>902</v>
      </c>
      <c r="E92" s="29" t="s">
        <v>1080</v>
      </c>
      <c r="F92" s="6">
        <v>800</v>
      </c>
      <c r="G92" s="6" t="s">
        <v>26</v>
      </c>
      <c r="H92" s="6"/>
      <c r="I92" s="6"/>
      <c r="J92" s="6"/>
      <c r="K92" s="7">
        <v>40938</v>
      </c>
      <c r="L92" s="30">
        <v>1640000</v>
      </c>
      <c r="M92" s="30">
        <v>1556156</v>
      </c>
      <c r="N92" s="6" t="s">
        <v>27</v>
      </c>
      <c r="O92" s="31">
        <v>43103</v>
      </c>
      <c r="P92" s="32" t="e">
        <f>VLOOKUP(Table311[[#This Row],[UNIT NO.]],[1]!Table35711[[#Headers],[#Data],[Unit '#]:[Application/Sold/ Unsold]],7,0)</f>
        <v>#REF!</v>
      </c>
      <c r="S92" s="64"/>
    </row>
    <row r="93" spans="2:19" ht="26.25" x14ac:dyDescent="0.25">
      <c r="B93" s="5">
        <f t="shared" si="1"/>
        <v>90</v>
      </c>
      <c r="C93" s="29" t="s">
        <v>1081</v>
      </c>
      <c r="D93" s="6" t="s">
        <v>902</v>
      </c>
      <c r="E93" s="29" t="s">
        <v>1082</v>
      </c>
      <c r="F93" s="6">
        <v>800</v>
      </c>
      <c r="G93" s="6" t="s">
        <v>26</v>
      </c>
      <c r="H93" s="6"/>
      <c r="I93" s="6"/>
      <c r="J93" s="6"/>
      <c r="K93" s="7">
        <v>41046</v>
      </c>
      <c r="L93" s="30">
        <v>1880000</v>
      </c>
      <c r="M93" s="30">
        <v>1833010</v>
      </c>
      <c r="N93" s="6" t="s">
        <v>27</v>
      </c>
      <c r="O93" s="31">
        <v>43103</v>
      </c>
      <c r="P93" s="32" t="e">
        <f>VLOOKUP(Table311[[#This Row],[UNIT NO.]],[1]!Table35711[[#Headers],[#Data],[Unit '#]:[Application/Sold/ Unsold]],7,0)</f>
        <v>#REF!</v>
      </c>
      <c r="S93" s="64"/>
    </row>
    <row r="94" spans="2:19" ht="39" x14ac:dyDescent="0.25">
      <c r="B94" s="5">
        <f t="shared" si="1"/>
        <v>91</v>
      </c>
      <c r="C94" s="29" t="s">
        <v>1083</v>
      </c>
      <c r="D94" s="6" t="s">
        <v>902</v>
      </c>
      <c r="E94" s="29" t="s">
        <v>1084</v>
      </c>
      <c r="F94" s="6">
        <v>800</v>
      </c>
      <c r="G94" s="6" t="s">
        <v>26</v>
      </c>
      <c r="H94" s="6"/>
      <c r="I94" s="6"/>
      <c r="J94" s="6"/>
      <c r="K94" s="7">
        <v>41181</v>
      </c>
      <c r="L94" s="30">
        <v>2045000</v>
      </c>
      <c r="M94" s="30">
        <v>2045000</v>
      </c>
      <c r="N94" s="6" t="s">
        <v>1085</v>
      </c>
      <c r="O94" s="31">
        <v>43103</v>
      </c>
      <c r="P94" s="32" t="e">
        <f>VLOOKUP(Table311[[#This Row],[UNIT NO.]],[1]!Table35711[[#Headers],[#Data],[Unit '#]:[Application/Sold/ Unsold]],7,0)</f>
        <v>#REF!</v>
      </c>
      <c r="S94" s="64"/>
    </row>
    <row r="95" spans="2:19" ht="26.25" x14ac:dyDescent="0.25">
      <c r="B95" s="5">
        <f t="shared" si="1"/>
        <v>92</v>
      </c>
      <c r="C95" s="29" t="s">
        <v>1086</v>
      </c>
      <c r="D95" s="6" t="s">
        <v>902</v>
      </c>
      <c r="E95" s="29" t="s">
        <v>1087</v>
      </c>
      <c r="F95" s="6">
        <v>800</v>
      </c>
      <c r="G95" s="6" t="s">
        <v>26</v>
      </c>
      <c r="H95" s="6"/>
      <c r="I95" s="6"/>
      <c r="J95" s="6"/>
      <c r="K95" s="7">
        <v>41211</v>
      </c>
      <c r="L95" s="30">
        <v>2100000</v>
      </c>
      <c r="M95" s="30">
        <v>2100000</v>
      </c>
      <c r="N95" s="6" t="s">
        <v>27</v>
      </c>
      <c r="O95" s="31">
        <v>43103</v>
      </c>
      <c r="P95" s="32" t="e">
        <f>VLOOKUP(Table311[[#This Row],[UNIT NO.]],[1]!Table35711[[#Headers],[#Data],[Unit '#]:[Application/Sold/ Unsold]],7,0)</f>
        <v>#REF!</v>
      </c>
      <c r="S95" s="64"/>
    </row>
    <row r="96" spans="2:19" ht="39" x14ac:dyDescent="0.25">
      <c r="B96" s="5">
        <f t="shared" si="1"/>
        <v>93</v>
      </c>
      <c r="C96" s="29" t="s">
        <v>1088</v>
      </c>
      <c r="D96" s="6" t="s">
        <v>902</v>
      </c>
      <c r="E96" s="29" t="s">
        <v>1089</v>
      </c>
      <c r="F96" s="6">
        <v>800</v>
      </c>
      <c r="G96" s="6" t="s">
        <v>26</v>
      </c>
      <c r="H96" s="6"/>
      <c r="I96" s="6"/>
      <c r="J96" s="6"/>
      <c r="K96" s="7">
        <v>42178</v>
      </c>
      <c r="L96" s="30">
        <v>2119200</v>
      </c>
      <c r="M96" s="30">
        <v>2119200</v>
      </c>
      <c r="N96" s="6" t="s">
        <v>30</v>
      </c>
      <c r="O96" s="31">
        <v>43103</v>
      </c>
      <c r="P96" s="32" t="e">
        <f>VLOOKUP(Table311[[#This Row],[UNIT NO.]],[1]!Table35711[[#Headers],[#Data],[Unit '#]:[Application/Sold/ Unsold]],7,0)</f>
        <v>#REF!</v>
      </c>
      <c r="S96" s="64"/>
    </row>
    <row r="97" spans="2:19" ht="26.25" x14ac:dyDescent="0.25">
      <c r="B97" s="5">
        <f t="shared" si="1"/>
        <v>94</v>
      </c>
      <c r="C97" s="29" t="s">
        <v>1090</v>
      </c>
      <c r="D97" s="6" t="s">
        <v>902</v>
      </c>
      <c r="E97" s="29" t="s">
        <v>1091</v>
      </c>
      <c r="F97" s="6">
        <v>800</v>
      </c>
      <c r="G97" s="6" t="s">
        <v>26</v>
      </c>
      <c r="H97" s="6"/>
      <c r="I97" s="6"/>
      <c r="J97" s="6"/>
      <c r="K97" s="7">
        <v>41026</v>
      </c>
      <c r="L97" s="30">
        <v>1863750</v>
      </c>
      <c r="M97" s="30">
        <v>1863750</v>
      </c>
      <c r="N97" s="6" t="s">
        <v>27</v>
      </c>
      <c r="O97" s="31">
        <v>43103</v>
      </c>
      <c r="P97" s="32" t="e">
        <f>VLOOKUP(Table311[[#This Row],[UNIT NO.]],[1]!Table35711[[#Headers],[#Data],[Unit '#]:[Application/Sold/ Unsold]],7,0)</f>
        <v>#REF!</v>
      </c>
      <c r="S97" s="64"/>
    </row>
    <row r="98" spans="2:19" ht="26.25" x14ac:dyDescent="0.25">
      <c r="B98" s="5">
        <f t="shared" si="1"/>
        <v>95</v>
      </c>
      <c r="C98" s="29" t="s">
        <v>1092</v>
      </c>
      <c r="D98" s="6" t="s">
        <v>902</v>
      </c>
      <c r="E98" s="29" t="s">
        <v>1093</v>
      </c>
      <c r="F98" s="6">
        <v>800</v>
      </c>
      <c r="G98" s="6" t="s">
        <v>26</v>
      </c>
      <c r="H98" s="6"/>
      <c r="I98" s="6"/>
      <c r="J98" s="6"/>
      <c r="K98" s="7">
        <v>41247</v>
      </c>
      <c r="L98" s="30">
        <v>2145000</v>
      </c>
      <c r="M98" s="30">
        <v>2145000</v>
      </c>
      <c r="N98" s="6" t="s">
        <v>46</v>
      </c>
      <c r="O98" s="31">
        <v>43103</v>
      </c>
      <c r="P98" s="32" t="e">
        <f>VLOOKUP(Table311[[#This Row],[UNIT NO.]],[1]!Table35711[[#Headers],[#Data],[Unit '#]:[Application/Sold/ Unsold]],7,0)</f>
        <v>#REF!</v>
      </c>
      <c r="S98" s="64"/>
    </row>
    <row r="99" spans="2:19" ht="26.25" x14ac:dyDescent="0.25">
      <c r="B99" s="5">
        <f t="shared" si="1"/>
        <v>96</v>
      </c>
      <c r="C99" s="29" t="s">
        <v>1094</v>
      </c>
      <c r="D99" s="6" t="s">
        <v>902</v>
      </c>
      <c r="E99" s="29" t="s">
        <v>1095</v>
      </c>
      <c r="F99" s="6">
        <v>800</v>
      </c>
      <c r="G99" s="6" t="s">
        <v>26</v>
      </c>
      <c r="H99" s="6"/>
      <c r="I99" s="6"/>
      <c r="J99" s="6"/>
      <c r="K99" s="7">
        <v>41022</v>
      </c>
      <c r="L99" s="30">
        <v>1863750</v>
      </c>
      <c r="M99" s="30">
        <v>1863750</v>
      </c>
      <c r="N99" s="6" t="s">
        <v>27</v>
      </c>
      <c r="O99" s="31">
        <v>43103</v>
      </c>
      <c r="P99" s="32" t="e">
        <f>VLOOKUP(Table311[[#This Row],[UNIT NO.]],[1]!Table35711[[#Headers],[#Data],[Unit '#]:[Application/Sold/ Unsold]],7,0)</f>
        <v>#REF!</v>
      </c>
      <c r="S99" s="64"/>
    </row>
    <row r="100" spans="2:19" ht="26.25" x14ac:dyDescent="0.25">
      <c r="B100" s="5">
        <f t="shared" si="1"/>
        <v>97</v>
      </c>
      <c r="C100" s="29" t="s">
        <v>1096</v>
      </c>
      <c r="D100" s="6" t="s">
        <v>902</v>
      </c>
      <c r="E100" s="29" t="s">
        <v>1097</v>
      </c>
      <c r="F100" s="6">
        <v>800</v>
      </c>
      <c r="G100" s="6" t="s">
        <v>26</v>
      </c>
      <c r="H100" s="6"/>
      <c r="I100" s="6"/>
      <c r="J100" s="6"/>
      <c r="K100" s="7">
        <v>41046</v>
      </c>
      <c r="L100" s="30">
        <v>1880000</v>
      </c>
      <c r="M100" s="30">
        <v>1880000</v>
      </c>
      <c r="N100" s="6" t="s">
        <v>27</v>
      </c>
      <c r="O100" s="31">
        <v>43103</v>
      </c>
      <c r="P100" s="32" t="e">
        <f>VLOOKUP(Table311[[#This Row],[UNIT NO.]],[1]!Table35711[[#Headers],[#Data],[Unit '#]:[Application/Sold/ Unsold]],7,0)</f>
        <v>#REF!</v>
      </c>
      <c r="S100" s="64"/>
    </row>
    <row r="101" spans="2:19" x14ac:dyDescent="0.25">
      <c r="B101" s="5">
        <f t="shared" si="1"/>
        <v>98</v>
      </c>
      <c r="C101" s="29" t="s">
        <v>1098</v>
      </c>
      <c r="D101" s="6" t="s">
        <v>902</v>
      </c>
      <c r="E101" s="29" t="s">
        <v>1099</v>
      </c>
      <c r="F101" s="6">
        <v>800</v>
      </c>
      <c r="G101" s="6" t="s">
        <v>26</v>
      </c>
      <c r="H101" s="6"/>
      <c r="I101" s="6"/>
      <c r="J101" s="6"/>
      <c r="K101" s="7">
        <v>41207</v>
      </c>
      <c r="L101" s="30">
        <v>2099750</v>
      </c>
      <c r="M101" s="30">
        <v>2099750</v>
      </c>
      <c r="N101" s="6" t="s">
        <v>30</v>
      </c>
      <c r="O101" s="31">
        <v>43103</v>
      </c>
      <c r="P101" s="32" t="e">
        <f>VLOOKUP(Table311[[#This Row],[UNIT NO.]],[1]!Table35711[[#Headers],[#Data],[Unit '#]:[Application/Sold/ Unsold]],7,0)</f>
        <v>#REF!</v>
      </c>
      <c r="S101" s="64"/>
    </row>
    <row r="102" spans="2:19" ht="26.25" x14ac:dyDescent="0.25">
      <c r="B102" s="5">
        <f t="shared" si="1"/>
        <v>99</v>
      </c>
      <c r="C102" s="29" t="s">
        <v>1100</v>
      </c>
      <c r="D102" s="6" t="s">
        <v>902</v>
      </c>
      <c r="E102" s="29" t="s">
        <v>1101</v>
      </c>
      <c r="F102" s="6">
        <v>800</v>
      </c>
      <c r="G102" s="6" t="s">
        <v>26</v>
      </c>
      <c r="H102" s="6"/>
      <c r="I102" s="6"/>
      <c r="J102" s="6"/>
      <c r="K102" s="7">
        <v>41050</v>
      </c>
      <c r="L102" s="30">
        <v>1800000</v>
      </c>
      <c r="M102" s="30">
        <v>1709305</v>
      </c>
      <c r="N102" s="6" t="s">
        <v>39</v>
      </c>
      <c r="O102" s="31">
        <v>43103</v>
      </c>
      <c r="P102" s="32" t="e">
        <f>VLOOKUP(Table311[[#This Row],[UNIT NO.]],[1]!Table35711[[#Headers],[#Data],[Unit '#]:[Application/Sold/ Unsold]],7,0)</f>
        <v>#REF!</v>
      </c>
      <c r="S102" s="64"/>
    </row>
    <row r="103" spans="2:19" ht="26.25" x14ac:dyDescent="0.25">
      <c r="B103" s="5">
        <f t="shared" si="1"/>
        <v>100</v>
      </c>
      <c r="C103" s="29" t="s">
        <v>1102</v>
      </c>
      <c r="D103" s="6" t="s">
        <v>902</v>
      </c>
      <c r="E103" s="29" t="s">
        <v>1103</v>
      </c>
      <c r="F103" s="6">
        <v>800</v>
      </c>
      <c r="G103" s="6" t="s">
        <v>26</v>
      </c>
      <c r="H103" s="6"/>
      <c r="I103" s="6"/>
      <c r="J103" s="6"/>
      <c r="K103" s="7">
        <v>40943</v>
      </c>
      <c r="L103" s="30">
        <v>1625000</v>
      </c>
      <c r="M103" s="30">
        <v>1544104</v>
      </c>
      <c r="N103" s="6" t="s">
        <v>30</v>
      </c>
      <c r="O103" s="31">
        <v>43103</v>
      </c>
      <c r="P103" s="32" t="e">
        <f>VLOOKUP(Table311[[#This Row],[UNIT NO.]],[1]!Table35711[[#Headers],[#Data],[Unit '#]:[Application/Sold/ Unsold]],7,0)</f>
        <v>#REF!</v>
      </c>
      <c r="S103" s="64"/>
    </row>
    <row r="104" spans="2:19" ht="26.25" x14ac:dyDescent="0.25">
      <c r="B104" s="5">
        <f t="shared" si="1"/>
        <v>101</v>
      </c>
      <c r="C104" s="29" t="s">
        <v>1104</v>
      </c>
      <c r="D104" s="6" t="s">
        <v>902</v>
      </c>
      <c r="E104" s="29" t="s">
        <v>1105</v>
      </c>
      <c r="F104" s="6">
        <v>800</v>
      </c>
      <c r="G104" s="6" t="s">
        <v>26</v>
      </c>
      <c r="H104" s="6"/>
      <c r="I104" s="6"/>
      <c r="J104" s="6"/>
      <c r="K104" s="7">
        <v>40960</v>
      </c>
      <c r="L104" s="30">
        <v>1642700</v>
      </c>
      <c r="M104" s="30">
        <v>1642700</v>
      </c>
      <c r="N104" s="6" t="s">
        <v>30</v>
      </c>
      <c r="O104" s="31">
        <v>43103</v>
      </c>
      <c r="P104" s="32" t="e">
        <f>VLOOKUP(Table311[[#This Row],[UNIT NO.]],[1]!Table35711[[#Headers],[#Data],[Unit '#]:[Application/Sold/ Unsold]],7,0)</f>
        <v>#REF!</v>
      </c>
      <c r="S104" s="64"/>
    </row>
    <row r="105" spans="2:19" ht="26.25" x14ac:dyDescent="0.25">
      <c r="B105" s="5">
        <f t="shared" si="1"/>
        <v>102</v>
      </c>
      <c r="C105" s="29" t="s">
        <v>1106</v>
      </c>
      <c r="D105" s="6" t="s">
        <v>902</v>
      </c>
      <c r="E105" s="29" t="s">
        <v>1107</v>
      </c>
      <c r="F105" s="6">
        <v>800</v>
      </c>
      <c r="G105" s="6" t="s">
        <v>26</v>
      </c>
      <c r="H105" s="6"/>
      <c r="I105" s="6"/>
      <c r="J105" s="6"/>
      <c r="K105" s="7">
        <v>40941</v>
      </c>
      <c r="L105" s="30">
        <v>1610000</v>
      </c>
      <c r="M105" s="30">
        <v>1533818</v>
      </c>
      <c r="N105" s="6" t="s">
        <v>27</v>
      </c>
      <c r="O105" s="31">
        <v>43103</v>
      </c>
      <c r="P105" s="32" t="e">
        <f>VLOOKUP(Table311[[#This Row],[UNIT NO.]],[1]!Table35711[[#Headers],[#Data],[Unit '#]:[Application/Sold/ Unsold]],7,0)</f>
        <v>#REF!</v>
      </c>
      <c r="S105" s="64"/>
    </row>
    <row r="106" spans="2:19" ht="26.25" x14ac:dyDescent="0.25">
      <c r="B106" s="5">
        <f t="shared" si="1"/>
        <v>103</v>
      </c>
      <c r="C106" s="29" t="s">
        <v>1108</v>
      </c>
      <c r="D106" s="6" t="s">
        <v>902</v>
      </c>
      <c r="E106" s="29" t="s">
        <v>1109</v>
      </c>
      <c r="F106" s="6">
        <v>800</v>
      </c>
      <c r="G106" s="6" t="s">
        <v>26</v>
      </c>
      <c r="H106" s="6"/>
      <c r="I106" s="6"/>
      <c r="J106" s="6"/>
      <c r="K106" s="7">
        <v>40916</v>
      </c>
      <c r="L106" s="30">
        <v>1595000</v>
      </c>
      <c r="M106" s="30">
        <v>1515917</v>
      </c>
      <c r="N106" s="6" t="s">
        <v>57</v>
      </c>
      <c r="O106" s="31">
        <v>43103</v>
      </c>
      <c r="P106" s="32" t="e">
        <f>VLOOKUP(Table311[[#This Row],[UNIT NO.]],[1]!Table35711[[#Headers],[#Data],[Unit '#]:[Application/Sold/ Unsold]],7,0)</f>
        <v>#REF!</v>
      </c>
      <c r="S106" s="64"/>
    </row>
    <row r="107" spans="2:19" ht="26.25" x14ac:dyDescent="0.25">
      <c r="B107" s="5">
        <f t="shared" si="1"/>
        <v>104</v>
      </c>
      <c r="C107" s="29" t="s">
        <v>1110</v>
      </c>
      <c r="D107" s="6" t="s">
        <v>902</v>
      </c>
      <c r="E107" s="29" t="s">
        <v>1111</v>
      </c>
      <c r="F107" s="6">
        <v>800</v>
      </c>
      <c r="G107" s="6" t="s">
        <v>26</v>
      </c>
      <c r="H107" s="6"/>
      <c r="I107" s="6"/>
      <c r="J107" s="6"/>
      <c r="K107" s="7">
        <v>41166</v>
      </c>
      <c r="L107" s="30">
        <v>1695000</v>
      </c>
      <c r="M107" s="30">
        <v>1611009</v>
      </c>
      <c r="N107" s="6" t="s">
        <v>27</v>
      </c>
      <c r="O107" s="31">
        <v>43103</v>
      </c>
      <c r="P107" s="32" t="e">
        <f>VLOOKUP(Table311[[#This Row],[UNIT NO.]],[1]!Table35711[[#Headers],[#Data],[Unit '#]:[Application/Sold/ Unsold]],7,0)</f>
        <v>#REF!</v>
      </c>
      <c r="S107" s="64"/>
    </row>
    <row r="108" spans="2:19" ht="39" x14ac:dyDescent="0.25">
      <c r="B108" s="5">
        <f t="shared" si="1"/>
        <v>105</v>
      </c>
      <c r="C108" s="29" t="s">
        <v>1112</v>
      </c>
      <c r="D108" s="6" t="s">
        <v>902</v>
      </c>
      <c r="E108" s="29" t="s">
        <v>1113</v>
      </c>
      <c r="F108" s="6">
        <v>800</v>
      </c>
      <c r="G108" s="6" t="s">
        <v>26</v>
      </c>
      <c r="H108" s="6"/>
      <c r="I108" s="6"/>
      <c r="J108" s="6"/>
      <c r="K108" s="7">
        <v>41384</v>
      </c>
      <c r="L108" s="30">
        <v>2265000</v>
      </c>
      <c r="M108" s="30">
        <v>2151755</v>
      </c>
      <c r="N108" s="6" t="s">
        <v>30</v>
      </c>
      <c r="O108" s="31">
        <v>43103</v>
      </c>
      <c r="P108" s="32" t="e">
        <f>VLOOKUP(Table311[[#This Row],[UNIT NO.]],[1]!Table35711[[#Headers],[#Data],[Unit '#]:[Application/Sold/ Unsold]],7,0)</f>
        <v>#REF!</v>
      </c>
      <c r="S108" s="64"/>
    </row>
    <row r="109" spans="2:19" ht="26.25" x14ac:dyDescent="0.25">
      <c r="B109" s="5">
        <f t="shared" si="1"/>
        <v>106</v>
      </c>
      <c r="C109" s="29" t="s">
        <v>1114</v>
      </c>
      <c r="D109" s="6" t="s">
        <v>902</v>
      </c>
      <c r="E109" s="29" t="s">
        <v>1115</v>
      </c>
      <c r="F109" s="6">
        <v>800</v>
      </c>
      <c r="G109" s="6" t="s">
        <v>26</v>
      </c>
      <c r="H109" s="6"/>
      <c r="I109" s="6"/>
      <c r="J109" s="6"/>
      <c r="K109" s="7">
        <v>41050</v>
      </c>
      <c r="L109" s="30">
        <v>1800000</v>
      </c>
      <c r="M109" s="30">
        <v>1709305</v>
      </c>
      <c r="N109" s="6" t="s">
        <v>39</v>
      </c>
      <c r="O109" s="31">
        <v>43103</v>
      </c>
      <c r="P109" s="32" t="e">
        <f>VLOOKUP(Table311[[#This Row],[UNIT NO.]],[1]!Table35711[[#Headers],[#Data],[Unit '#]:[Application/Sold/ Unsold]],7,0)</f>
        <v>#REF!</v>
      </c>
      <c r="S109" s="64"/>
    </row>
    <row r="110" spans="2:19" ht="26.25" x14ac:dyDescent="0.25">
      <c r="B110" s="5">
        <f t="shared" si="1"/>
        <v>107</v>
      </c>
      <c r="C110" s="29" t="s">
        <v>1116</v>
      </c>
      <c r="D110" s="6" t="s">
        <v>902</v>
      </c>
      <c r="E110" s="29" t="s">
        <v>1117</v>
      </c>
      <c r="F110" s="6">
        <v>800</v>
      </c>
      <c r="G110" s="6" t="s">
        <v>26</v>
      </c>
      <c r="H110" s="6"/>
      <c r="I110" s="6"/>
      <c r="J110" s="6"/>
      <c r="K110" s="7">
        <v>40984</v>
      </c>
      <c r="L110" s="30">
        <v>1680000</v>
      </c>
      <c r="M110" s="30">
        <v>1680000</v>
      </c>
      <c r="N110" s="6" t="s">
        <v>39</v>
      </c>
      <c r="O110" s="31">
        <v>43103</v>
      </c>
      <c r="P110" s="32" t="e">
        <f>VLOOKUP(Table311[[#This Row],[UNIT NO.]],[1]!Table35711[[#Headers],[#Data],[Unit '#]:[Application/Sold/ Unsold]],7,0)</f>
        <v>#REF!</v>
      </c>
      <c r="S110" s="64"/>
    </row>
    <row r="111" spans="2:19" x14ac:dyDescent="0.25">
      <c r="B111" s="5">
        <f t="shared" si="1"/>
        <v>108</v>
      </c>
      <c r="C111" s="29" t="s">
        <v>1118</v>
      </c>
      <c r="D111" s="6" t="s">
        <v>902</v>
      </c>
      <c r="E111" s="29" t="s">
        <v>1119</v>
      </c>
      <c r="F111" s="6">
        <v>800</v>
      </c>
      <c r="G111" s="6" t="s">
        <v>26</v>
      </c>
      <c r="H111" s="6"/>
      <c r="I111" s="6"/>
      <c r="J111" s="6"/>
      <c r="K111" s="7">
        <v>40945</v>
      </c>
      <c r="L111" s="30">
        <v>1570000</v>
      </c>
      <c r="M111" s="30">
        <v>1560613</v>
      </c>
      <c r="N111" s="6" t="s">
        <v>27</v>
      </c>
      <c r="O111" s="31">
        <v>43103</v>
      </c>
      <c r="P111" s="32" t="e">
        <f>VLOOKUP(Table311[[#This Row],[UNIT NO.]],[1]!Table35711[[#Headers],[#Data],[Unit '#]:[Application/Sold/ Unsold]],7,0)</f>
        <v>#REF!</v>
      </c>
      <c r="S111" s="64"/>
    </row>
    <row r="112" spans="2:19" ht="26.25" x14ac:dyDescent="0.25">
      <c r="B112" s="5">
        <f t="shared" si="1"/>
        <v>109</v>
      </c>
      <c r="C112" s="29" t="s">
        <v>1120</v>
      </c>
      <c r="D112" s="6" t="s">
        <v>902</v>
      </c>
      <c r="E112" s="29" t="s">
        <v>1121</v>
      </c>
      <c r="F112" s="6">
        <v>800</v>
      </c>
      <c r="G112" s="6" t="s">
        <v>26</v>
      </c>
      <c r="H112" s="6"/>
      <c r="I112" s="6"/>
      <c r="J112" s="6"/>
      <c r="K112" s="7">
        <v>41278</v>
      </c>
      <c r="L112" s="30">
        <v>2135750</v>
      </c>
      <c r="M112" s="30">
        <v>2135750</v>
      </c>
      <c r="N112" s="6" t="s">
        <v>27</v>
      </c>
      <c r="O112" s="31">
        <v>43103</v>
      </c>
      <c r="P112" s="32" t="e">
        <f>VLOOKUP(Table311[[#This Row],[UNIT NO.]],[1]!Table35711[[#Headers],[#Data],[Unit '#]:[Application/Sold/ Unsold]],7,0)</f>
        <v>#REF!</v>
      </c>
      <c r="S112" s="64"/>
    </row>
    <row r="113" spans="2:19" ht="39" x14ac:dyDescent="0.25">
      <c r="B113" s="5">
        <f t="shared" si="1"/>
        <v>110</v>
      </c>
      <c r="C113" s="29" t="s">
        <v>1122</v>
      </c>
      <c r="D113" s="6" t="s">
        <v>902</v>
      </c>
      <c r="E113" s="29" t="s">
        <v>1123</v>
      </c>
      <c r="F113" s="6">
        <v>800</v>
      </c>
      <c r="G113" s="6" t="s">
        <v>26</v>
      </c>
      <c r="H113" s="6"/>
      <c r="I113" s="6"/>
      <c r="J113" s="6"/>
      <c r="K113" s="7">
        <v>40922</v>
      </c>
      <c r="L113" s="30">
        <v>1610000</v>
      </c>
      <c r="M113" s="30">
        <v>1490810</v>
      </c>
      <c r="N113" s="6" t="s">
        <v>30</v>
      </c>
      <c r="O113" s="31">
        <v>43103</v>
      </c>
      <c r="P113" s="32" t="e">
        <f>VLOOKUP(Table311[[#This Row],[UNIT NO.]],[1]!Table35711[[#Headers],[#Data],[Unit '#]:[Application/Sold/ Unsold]],7,0)</f>
        <v>#REF!</v>
      </c>
      <c r="S113" s="64"/>
    </row>
    <row r="114" spans="2:19" ht="26.25" x14ac:dyDescent="0.25">
      <c r="B114" s="5">
        <f t="shared" si="1"/>
        <v>111</v>
      </c>
      <c r="C114" s="29" t="s">
        <v>1124</v>
      </c>
      <c r="D114" s="6" t="s">
        <v>902</v>
      </c>
      <c r="E114" s="29" t="s">
        <v>1125</v>
      </c>
      <c r="F114" s="6">
        <v>800</v>
      </c>
      <c r="G114" s="6" t="s">
        <v>26</v>
      </c>
      <c r="H114" s="6"/>
      <c r="I114" s="6"/>
      <c r="J114" s="6"/>
      <c r="K114" s="7">
        <v>41313</v>
      </c>
      <c r="L114" s="30">
        <v>2134000</v>
      </c>
      <c r="M114" s="30">
        <v>2134000</v>
      </c>
      <c r="N114" s="6" t="s">
        <v>27</v>
      </c>
      <c r="O114" s="31">
        <v>43103</v>
      </c>
      <c r="P114" s="32" t="e">
        <f>VLOOKUP(Table311[[#This Row],[UNIT NO.]],[1]!Table35711[[#Headers],[#Data],[Unit '#]:[Application/Sold/ Unsold]],7,0)</f>
        <v>#REF!</v>
      </c>
      <c r="S114" s="64"/>
    </row>
    <row r="115" spans="2:19" ht="26.25" x14ac:dyDescent="0.25">
      <c r="B115" s="5">
        <f t="shared" si="1"/>
        <v>112</v>
      </c>
      <c r="C115" s="29" t="s">
        <v>1126</v>
      </c>
      <c r="D115" s="6" t="s">
        <v>902</v>
      </c>
      <c r="E115" s="29" t="s">
        <v>1127</v>
      </c>
      <c r="F115" s="6">
        <v>800</v>
      </c>
      <c r="G115" s="6" t="s">
        <v>26</v>
      </c>
      <c r="H115" s="6"/>
      <c r="I115" s="6"/>
      <c r="J115" s="6"/>
      <c r="K115" s="7">
        <v>40938</v>
      </c>
      <c r="L115" s="30">
        <v>1610000</v>
      </c>
      <c r="M115" s="30">
        <v>1610000</v>
      </c>
      <c r="N115" s="6" t="s">
        <v>27</v>
      </c>
      <c r="O115" s="31">
        <v>43103</v>
      </c>
      <c r="P115" s="32" t="e">
        <f>VLOOKUP(Table311[[#This Row],[UNIT NO.]],[1]!Table35711[[#Headers],[#Data],[Unit '#]:[Application/Sold/ Unsold]],7,0)</f>
        <v>#REF!</v>
      </c>
      <c r="S115" s="64"/>
    </row>
    <row r="116" spans="2:19" ht="26.25" x14ac:dyDescent="0.25">
      <c r="B116" s="5">
        <f t="shared" si="1"/>
        <v>113</v>
      </c>
      <c r="C116" s="29" t="s">
        <v>1128</v>
      </c>
      <c r="D116" s="6" t="s">
        <v>902</v>
      </c>
      <c r="E116" s="29" t="s">
        <v>1129</v>
      </c>
      <c r="F116" s="6">
        <v>800</v>
      </c>
      <c r="G116" s="6" t="s">
        <v>26</v>
      </c>
      <c r="H116" s="6"/>
      <c r="I116" s="6"/>
      <c r="J116" s="6"/>
      <c r="K116" s="7">
        <v>40898</v>
      </c>
      <c r="L116" s="30">
        <v>1545000</v>
      </c>
      <c r="M116" s="30">
        <v>1545000</v>
      </c>
      <c r="N116" s="6" t="s">
        <v>57</v>
      </c>
      <c r="O116" s="31">
        <v>43103</v>
      </c>
      <c r="P116" s="32" t="e">
        <f>VLOOKUP(Table311[[#This Row],[UNIT NO.]],[1]!Table35711[[#Headers],[#Data],[Unit '#]:[Application/Sold/ Unsold]],7,0)</f>
        <v>#REF!</v>
      </c>
      <c r="S116" s="64"/>
    </row>
    <row r="117" spans="2:19" x14ac:dyDescent="0.25">
      <c r="B117" s="5">
        <f t="shared" si="1"/>
        <v>114</v>
      </c>
      <c r="C117" s="29" t="s">
        <v>1130</v>
      </c>
      <c r="D117" s="6" t="s">
        <v>902</v>
      </c>
      <c r="E117" s="29" t="s">
        <v>1131</v>
      </c>
      <c r="F117" s="6">
        <v>800</v>
      </c>
      <c r="G117" s="6" t="s">
        <v>26</v>
      </c>
      <c r="H117" s="6"/>
      <c r="I117" s="6"/>
      <c r="J117" s="6"/>
      <c r="K117" s="7">
        <v>40924</v>
      </c>
      <c r="L117" s="30">
        <v>1597450</v>
      </c>
      <c r="M117" s="30">
        <v>1597450</v>
      </c>
      <c r="N117" s="6" t="s">
        <v>30</v>
      </c>
      <c r="O117" s="31">
        <v>43103</v>
      </c>
      <c r="P117" s="32" t="e">
        <f>VLOOKUP(Table311[[#This Row],[UNIT NO.]],[1]!Table35711[[#Headers],[#Data],[Unit '#]:[Application/Sold/ Unsold]],7,0)</f>
        <v>#REF!</v>
      </c>
      <c r="S117" s="64"/>
    </row>
    <row r="118" spans="2:19" ht="26.25" x14ac:dyDescent="0.25">
      <c r="B118" s="5">
        <f t="shared" si="1"/>
        <v>115</v>
      </c>
      <c r="C118" s="29" t="s">
        <v>1132</v>
      </c>
      <c r="D118" s="6" t="s">
        <v>902</v>
      </c>
      <c r="E118" s="29" t="s">
        <v>1133</v>
      </c>
      <c r="F118" s="6">
        <v>800</v>
      </c>
      <c r="G118" s="6" t="s">
        <v>26</v>
      </c>
      <c r="H118" s="6"/>
      <c r="I118" s="6"/>
      <c r="J118" s="6"/>
      <c r="K118" s="7">
        <v>41166</v>
      </c>
      <c r="L118" s="30">
        <v>1585000</v>
      </c>
      <c r="M118" s="30">
        <v>1585000</v>
      </c>
      <c r="N118" s="6" t="s">
        <v>27</v>
      </c>
      <c r="O118" s="31">
        <v>43103</v>
      </c>
      <c r="P118" s="32" t="e">
        <f>VLOOKUP(Table311[[#This Row],[UNIT NO.]],[1]!Table35711[[#Headers],[#Data],[Unit '#]:[Application/Sold/ Unsold]],7,0)</f>
        <v>#REF!</v>
      </c>
      <c r="S118" s="64"/>
    </row>
    <row r="119" spans="2:19" ht="26.25" x14ac:dyDescent="0.25">
      <c r="B119" s="5">
        <f t="shared" si="1"/>
        <v>116</v>
      </c>
      <c r="C119" s="29" t="s">
        <v>1134</v>
      </c>
      <c r="D119" s="6" t="s">
        <v>902</v>
      </c>
      <c r="E119" s="29" t="s">
        <v>1135</v>
      </c>
      <c r="F119" s="6">
        <v>800</v>
      </c>
      <c r="G119" s="6" t="s">
        <v>26</v>
      </c>
      <c r="H119" s="6"/>
      <c r="I119" s="6"/>
      <c r="J119" s="6"/>
      <c r="K119" s="7">
        <v>41166</v>
      </c>
      <c r="L119" s="30">
        <v>1505750</v>
      </c>
      <c r="M119" s="30">
        <v>1505750</v>
      </c>
      <c r="N119" s="6" t="s">
        <v>30</v>
      </c>
      <c r="O119" s="31">
        <v>43103</v>
      </c>
      <c r="P119" s="32" t="e">
        <f>VLOOKUP(Table311[[#This Row],[UNIT NO.]],[1]!Table35711[[#Headers],[#Data],[Unit '#]:[Application/Sold/ Unsold]],7,0)</f>
        <v>#REF!</v>
      </c>
      <c r="S119" s="64"/>
    </row>
    <row r="120" spans="2:19" ht="26.25" x14ac:dyDescent="0.25">
      <c r="B120" s="5">
        <f t="shared" si="1"/>
        <v>117</v>
      </c>
      <c r="C120" s="29" t="s">
        <v>1136</v>
      </c>
      <c r="D120" s="6" t="s">
        <v>902</v>
      </c>
      <c r="E120" s="29" t="s">
        <v>1137</v>
      </c>
      <c r="F120" s="6">
        <v>800</v>
      </c>
      <c r="G120" s="6" t="s">
        <v>26</v>
      </c>
      <c r="H120" s="6"/>
      <c r="I120" s="6"/>
      <c r="J120" s="6"/>
      <c r="K120" s="7">
        <v>40968</v>
      </c>
      <c r="L120" s="30">
        <v>1658400</v>
      </c>
      <c r="M120" s="30">
        <v>1658400</v>
      </c>
      <c r="N120" s="6" t="s">
        <v>30</v>
      </c>
      <c r="O120" s="31">
        <v>43103</v>
      </c>
      <c r="P120" s="32" t="e">
        <f>VLOOKUP(Table311[[#This Row],[UNIT NO.]],[1]!Table35711[[#Headers],[#Data],[Unit '#]:[Application/Sold/ Unsold]],7,0)</f>
        <v>#REF!</v>
      </c>
      <c r="S120" s="64"/>
    </row>
    <row r="121" spans="2:19" ht="39" x14ac:dyDescent="0.25">
      <c r="B121" s="5">
        <f t="shared" si="1"/>
        <v>118</v>
      </c>
      <c r="C121" s="29" t="s">
        <v>1138</v>
      </c>
      <c r="D121" s="6" t="s">
        <v>902</v>
      </c>
      <c r="E121" s="29" t="s">
        <v>1139</v>
      </c>
      <c r="F121" s="6">
        <v>800</v>
      </c>
      <c r="G121" s="6" t="s">
        <v>26</v>
      </c>
      <c r="H121" s="6"/>
      <c r="I121" s="6"/>
      <c r="J121" s="6"/>
      <c r="K121" s="7">
        <v>40938</v>
      </c>
      <c r="L121" s="30">
        <v>1550000</v>
      </c>
      <c r="M121" s="30">
        <v>1298969</v>
      </c>
      <c r="N121" s="6" t="s">
        <v>30</v>
      </c>
      <c r="O121" s="31">
        <v>43103</v>
      </c>
      <c r="P121" s="32" t="e">
        <f>VLOOKUP(Table311[[#This Row],[UNIT NO.]],[1]!Table35711[[#Headers],[#Data],[Unit '#]:[Application/Sold/ Unsold]],7,0)</f>
        <v>#REF!</v>
      </c>
      <c r="S121" s="64"/>
    </row>
    <row r="122" spans="2:19" ht="26.25" x14ac:dyDescent="0.25">
      <c r="B122" s="5">
        <f t="shared" si="1"/>
        <v>119</v>
      </c>
      <c r="C122" s="29" t="s">
        <v>1140</v>
      </c>
      <c r="D122" s="6" t="s">
        <v>902</v>
      </c>
      <c r="E122" s="29" t="s">
        <v>1141</v>
      </c>
      <c r="F122" s="6">
        <v>800</v>
      </c>
      <c r="G122" s="6" t="s">
        <v>26</v>
      </c>
      <c r="H122" s="6"/>
      <c r="I122" s="6"/>
      <c r="J122" s="6"/>
      <c r="K122" s="7">
        <v>41166</v>
      </c>
      <c r="L122" s="30">
        <v>1505000</v>
      </c>
      <c r="M122" s="30">
        <v>1505000</v>
      </c>
      <c r="N122" s="6" t="s">
        <v>27</v>
      </c>
      <c r="O122" s="31">
        <v>43103</v>
      </c>
      <c r="P122" s="32" t="e">
        <f>VLOOKUP(Table311[[#This Row],[UNIT NO.]],[1]!Table35711[[#Headers],[#Data],[Unit '#]:[Application/Sold/ Unsold]],7,0)</f>
        <v>#REF!</v>
      </c>
      <c r="S122" s="64"/>
    </row>
    <row r="123" spans="2:19" ht="26.25" x14ac:dyDescent="0.25">
      <c r="B123" s="5">
        <f t="shared" si="1"/>
        <v>120</v>
      </c>
      <c r="C123" s="29" t="s">
        <v>1142</v>
      </c>
      <c r="D123" s="6" t="s">
        <v>902</v>
      </c>
      <c r="E123" s="29" t="s">
        <v>1143</v>
      </c>
      <c r="F123" s="6">
        <v>800</v>
      </c>
      <c r="G123" s="6" t="s">
        <v>26</v>
      </c>
      <c r="H123" s="6"/>
      <c r="I123" s="6"/>
      <c r="J123" s="6"/>
      <c r="K123" s="7">
        <v>40924</v>
      </c>
      <c r="L123" s="30">
        <v>1505000</v>
      </c>
      <c r="M123" s="30">
        <v>1377257</v>
      </c>
      <c r="N123" s="6" t="s">
        <v>27</v>
      </c>
      <c r="O123" s="31">
        <v>43103</v>
      </c>
      <c r="P123" s="32" t="e">
        <f>VLOOKUP(Table311[[#This Row],[UNIT NO.]],[1]!Table35711[[#Headers],[#Data],[Unit '#]:[Application/Sold/ Unsold]],7,0)</f>
        <v>#REF!</v>
      </c>
      <c r="S123" s="64"/>
    </row>
    <row r="124" spans="2:19" x14ac:dyDescent="0.25">
      <c r="B124" s="5">
        <f t="shared" si="1"/>
        <v>121</v>
      </c>
      <c r="C124" s="29" t="s">
        <v>1144</v>
      </c>
      <c r="D124" s="6" t="s">
        <v>902</v>
      </c>
      <c r="E124" s="29" t="s">
        <v>1145</v>
      </c>
      <c r="F124" s="6">
        <v>1000</v>
      </c>
      <c r="G124" s="6" t="s">
        <v>26</v>
      </c>
      <c r="H124" s="6"/>
      <c r="I124" s="6"/>
      <c r="J124" s="6"/>
      <c r="K124" s="7">
        <v>40920</v>
      </c>
      <c r="L124" s="30">
        <v>2340000</v>
      </c>
      <c r="M124" s="30">
        <v>2340000</v>
      </c>
      <c r="N124" s="6" t="s">
        <v>955</v>
      </c>
      <c r="O124" s="31">
        <v>43103</v>
      </c>
      <c r="P124" s="32" t="e">
        <f>VLOOKUP(Table311[[#This Row],[UNIT NO.]],[1]!Table35711[[#Headers],[#Data],[Unit '#]:[Application/Sold/ Unsold]],7,0)</f>
        <v>#REF!</v>
      </c>
      <c r="S124" s="64"/>
    </row>
    <row r="125" spans="2:19" ht="26.25" x14ac:dyDescent="0.25">
      <c r="B125" s="5">
        <f t="shared" si="1"/>
        <v>122</v>
      </c>
      <c r="C125" s="29" t="s">
        <v>1146</v>
      </c>
      <c r="D125" s="6" t="s">
        <v>902</v>
      </c>
      <c r="E125" s="29" t="s">
        <v>1147</v>
      </c>
      <c r="F125" s="6">
        <v>1000</v>
      </c>
      <c r="G125" s="6" t="s">
        <v>26</v>
      </c>
      <c r="H125" s="6"/>
      <c r="I125" s="6"/>
      <c r="J125" s="6"/>
      <c r="K125" s="7">
        <v>41046</v>
      </c>
      <c r="L125" s="30">
        <v>2401250</v>
      </c>
      <c r="M125" s="30">
        <v>2401250</v>
      </c>
      <c r="N125" s="6" t="s">
        <v>30</v>
      </c>
      <c r="O125" s="31">
        <v>43103</v>
      </c>
      <c r="P125" s="32" t="e">
        <f>VLOOKUP(Table311[[#This Row],[UNIT NO.]],[1]!Table35711[[#Headers],[#Data],[Unit '#]:[Application/Sold/ Unsold]],7,0)</f>
        <v>#REF!</v>
      </c>
      <c r="S125" s="64"/>
    </row>
    <row r="126" spans="2:19" ht="39" x14ac:dyDescent="0.25">
      <c r="B126" s="5">
        <f t="shared" si="1"/>
        <v>123</v>
      </c>
      <c r="C126" s="29" t="s">
        <v>1148</v>
      </c>
      <c r="D126" s="6" t="s">
        <v>902</v>
      </c>
      <c r="E126" s="29" t="s">
        <v>1149</v>
      </c>
      <c r="F126" s="6">
        <v>1000</v>
      </c>
      <c r="G126" s="6" t="s">
        <v>26</v>
      </c>
      <c r="H126" s="6"/>
      <c r="I126" s="6"/>
      <c r="J126" s="6"/>
      <c r="K126" s="7">
        <v>40954</v>
      </c>
      <c r="L126" s="30">
        <v>2345000</v>
      </c>
      <c r="M126" s="30">
        <v>2205570</v>
      </c>
      <c r="N126" s="6" t="s">
        <v>27</v>
      </c>
      <c r="O126" s="31">
        <v>43103</v>
      </c>
      <c r="P126" s="32" t="e">
        <f>VLOOKUP(Table311[[#This Row],[UNIT NO.]],[1]!Table35711[[#Headers],[#Data],[Unit '#]:[Application/Sold/ Unsold]],7,0)</f>
        <v>#REF!</v>
      </c>
      <c r="S126" s="64"/>
    </row>
    <row r="127" spans="2:19" ht="26.25" x14ac:dyDescent="0.25">
      <c r="B127" s="5">
        <f t="shared" si="1"/>
        <v>124</v>
      </c>
      <c r="C127" s="29" t="s">
        <v>1150</v>
      </c>
      <c r="D127" s="6" t="s">
        <v>902</v>
      </c>
      <c r="E127" s="29" t="s">
        <v>1151</v>
      </c>
      <c r="F127" s="6">
        <v>1000</v>
      </c>
      <c r="G127" s="6" t="s">
        <v>26</v>
      </c>
      <c r="H127" s="6"/>
      <c r="I127" s="6"/>
      <c r="J127" s="6"/>
      <c r="K127" s="7">
        <v>40970</v>
      </c>
      <c r="L127" s="30">
        <v>2425000</v>
      </c>
      <c r="M127" s="30">
        <v>2304108</v>
      </c>
      <c r="N127" s="6" t="s">
        <v>30</v>
      </c>
      <c r="O127" s="31">
        <v>43103</v>
      </c>
      <c r="P127" s="32" t="e">
        <f>VLOOKUP(Table311[[#This Row],[UNIT NO.]],[1]!Table35711[[#Headers],[#Data],[Unit '#]:[Application/Sold/ Unsold]],7,0)</f>
        <v>#REF!</v>
      </c>
      <c r="S127" s="64"/>
    </row>
    <row r="128" spans="2:19" ht="39" x14ac:dyDescent="0.25">
      <c r="B128" s="5">
        <f t="shared" si="1"/>
        <v>125</v>
      </c>
      <c r="C128" s="29" t="s">
        <v>769</v>
      </c>
      <c r="D128" s="6" t="s">
        <v>902</v>
      </c>
      <c r="E128" s="29" t="s">
        <v>1152</v>
      </c>
      <c r="F128" s="6">
        <v>1000</v>
      </c>
      <c r="G128" s="6" t="s">
        <v>26</v>
      </c>
      <c r="H128" s="6"/>
      <c r="I128" s="6"/>
      <c r="J128" s="6"/>
      <c r="K128" s="7">
        <v>40949</v>
      </c>
      <c r="L128" s="30">
        <v>2380000</v>
      </c>
      <c r="M128" s="30">
        <v>2261611</v>
      </c>
      <c r="N128" s="6" t="s">
        <v>46</v>
      </c>
      <c r="O128" s="31">
        <v>43103</v>
      </c>
      <c r="P128" s="32" t="e">
        <f>VLOOKUP(Table311[[#This Row],[UNIT NO.]],[1]!Table35711[[#Headers],[#Data],[Unit '#]:[Application/Sold/ Unsold]],7,0)</f>
        <v>#REF!</v>
      </c>
      <c r="S128" s="64"/>
    </row>
    <row r="129" spans="2:19" ht="26.25" x14ac:dyDescent="0.25">
      <c r="B129" s="5">
        <f t="shared" si="1"/>
        <v>126</v>
      </c>
      <c r="C129" s="29" t="s">
        <v>1153</v>
      </c>
      <c r="D129" s="6" t="s">
        <v>902</v>
      </c>
      <c r="E129" s="29" t="s">
        <v>1154</v>
      </c>
      <c r="F129" s="6">
        <v>1000</v>
      </c>
      <c r="G129" s="6" t="s">
        <v>26</v>
      </c>
      <c r="H129" s="6"/>
      <c r="I129" s="6"/>
      <c r="J129" s="6"/>
      <c r="K129" s="7">
        <v>40967</v>
      </c>
      <c r="L129" s="30">
        <v>2294375</v>
      </c>
      <c r="M129" s="30">
        <v>2179952</v>
      </c>
      <c r="N129" s="6" t="s">
        <v>39</v>
      </c>
      <c r="O129" s="31">
        <v>43103</v>
      </c>
      <c r="P129" s="32" t="e">
        <f>VLOOKUP(Table311[[#This Row],[UNIT NO.]],[1]!Table35711[[#Headers],[#Data],[Unit '#]:[Application/Sold/ Unsold]],7,0)</f>
        <v>#REF!</v>
      </c>
      <c r="S129" s="64"/>
    </row>
    <row r="130" spans="2:19" ht="26.25" x14ac:dyDescent="0.25">
      <c r="B130" s="5">
        <f t="shared" si="1"/>
        <v>127</v>
      </c>
      <c r="C130" s="29" t="s">
        <v>423</v>
      </c>
      <c r="D130" s="6" t="s">
        <v>902</v>
      </c>
      <c r="E130" s="29" t="s">
        <v>1155</v>
      </c>
      <c r="F130" s="6">
        <v>1000</v>
      </c>
      <c r="G130" s="6" t="s">
        <v>26</v>
      </c>
      <c r="H130" s="6"/>
      <c r="I130" s="6"/>
      <c r="J130" s="6"/>
      <c r="K130" s="7">
        <v>40978</v>
      </c>
      <c r="L130" s="30">
        <v>2331250</v>
      </c>
      <c r="M130" s="30">
        <v>1533324</v>
      </c>
      <c r="N130" s="6" t="s">
        <v>30</v>
      </c>
      <c r="O130" s="31">
        <v>43103</v>
      </c>
      <c r="P130" s="32" t="e">
        <f>VLOOKUP(Table311[[#This Row],[UNIT NO.]],[1]!Table35711[[#Headers],[#Data],[Unit '#]:[Application/Sold/ Unsold]],7,0)</f>
        <v>#REF!</v>
      </c>
      <c r="S130" s="64"/>
    </row>
    <row r="131" spans="2:19" ht="26.25" x14ac:dyDescent="0.25">
      <c r="B131" s="5">
        <f t="shared" si="1"/>
        <v>128</v>
      </c>
      <c r="C131" s="29" t="s">
        <v>1156</v>
      </c>
      <c r="D131" s="6" t="s">
        <v>902</v>
      </c>
      <c r="E131" s="29" t="s">
        <v>1157</v>
      </c>
      <c r="F131" s="6">
        <v>1000</v>
      </c>
      <c r="G131" s="6" t="s">
        <v>26</v>
      </c>
      <c r="H131" s="6"/>
      <c r="I131" s="6"/>
      <c r="J131" s="6"/>
      <c r="K131" s="7">
        <v>40967</v>
      </c>
      <c r="L131" s="30">
        <v>2294375</v>
      </c>
      <c r="M131" s="30">
        <v>1522105</v>
      </c>
      <c r="N131" s="6" t="s">
        <v>27</v>
      </c>
      <c r="O131" s="31">
        <v>43103</v>
      </c>
      <c r="P131" s="32" t="e">
        <f>VLOOKUP(Table311[[#This Row],[UNIT NO.]],[1]!Table35711[[#Headers],[#Data],[Unit '#]:[Application/Sold/ Unsold]],7,0)</f>
        <v>#REF!</v>
      </c>
      <c r="S131" s="64"/>
    </row>
    <row r="132" spans="2:19" ht="39" x14ac:dyDescent="0.25">
      <c r="B132" s="5">
        <f t="shared" si="1"/>
        <v>129</v>
      </c>
      <c r="C132" s="29" t="s">
        <v>1158</v>
      </c>
      <c r="D132" s="6" t="s">
        <v>902</v>
      </c>
      <c r="E132" s="29" t="s">
        <v>1159</v>
      </c>
      <c r="F132" s="6">
        <v>1000</v>
      </c>
      <c r="G132" s="6" t="s">
        <v>26</v>
      </c>
      <c r="H132" s="6"/>
      <c r="I132" s="6"/>
      <c r="J132" s="6"/>
      <c r="K132" s="7">
        <v>40939</v>
      </c>
      <c r="L132" s="30">
        <v>2259225</v>
      </c>
      <c r="M132" s="30">
        <v>2144663</v>
      </c>
      <c r="N132" s="6" t="s">
        <v>30</v>
      </c>
      <c r="O132" s="31">
        <v>43103</v>
      </c>
      <c r="P132" s="32" t="e">
        <f>VLOOKUP(Table311[[#This Row],[UNIT NO.]],[1]!Table35711[[#Headers],[#Data],[Unit '#]:[Application/Sold/ Unsold]],7,0)</f>
        <v>#REF!</v>
      </c>
      <c r="S132" s="64"/>
    </row>
    <row r="133" spans="2:19" ht="26.25" x14ac:dyDescent="0.25">
      <c r="B133" s="5">
        <f t="shared" si="1"/>
        <v>130</v>
      </c>
      <c r="C133" s="29" t="s">
        <v>1160</v>
      </c>
      <c r="D133" s="6" t="s">
        <v>902</v>
      </c>
      <c r="E133" s="29" t="s">
        <v>1161</v>
      </c>
      <c r="F133" s="6">
        <v>1000</v>
      </c>
      <c r="G133" s="6" t="s">
        <v>26</v>
      </c>
      <c r="H133" s="6"/>
      <c r="I133" s="6"/>
      <c r="J133" s="6"/>
      <c r="K133" s="7">
        <v>41168</v>
      </c>
      <c r="L133" s="30">
        <v>2270000</v>
      </c>
      <c r="M133" s="30">
        <v>2157936</v>
      </c>
      <c r="N133" s="6" t="s">
        <v>30</v>
      </c>
      <c r="O133" s="31">
        <v>43103</v>
      </c>
      <c r="P133" s="32" t="e">
        <f>VLOOKUP(Table311[[#This Row],[UNIT NO.]],[1]!Table35711[[#Headers],[#Data],[Unit '#]:[Application/Sold/ Unsold]],7,0)</f>
        <v>#REF!</v>
      </c>
      <c r="S133" s="64"/>
    </row>
    <row r="134" spans="2:19" ht="26.25" x14ac:dyDescent="0.25">
      <c r="B134" s="5">
        <f t="shared" ref="B134:B197" si="2">B133+1</f>
        <v>131</v>
      </c>
      <c r="C134" s="29" t="s">
        <v>1162</v>
      </c>
      <c r="D134" s="6" t="s">
        <v>902</v>
      </c>
      <c r="E134" s="29" t="s">
        <v>1163</v>
      </c>
      <c r="F134" s="6">
        <v>1000</v>
      </c>
      <c r="G134" s="6" t="s">
        <v>26</v>
      </c>
      <c r="H134" s="6"/>
      <c r="I134" s="6"/>
      <c r="J134" s="6"/>
      <c r="K134" s="7">
        <v>40962</v>
      </c>
      <c r="L134" s="30">
        <v>2300000</v>
      </c>
      <c r="M134" s="30">
        <v>2300000</v>
      </c>
      <c r="N134" s="6" t="s">
        <v>27</v>
      </c>
      <c r="O134" s="31">
        <v>43103</v>
      </c>
      <c r="P134" s="32" t="e">
        <f>VLOOKUP(Table311[[#This Row],[UNIT NO.]],[1]!Table35711[[#Headers],[#Data],[Unit '#]:[Application/Sold/ Unsold]],7,0)</f>
        <v>#REF!</v>
      </c>
      <c r="S134" s="64"/>
    </row>
    <row r="135" spans="2:19" ht="26.25" x14ac:dyDescent="0.25">
      <c r="B135" s="5">
        <f t="shared" si="2"/>
        <v>132</v>
      </c>
      <c r="C135" s="29" t="s">
        <v>1164</v>
      </c>
      <c r="D135" s="6" t="s">
        <v>902</v>
      </c>
      <c r="E135" s="29" t="s">
        <v>1165</v>
      </c>
      <c r="F135" s="6">
        <v>1000</v>
      </c>
      <c r="G135" s="6" t="s">
        <v>26</v>
      </c>
      <c r="H135" s="6"/>
      <c r="I135" s="6"/>
      <c r="J135" s="6"/>
      <c r="K135" s="7">
        <v>40920</v>
      </c>
      <c r="L135" s="30">
        <v>2260000</v>
      </c>
      <c r="M135" s="30">
        <v>2260000</v>
      </c>
      <c r="N135" s="6" t="s">
        <v>30</v>
      </c>
      <c r="O135" s="31">
        <v>43103</v>
      </c>
      <c r="P135" s="32" t="e">
        <f>VLOOKUP(Table311[[#This Row],[UNIT NO.]],[1]!Table35711[[#Headers],[#Data],[Unit '#]:[Application/Sold/ Unsold]],7,0)</f>
        <v>#REF!</v>
      </c>
      <c r="S135" s="64"/>
    </row>
    <row r="136" spans="2:19" ht="39" x14ac:dyDescent="0.25">
      <c r="B136" s="5">
        <f t="shared" si="2"/>
        <v>133</v>
      </c>
      <c r="C136" s="29" t="s">
        <v>1166</v>
      </c>
      <c r="D136" s="6" t="s">
        <v>902</v>
      </c>
      <c r="E136" s="29" t="s">
        <v>1167</v>
      </c>
      <c r="F136" s="6">
        <v>1000</v>
      </c>
      <c r="G136" s="6" t="s">
        <v>26</v>
      </c>
      <c r="H136" s="6"/>
      <c r="I136" s="6"/>
      <c r="J136" s="6"/>
      <c r="K136" s="7">
        <v>40941</v>
      </c>
      <c r="L136" s="30">
        <v>2315000</v>
      </c>
      <c r="M136" s="30">
        <v>2198939</v>
      </c>
      <c r="N136" s="6" t="s">
        <v>27</v>
      </c>
      <c r="O136" s="31">
        <v>43103</v>
      </c>
      <c r="P136" s="32" t="e">
        <f>VLOOKUP(Table311[[#This Row],[UNIT NO.]],[1]!Table35711[[#Headers],[#Data],[Unit '#]:[Application/Sold/ Unsold]],7,0)</f>
        <v>#REF!</v>
      </c>
      <c r="S136" s="64"/>
    </row>
    <row r="137" spans="2:19" ht="26.25" x14ac:dyDescent="0.25">
      <c r="B137" s="5">
        <f t="shared" si="2"/>
        <v>134</v>
      </c>
      <c r="C137" s="29" t="s">
        <v>1168</v>
      </c>
      <c r="D137" s="6" t="s">
        <v>902</v>
      </c>
      <c r="E137" s="29" t="s">
        <v>1169</v>
      </c>
      <c r="F137" s="6">
        <v>1000</v>
      </c>
      <c r="G137" s="6" t="s">
        <v>26</v>
      </c>
      <c r="H137" s="6"/>
      <c r="I137" s="6"/>
      <c r="J137" s="6"/>
      <c r="K137" s="7">
        <v>40931</v>
      </c>
      <c r="L137" s="30">
        <v>2260000</v>
      </c>
      <c r="M137" s="30">
        <v>2148469</v>
      </c>
      <c r="N137" s="6" t="s">
        <v>30</v>
      </c>
      <c r="O137" s="31">
        <v>43103</v>
      </c>
      <c r="P137" s="32" t="e">
        <f>VLOOKUP(Table311[[#This Row],[UNIT NO.]],[1]!Table35711[[#Headers],[#Data],[Unit '#]:[Application/Sold/ Unsold]],7,0)</f>
        <v>#REF!</v>
      </c>
      <c r="S137" s="64"/>
    </row>
    <row r="138" spans="2:19" ht="26.25" x14ac:dyDescent="0.25">
      <c r="B138" s="5">
        <f t="shared" si="2"/>
        <v>135</v>
      </c>
      <c r="C138" s="29" t="s">
        <v>1170</v>
      </c>
      <c r="D138" s="6" t="s">
        <v>902</v>
      </c>
      <c r="E138" s="29" t="s">
        <v>1171</v>
      </c>
      <c r="F138" s="6">
        <v>1000</v>
      </c>
      <c r="G138" s="6" t="s">
        <v>26</v>
      </c>
      <c r="H138" s="6"/>
      <c r="I138" s="6"/>
      <c r="J138" s="6"/>
      <c r="K138" s="7">
        <v>40973</v>
      </c>
      <c r="L138" s="30">
        <v>1625000</v>
      </c>
      <c r="M138" s="30">
        <v>1625000</v>
      </c>
      <c r="N138" s="6" t="s">
        <v>30</v>
      </c>
      <c r="O138" s="31">
        <v>43103</v>
      </c>
      <c r="P138" s="32" t="e">
        <f>VLOOKUP(Table311[[#This Row],[UNIT NO.]],[1]!Table35711[[#Headers],[#Data],[Unit '#]:[Application/Sold/ Unsold]],7,0)</f>
        <v>#REF!</v>
      </c>
      <c r="S138" s="64"/>
    </row>
    <row r="139" spans="2:19" ht="51.75" x14ac:dyDescent="0.25">
      <c r="B139" s="5">
        <f t="shared" si="2"/>
        <v>136</v>
      </c>
      <c r="C139" s="29" t="s">
        <v>1172</v>
      </c>
      <c r="D139" s="6" t="s">
        <v>902</v>
      </c>
      <c r="E139" s="29" t="s">
        <v>1173</v>
      </c>
      <c r="F139" s="6">
        <v>1000</v>
      </c>
      <c r="G139" s="6" t="s">
        <v>26</v>
      </c>
      <c r="H139" s="6"/>
      <c r="I139" s="6"/>
      <c r="J139" s="6"/>
      <c r="K139" s="7">
        <v>40948</v>
      </c>
      <c r="L139" s="30">
        <v>1517500</v>
      </c>
      <c r="M139" s="30">
        <v>1443128.76</v>
      </c>
      <c r="N139" s="6" t="s">
        <v>30</v>
      </c>
      <c r="O139" s="31">
        <v>43103</v>
      </c>
      <c r="P139" s="32" t="e">
        <f>VLOOKUP(Table311[[#This Row],[UNIT NO.]],[1]!Table35711[[#Headers],[#Data],[Unit '#]:[Application/Sold/ Unsold]],7,0)</f>
        <v>#REF!</v>
      </c>
      <c r="S139" s="64"/>
    </row>
    <row r="140" spans="2:19" ht="39" x14ac:dyDescent="0.25">
      <c r="B140" s="5">
        <f t="shared" si="2"/>
        <v>137</v>
      </c>
      <c r="C140" s="29" t="s">
        <v>1174</v>
      </c>
      <c r="D140" s="6" t="s">
        <v>902</v>
      </c>
      <c r="E140" s="29" t="s">
        <v>1175</v>
      </c>
      <c r="F140" s="6">
        <v>1000</v>
      </c>
      <c r="G140" s="6" t="s">
        <v>26</v>
      </c>
      <c r="H140" s="6"/>
      <c r="I140" s="6"/>
      <c r="J140" s="6"/>
      <c r="K140" s="7">
        <v>40979</v>
      </c>
      <c r="L140" s="30">
        <v>2440000</v>
      </c>
      <c r="M140" s="30">
        <v>2440000</v>
      </c>
      <c r="N140" s="6" t="s">
        <v>30</v>
      </c>
      <c r="O140" s="31">
        <v>43103</v>
      </c>
      <c r="P140" s="32" t="e">
        <f>VLOOKUP(Table311[[#This Row],[UNIT NO.]],[1]!Table35711[[#Headers],[#Data],[Unit '#]:[Application/Sold/ Unsold]],7,0)</f>
        <v>#REF!</v>
      </c>
      <c r="S140" s="64"/>
    </row>
    <row r="141" spans="2:19" ht="39" x14ac:dyDescent="0.25">
      <c r="B141" s="5">
        <f t="shared" si="2"/>
        <v>138</v>
      </c>
      <c r="C141" s="29" t="s">
        <v>1158</v>
      </c>
      <c r="D141" s="6" t="s">
        <v>902</v>
      </c>
      <c r="E141" s="29" t="s">
        <v>1176</v>
      </c>
      <c r="F141" s="6">
        <v>1000</v>
      </c>
      <c r="G141" s="6" t="s">
        <v>26</v>
      </c>
      <c r="H141" s="6"/>
      <c r="I141" s="6"/>
      <c r="J141" s="6"/>
      <c r="K141" s="7">
        <v>40938</v>
      </c>
      <c r="L141" s="30">
        <v>2185600</v>
      </c>
      <c r="M141" s="30">
        <v>2185600</v>
      </c>
      <c r="N141" s="6" t="s">
        <v>30</v>
      </c>
      <c r="O141" s="31">
        <v>43103</v>
      </c>
      <c r="P141" s="32" t="e">
        <f>VLOOKUP(Table311[[#This Row],[UNIT NO.]],[1]!Table35711[[#Headers],[#Data],[Unit '#]:[Application/Sold/ Unsold]],7,0)</f>
        <v>#REF!</v>
      </c>
      <c r="S141" s="64"/>
    </row>
    <row r="142" spans="2:19" ht="26.25" x14ac:dyDescent="0.25">
      <c r="B142" s="5">
        <f t="shared" si="2"/>
        <v>139</v>
      </c>
      <c r="C142" s="29" t="s">
        <v>180</v>
      </c>
      <c r="D142" s="6" t="s">
        <v>902</v>
      </c>
      <c r="E142" s="29" t="s">
        <v>1177</v>
      </c>
      <c r="F142" s="6">
        <v>1000</v>
      </c>
      <c r="G142" s="6" t="s">
        <v>26</v>
      </c>
      <c r="H142" s="6"/>
      <c r="I142" s="6"/>
      <c r="J142" s="6"/>
      <c r="K142" s="7">
        <v>41168</v>
      </c>
      <c r="L142" s="30">
        <v>2274000</v>
      </c>
      <c r="M142" s="30">
        <v>2117182</v>
      </c>
      <c r="N142" s="6" t="s">
        <v>30</v>
      </c>
      <c r="O142" s="31">
        <v>43103</v>
      </c>
      <c r="P142" s="32" t="e">
        <f>VLOOKUP(Table311[[#This Row],[UNIT NO.]],[1]!Table35711[[#Headers],[#Data],[Unit '#]:[Application/Sold/ Unsold]],7,0)</f>
        <v>#REF!</v>
      </c>
      <c r="S142" s="64"/>
    </row>
    <row r="143" spans="2:19" ht="26.25" x14ac:dyDescent="0.25">
      <c r="B143" s="5">
        <f t="shared" si="2"/>
        <v>140</v>
      </c>
      <c r="C143" s="29" t="s">
        <v>1178</v>
      </c>
      <c r="D143" s="6" t="s">
        <v>902</v>
      </c>
      <c r="E143" s="29" t="s">
        <v>1179</v>
      </c>
      <c r="F143" s="6">
        <v>1000</v>
      </c>
      <c r="G143" s="6" t="s">
        <v>26</v>
      </c>
      <c r="H143" s="6"/>
      <c r="I143" s="6"/>
      <c r="J143" s="6"/>
      <c r="K143" s="7">
        <v>40938</v>
      </c>
      <c r="L143" s="30">
        <v>2185600</v>
      </c>
      <c r="M143" s="30">
        <v>2185600</v>
      </c>
      <c r="N143" s="6" t="s">
        <v>30</v>
      </c>
      <c r="O143" s="31">
        <v>43103</v>
      </c>
      <c r="P143" s="32" t="e">
        <f>VLOOKUP(Table311[[#This Row],[UNIT NO.]],[1]!Table35711[[#Headers],[#Data],[Unit '#]:[Application/Sold/ Unsold]],7,0)</f>
        <v>#REF!</v>
      </c>
      <c r="S143" s="64"/>
    </row>
    <row r="144" spans="2:19" ht="26.25" x14ac:dyDescent="0.25">
      <c r="B144" s="5">
        <f t="shared" si="2"/>
        <v>141</v>
      </c>
      <c r="C144" s="29" t="s">
        <v>1180</v>
      </c>
      <c r="D144" s="6" t="s">
        <v>902</v>
      </c>
      <c r="E144" s="29" t="s">
        <v>1181</v>
      </c>
      <c r="F144" s="6">
        <v>1000</v>
      </c>
      <c r="G144" s="6" t="s">
        <v>26</v>
      </c>
      <c r="H144" s="6"/>
      <c r="I144" s="6"/>
      <c r="J144" s="6"/>
      <c r="K144" s="7">
        <v>40962</v>
      </c>
      <c r="L144" s="30">
        <v>2326250</v>
      </c>
      <c r="M144" s="30">
        <v>2326250</v>
      </c>
      <c r="N144" s="6" t="s">
        <v>39</v>
      </c>
      <c r="O144" s="31">
        <v>43103</v>
      </c>
      <c r="P144" s="32" t="e">
        <f>VLOOKUP(Table311[[#This Row],[UNIT NO.]],[1]!Table35711[[#Headers],[#Data],[Unit '#]:[Application/Sold/ Unsold]],7,0)</f>
        <v>#REF!</v>
      </c>
      <c r="S144" s="64"/>
    </row>
    <row r="145" spans="2:19" ht="26.25" x14ac:dyDescent="0.25">
      <c r="B145" s="5">
        <f t="shared" si="2"/>
        <v>142</v>
      </c>
      <c r="C145" s="29" t="s">
        <v>1182</v>
      </c>
      <c r="D145" s="6" t="s">
        <v>902</v>
      </c>
      <c r="E145" s="29" t="s">
        <v>1183</v>
      </c>
      <c r="F145" s="6">
        <v>1000</v>
      </c>
      <c r="G145" s="6" t="s">
        <v>26</v>
      </c>
      <c r="H145" s="6"/>
      <c r="I145" s="6"/>
      <c r="J145" s="6"/>
      <c r="K145" s="7">
        <v>40953</v>
      </c>
      <c r="L145" s="30">
        <v>2265000</v>
      </c>
      <c r="M145" s="30">
        <v>1445782</v>
      </c>
      <c r="N145" s="6" t="s">
        <v>30</v>
      </c>
      <c r="O145" s="31">
        <v>43103</v>
      </c>
      <c r="P145" s="32" t="e">
        <f>VLOOKUP(Table311[[#This Row],[UNIT NO.]],[1]!Table35711[[#Headers],[#Data],[Unit '#]:[Application/Sold/ Unsold]],7,0)</f>
        <v>#REF!</v>
      </c>
      <c r="S145" s="64"/>
    </row>
    <row r="146" spans="2:19" ht="26.25" x14ac:dyDescent="0.25">
      <c r="B146" s="5">
        <f t="shared" si="2"/>
        <v>143</v>
      </c>
      <c r="C146" s="29" t="s">
        <v>1184</v>
      </c>
      <c r="D146" s="6" t="s">
        <v>902</v>
      </c>
      <c r="E146" s="29" t="s">
        <v>1185</v>
      </c>
      <c r="F146" s="6">
        <v>1000</v>
      </c>
      <c r="G146" s="6" t="s">
        <v>26</v>
      </c>
      <c r="H146" s="6"/>
      <c r="I146" s="6"/>
      <c r="J146" s="6"/>
      <c r="K146" s="7">
        <v>40962</v>
      </c>
      <c r="L146" s="30">
        <v>2326250</v>
      </c>
      <c r="M146" s="30">
        <v>2326250</v>
      </c>
      <c r="N146" s="6" t="s">
        <v>39</v>
      </c>
      <c r="O146" s="31">
        <v>43103</v>
      </c>
      <c r="P146" s="32" t="e">
        <f>VLOOKUP(Table311[[#This Row],[UNIT NO.]],[1]!Table35711[[#Headers],[#Data],[Unit '#]:[Application/Sold/ Unsold]],7,0)</f>
        <v>#REF!</v>
      </c>
      <c r="S146" s="64"/>
    </row>
    <row r="147" spans="2:19" ht="26.25" x14ac:dyDescent="0.25">
      <c r="B147" s="5">
        <f t="shared" si="2"/>
        <v>144</v>
      </c>
      <c r="C147" s="29" t="s">
        <v>1186</v>
      </c>
      <c r="D147" s="6" t="s">
        <v>902</v>
      </c>
      <c r="E147" s="29" t="s">
        <v>1187</v>
      </c>
      <c r="F147" s="6">
        <v>1000</v>
      </c>
      <c r="G147" s="6" t="s">
        <v>26</v>
      </c>
      <c r="H147" s="6"/>
      <c r="I147" s="6"/>
      <c r="J147" s="6"/>
      <c r="K147" s="7">
        <v>40953</v>
      </c>
      <c r="L147" s="30">
        <v>2265000</v>
      </c>
      <c r="M147" s="30">
        <v>2265000</v>
      </c>
      <c r="N147" s="6" t="s">
        <v>30</v>
      </c>
      <c r="O147" s="31">
        <v>43103</v>
      </c>
      <c r="P147" s="32" t="e">
        <f>VLOOKUP(Table311[[#This Row],[UNIT NO.]],[1]!Table35711[[#Headers],[#Data],[Unit '#]:[Application/Sold/ Unsold]],7,0)</f>
        <v>#REF!</v>
      </c>
      <c r="S147" s="64"/>
    </row>
    <row r="148" spans="2:19" ht="39" x14ac:dyDescent="0.25">
      <c r="B148" s="5">
        <f t="shared" si="2"/>
        <v>145</v>
      </c>
      <c r="C148" s="29" t="s">
        <v>1188</v>
      </c>
      <c r="D148" s="6" t="s">
        <v>902</v>
      </c>
      <c r="E148" s="29" t="s">
        <v>1189</v>
      </c>
      <c r="F148" s="6">
        <v>1000</v>
      </c>
      <c r="G148" s="6" t="s">
        <v>26</v>
      </c>
      <c r="H148" s="6"/>
      <c r="I148" s="6"/>
      <c r="J148" s="6"/>
      <c r="K148" s="7">
        <v>40932</v>
      </c>
      <c r="L148" s="30">
        <v>2301000</v>
      </c>
      <c r="M148" s="30">
        <v>2301000</v>
      </c>
      <c r="N148" s="6" t="s">
        <v>27</v>
      </c>
      <c r="O148" s="31">
        <v>43103</v>
      </c>
      <c r="P148" s="32" t="e">
        <f>VLOOKUP(Table311[[#This Row],[UNIT NO.]],[1]!Table35711[[#Headers],[#Data],[Unit '#]:[Application/Sold/ Unsold]],7,0)</f>
        <v>#REF!</v>
      </c>
      <c r="S148" s="64"/>
    </row>
    <row r="149" spans="2:19" ht="26.25" x14ac:dyDescent="0.25">
      <c r="B149" s="5">
        <f t="shared" si="2"/>
        <v>146</v>
      </c>
      <c r="C149" s="29" t="s">
        <v>1190</v>
      </c>
      <c r="D149" s="6" t="s">
        <v>902</v>
      </c>
      <c r="E149" s="29" t="s">
        <v>1191</v>
      </c>
      <c r="F149" s="6">
        <v>1000</v>
      </c>
      <c r="G149" s="6" t="s">
        <v>26</v>
      </c>
      <c r="H149" s="6"/>
      <c r="I149" s="6"/>
      <c r="J149" s="6"/>
      <c r="K149" s="7">
        <v>40968</v>
      </c>
      <c r="L149" s="30">
        <v>2238750</v>
      </c>
      <c r="M149" s="30">
        <v>2127069</v>
      </c>
      <c r="N149" s="6" t="s">
        <v>46</v>
      </c>
      <c r="O149" s="31">
        <v>43103</v>
      </c>
      <c r="P149" s="32" t="e">
        <f>VLOOKUP(Table311[[#This Row],[UNIT NO.]],[1]!Table35711[[#Headers],[#Data],[Unit '#]:[Application/Sold/ Unsold]],7,0)</f>
        <v>#REF!</v>
      </c>
      <c r="S149" s="64"/>
    </row>
    <row r="150" spans="2:19" ht="39" x14ac:dyDescent="0.25">
      <c r="B150" s="5">
        <f t="shared" si="2"/>
        <v>147</v>
      </c>
      <c r="C150" s="29" t="s">
        <v>1192</v>
      </c>
      <c r="D150" s="6" t="s">
        <v>902</v>
      </c>
      <c r="E150" s="29" t="s">
        <v>1193</v>
      </c>
      <c r="F150" s="6">
        <v>1000</v>
      </c>
      <c r="G150" s="6" t="s">
        <v>26</v>
      </c>
      <c r="H150" s="6"/>
      <c r="I150" s="6"/>
      <c r="J150" s="6"/>
      <c r="K150" s="7">
        <v>41168</v>
      </c>
      <c r="L150" s="30">
        <v>2250000</v>
      </c>
      <c r="M150" s="30">
        <v>2247650</v>
      </c>
      <c r="N150" s="6" t="s">
        <v>30</v>
      </c>
      <c r="O150" s="31">
        <v>43103</v>
      </c>
      <c r="P150" s="32" t="e">
        <f>VLOOKUP(Table311[[#This Row],[UNIT NO.]],[1]!Table35711[[#Headers],[#Data],[Unit '#]:[Application/Sold/ Unsold]],7,0)</f>
        <v>#REF!</v>
      </c>
      <c r="S150" s="64"/>
    </row>
    <row r="151" spans="2:19" ht="26.25" x14ac:dyDescent="0.25">
      <c r="B151" s="5">
        <f t="shared" si="2"/>
        <v>148</v>
      </c>
      <c r="C151" s="29" t="s">
        <v>1194</v>
      </c>
      <c r="D151" s="6" t="s">
        <v>902</v>
      </c>
      <c r="E151" s="29" t="s">
        <v>1195</v>
      </c>
      <c r="F151" s="6">
        <v>1000</v>
      </c>
      <c r="G151" s="6" t="s">
        <v>26</v>
      </c>
      <c r="H151" s="6"/>
      <c r="I151" s="6"/>
      <c r="J151" s="6"/>
      <c r="K151" s="7">
        <v>40968</v>
      </c>
      <c r="L151" s="30">
        <v>2275000</v>
      </c>
      <c r="M151" s="30">
        <v>2161655</v>
      </c>
      <c r="N151" s="6" t="s">
        <v>27</v>
      </c>
      <c r="O151" s="31">
        <v>43103</v>
      </c>
      <c r="P151" s="32" t="e">
        <f>VLOOKUP(Table311[[#This Row],[UNIT NO.]],[1]!Table35711[[#Headers],[#Data],[Unit '#]:[Application/Sold/ Unsold]],7,0)</f>
        <v>#REF!</v>
      </c>
      <c r="S151" s="64"/>
    </row>
    <row r="152" spans="2:19" ht="26.25" x14ac:dyDescent="0.25">
      <c r="B152" s="5">
        <f t="shared" si="2"/>
        <v>149</v>
      </c>
      <c r="C152" s="29" t="s">
        <v>1196</v>
      </c>
      <c r="D152" s="6" t="s">
        <v>902</v>
      </c>
      <c r="E152" s="29" t="s">
        <v>1197</v>
      </c>
      <c r="F152" s="6">
        <v>1000</v>
      </c>
      <c r="G152" s="6" t="s">
        <v>26</v>
      </c>
      <c r="H152" s="6"/>
      <c r="I152" s="6"/>
      <c r="J152" s="6"/>
      <c r="K152" s="7">
        <v>40967</v>
      </c>
      <c r="L152" s="30">
        <v>2267625</v>
      </c>
      <c r="M152" s="30">
        <v>2153720</v>
      </c>
      <c r="N152" s="6" t="s">
        <v>27</v>
      </c>
      <c r="O152" s="31">
        <v>43103</v>
      </c>
      <c r="P152" s="32" t="e">
        <f>VLOOKUP(Table311[[#This Row],[UNIT NO.]],[1]!Table35711[[#Headers],[#Data],[Unit '#]:[Application/Sold/ Unsold]],7,0)</f>
        <v>#REF!</v>
      </c>
      <c r="S152" s="64"/>
    </row>
    <row r="153" spans="2:19" ht="39" x14ac:dyDescent="0.25">
      <c r="B153" s="5">
        <f t="shared" si="2"/>
        <v>150</v>
      </c>
      <c r="C153" s="29" t="s">
        <v>1198</v>
      </c>
      <c r="D153" s="6" t="s">
        <v>902</v>
      </c>
      <c r="E153" s="29" t="s">
        <v>1199</v>
      </c>
      <c r="F153" s="6">
        <v>1000</v>
      </c>
      <c r="G153" s="6" t="s">
        <v>26</v>
      </c>
      <c r="H153" s="6"/>
      <c r="I153" s="6"/>
      <c r="J153" s="6"/>
      <c r="K153" s="7">
        <v>40968</v>
      </c>
      <c r="L153" s="30">
        <v>2275000</v>
      </c>
      <c r="M153" s="30">
        <v>2161994</v>
      </c>
      <c r="N153" s="6" t="s">
        <v>30</v>
      </c>
      <c r="O153" s="31">
        <v>43103</v>
      </c>
      <c r="P153" s="32" t="e">
        <f>VLOOKUP(Table311[[#This Row],[UNIT NO.]],[1]!Table35711[[#Headers],[#Data],[Unit '#]:[Application/Sold/ Unsold]],7,0)</f>
        <v>#REF!</v>
      </c>
      <c r="S153" s="64"/>
    </row>
    <row r="154" spans="2:19" ht="26.25" x14ac:dyDescent="0.25">
      <c r="B154" s="5">
        <f t="shared" si="2"/>
        <v>151</v>
      </c>
      <c r="C154" s="29" t="s">
        <v>1200</v>
      </c>
      <c r="D154" s="6" t="s">
        <v>902</v>
      </c>
      <c r="E154" s="29" t="s">
        <v>1201</v>
      </c>
      <c r="F154" s="6">
        <v>1000</v>
      </c>
      <c r="G154" s="6" t="s">
        <v>26</v>
      </c>
      <c r="H154" s="6"/>
      <c r="I154" s="6"/>
      <c r="J154" s="6"/>
      <c r="K154" s="7">
        <v>40967</v>
      </c>
      <c r="L154" s="30">
        <v>2267625</v>
      </c>
      <c r="M154" s="30">
        <v>2113072</v>
      </c>
      <c r="N154" s="6" t="s">
        <v>27</v>
      </c>
      <c r="O154" s="31">
        <v>43103</v>
      </c>
      <c r="P154" s="32" t="e">
        <f>VLOOKUP(Table311[[#This Row],[UNIT NO.]],[1]!Table35711[[#Headers],[#Data],[Unit '#]:[Application/Sold/ Unsold]],7,0)</f>
        <v>#REF!</v>
      </c>
      <c r="S154" s="64"/>
    </row>
    <row r="155" spans="2:19" ht="26.25" x14ac:dyDescent="0.25">
      <c r="B155" s="5">
        <f t="shared" si="2"/>
        <v>152</v>
      </c>
      <c r="C155" s="29" t="s">
        <v>1202</v>
      </c>
      <c r="D155" s="6" t="s">
        <v>902</v>
      </c>
      <c r="E155" s="29" t="s">
        <v>1203</v>
      </c>
      <c r="F155" s="6">
        <v>1000</v>
      </c>
      <c r="G155" s="6" t="s">
        <v>26</v>
      </c>
      <c r="H155" s="6"/>
      <c r="I155" s="6"/>
      <c r="J155" s="6"/>
      <c r="K155" s="7">
        <v>40968</v>
      </c>
      <c r="L155" s="30">
        <v>2276000</v>
      </c>
      <c r="M155" s="30">
        <v>2276000</v>
      </c>
      <c r="N155" s="6" t="s">
        <v>27</v>
      </c>
      <c r="O155" s="31">
        <v>43103</v>
      </c>
      <c r="P155" s="32" t="e">
        <f>VLOOKUP(Table311[[#This Row],[UNIT NO.]],[1]!Table35711[[#Headers],[#Data],[Unit '#]:[Application/Sold/ Unsold]],7,0)</f>
        <v>#REF!</v>
      </c>
      <c r="S155" s="64"/>
    </row>
    <row r="156" spans="2:19" x14ac:dyDescent="0.25">
      <c r="B156" s="5">
        <f t="shared" si="2"/>
        <v>153</v>
      </c>
      <c r="C156" s="33" t="s">
        <v>1204</v>
      </c>
      <c r="D156" s="6" t="s">
        <v>902</v>
      </c>
      <c r="E156" s="33" t="s">
        <v>1205</v>
      </c>
      <c r="F156" s="34">
        <v>1000</v>
      </c>
      <c r="G156" s="6" t="s">
        <v>26</v>
      </c>
      <c r="H156" s="6"/>
      <c r="I156" s="6"/>
      <c r="J156" s="6"/>
      <c r="K156" s="35">
        <v>42758</v>
      </c>
      <c r="L156" s="36">
        <v>2375000</v>
      </c>
      <c r="M156" s="30">
        <v>1875000</v>
      </c>
      <c r="N156" s="6" t="s">
        <v>30</v>
      </c>
      <c r="O156" s="31">
        <v>43103</v>
      </c>
      <c r="P156" s="32" t="e">
        <f>VLOOKUP(Table311[[#This Row],[UNIT NO.]],[1]!Table35711[[#Headers],[#Data],[Unit '#]:[Application/Sold/ Unsold]],7,0)</f>
        <v>#REF!</v>
      </c>
      <c r="S156" s="64"/>
    </row>
    <row r="157" spans="2:19" ht="39" x14ac:dyDescent="0.25">
      <c r="B157" s="5">
        <f t="shared" si="2"/>
        <v>154</v>
      </c>
      <c r="C157" s="29" t="s">
        <v>1206</v>
      </c>
      <c r="D157" s="6" t="s">
        <v>902</v>
      </c>
      <c r="E157" s="29" t="s">
        <v>1207</v>
      </c>
      <c r="F157" s="6">
        <v>1000</v>
      </c>
      <c r="G157" s="6" t="s">
        <v>26</v>
      </c>
      <c r="H157" s="6"/>
      <c r="I157" s="6"/>
      <c r="J157" s="6"/>
      <c r="K157" s="7">
        <v>41179</v>
      </c>
      <c r="L157" s="30">
        <v>2170625</v>
      </c>
      <c r="M157" s="30">
        <v>2100933</v>
      </c>
      <c r="N157" s="6" t="s">
        <v>27</v>
      </c>
      <c r="O157" s="31">
        <v>43103</v>
      </c>
      <c r="P157" s="32" t="e">
        <f>VLOOKUP(Table311[[#This Row],[UNIT NO.]],[1]!Table35711[[#Headers],[#Data],[Unit '#]:[Application/Sold/ Unsold]],7,0)</f>
        <v>#REF!</v>
      </c>
      <c r="S157" s="64"/>
    </row>
    <row r="158" spans="2:19" ht="26.25" x14ac:dyDescent="0.25">
      <c r="B158" s="5">
        <f t="shared" si="2"/>
        <v>155</v>
      </c>
      <c r="C158" s="29" t="s">
        <v>1208</v>
      </c>
      <c r="D158" s="6" t="s">
        <v>902</v>
      </c>
      <c r="E158" s="29" t="s">
        <v>1209</v>
      </c>
      <c r="F158" s="6">
        <v>1000</v>
      </c>
      <c r="G158" s="6" t="s">
        <v>26</v>
      </c>
      <c r="H158" s="6"/>
      <c r="I158" s="6"/>
      <c r="J158" s="6"/>
      <c r="K158" s="7">
        <v>41556</v>
      </c>
      <c r="L158" s="30">
        <v>3186950</v>
      </c>
      <c r="M158" s="30">
        <v>3186950</v>
      </c>
      <c r="N158" s="6" t="s">
        <v>46</v>
      </c>
      <c r="O158" s="31">
        <v>43103</v>
      </c>
      <c r="P158" s="32" t="e">
        <f>VLOOKUP(Table311[[#This Row],[UNIT NO.]],[1]!Table35711[[#Headers],[#Data],[Unit '#]:[Application/Sold/ Unsold]],7,0)</f>
        <v>#REF!</v>
      </c>
      <c r="S158" s="64"/>
    </row>
    <row r="159" spans="2:19" ht="26.25" x14ac:dyDescent="0.25">
      <c r="B159" s="5">
        <f t="shared" si="2"/>
        <v>156</v>
      </c>
      <c r="C159" s="29" t="s">
        <v>1210</v>
      </c>
      <c r="D159" s="6" t="s">
        <v>902</v>
      </c>
      <c r="E159" s="29" t="s">
        <v>1211</v>
      </c>
      <c r="F159" s="6">
        <v>1000</v>
      </c>
      <c r="G159" s="6" t="s">
        <v>26</v>
      </c>
      <c r="H159" s="6"/>
      <c r="I159" s="6"/>
      <c r="J159" s="6"/>
      <c r="K159" s="7">
        <v>40938</v>
      </c>
      <c r="L159" s="30">
        <v>2153000</v>
      </c>
      <c r="M159" s="30">
        <v>2153000</v>
      </c>
      <c r="N159" s="6" t="s">
        <v>30</v>
      </c>
      <c r="O159" s="31">
        <v>43103</v>
      </c>
      <c r="P159" s="32" t="e">
        <f>VLOOKUP(Table311[[#This Row],[UNIT NO.]],[1]!Table35711[[#Headers],[#Data],[Unit '#]:[Application/Sold/ Unsold]],7,0)</f>
        <v>#REF!</v>
      </c>
      <c r="S159" s="64"/>
    </row>
    <row r="160" spans="2:19" ht="39" x14ac:dyDescent="0.25">
      <c r="B160" s="5">
        <f t="shared" si="2"/>
        <v>157</v>
      </c>
      <c r="C160" s="29" t="s">
        <v>1212</v>
      </c>
      <c r="D160" s="6" t="s">
        <v>902</v>
      </c>
      <c r="E160" s="29" t="s">
        <v>1213</v>
      </c>
      <c r="F160" s="6">
        <v>1000</v>
      </c>
      <c r="G160" s="6" t="s">
        <v>26</v>
      </c>
      <c r="H160" s="6"/>
      <c r="I160" s="6"/>
      <c r="J160" s="6"/>
      <c r="K160" s="7">
        <v>41080</v>
      </c>
      <c r="L160" s="30">
        <v>2295625</v>
      </c>
      <c r="M160" s="30">
        <v>2263760</v>
      </c>
      <c r="N160" s="6" t="s">
        <v>27</v>
      </c>
      <c r="O160" s="31">
        <v>43103</v>
      </c>
      <c r="P160" s="32" t="e">
        <f>VLOOKUP(Table311[[#This Row],[UNIT NO.]],[1]!Table35711[[#Headers],[#Data],[Unit '#]:[Application/Sold/ Unsold]],7,0)</f>
        <v>#REF!</v>
      </c>
      <c r="S160" s="64"/>
    </row>
    <row r="161" spans="2:19" ht="26.25" x14ac:dyDescent="0.25">
      <c r="B161" s="5">
        <f t="shared" si="2"/>
        <v>158</v>
      </c>
      <c r="C161" s="29" t="s">
        <v>1214</v>
      </c>
      <c r="D161" s="6" t="s">
        <v>902</v>
      </c>
      <c r="E161" s="29" t="s">
        <v>1215</v>
      </c>
      <c r="F161" s="6">
        <v>1000</v>
      </c>
      <c r="G161" s="6" t="s">
        <v>26</v>
      </c>
      <c r="H161" s="6"/>
      <c r="I161" s="6"/>
      <c r="J161" s="6"/>
      <c r="K161" s="7">
        <v>40991</v>
      </c>
      <c r="L161" s="30">
        <v>2138000</v>
      </c>
      <c r="M161" s="30">
        <v>2138000</v>
      </c>
      <c r="N161" s="6" t="s">
        <v>30</v>
      </c>
      <c r="O161" s="31">
        <v>43103</v>
      </c>
      <c r="P161" s="32" t="e">
        <f>VLOOKUP(Table311[[#This Row],[UNIT NO.]],[1]!Table35711[[#Headers],[#Data],[Unit '#]:[Application/Sold/ Unsold]],7,0)</f>
        <v>#REF!</v>
      </c>
      <c r="S161" s="64"/>
    </row>
    <row r="162" spans="2:19" ht="39" x14ac:dyDescent="0.25">
      <c r="B162" s="5">
        <f t="shared" si="2"/>
        <v>159</v>
      </c>
      <c r="C162" s="29" t="s">
        <v>1216</v>
      </c>
      <c r="D162" s="6" t="s">
        <v>902</v>
      </c>
      <c r="E162" s="29" t="s">
        <v>1217</v>
      </c>
      <c r="F162" s="6">
        <v>1000</v>
      </c>
      <c r="G162" s="6" t="s">
        <v>26</v>
      </c>
      <c r="H162" s="6"/>
      <c r="I162" s="6"/>
      <c r="J162" s="6"/>
      <c r="K162" s="7">
        <v>41076</v>
      </c>
      <c r="L162" s="30">
        <v>2319375</v>
      </c>
      <c r="M162" s="30">
        <v>2319375</v>
      </c>
      <c r="N162" s="6" t="s">
        <v>39</v>
      </c>
      <c r="O162" s="31">
        <v>43103</v>
      </c>
      <c r="P162" s="32" t="e">
        <f>VLOOKUP(Table311[[#This Row],[UNIT NO.]],[1]!Table35711[[#Headers],[#Data],[Unit '#]:[Application/Sold/ Unsold]],7,0)</f>
        <v>#REF!</v>
      </c>
      <c r="S162" s="64"/>
    </row>
    <row r="163" spans="2:19" ht="26.25" x14ac:dyDescent="0.25">
      <c r="B163" s="5">
        <f t="shared" si="2"/>
        <v>160</v>
      </c>
      <c r="C163" s="29" t="s">
        <v>1218</v>
      </c>
      <c r="D163" s="6" t="s">
        <v>902</v>
      </c>
      <c r="E163" s="29" t="s">
        <v>1219</v>
      </c>
      <c r="F163" s="6">
        <v>1000</v>
      </c>
      <c r="G163" s="6" t="s">
        <v>26</v>
      </c>
      <c r="H163" s="6"/>
      <c r="I163" s="6"/>
      <c r="J163" s="6"/>
      <c r="K163" s="7">
        <v>40967</v>
      </c>
      <c r="L163" s="30">
        <v>2138000</v>
      </c>
      <c r="M163" s="30">
        <v>2138000</v>
      </c>
      <c r="N163" s="6" t="s">
        <v>30</v>
      </c>
      <c r="O163" s="31">
        <v>43103</v>
      </c>
      <c r="P163" s="32" t="e">
        <f>VLOOKUP(Table311[[#This Row],[UNIT NO.]],[1]!Table35711[[#Headers],[#Data],[Unit '#]:[Application/Sold/ Unsold]],7,0)</f>
        <v>#REF!</v>
      </c>
      <c r="S163" s="64"/>
    </row>
    <row r="164" spans="2:19" ht="26.25" x14ac:dyDescent="0.25">
      <c r="B164" s="5">
        <f t="shared" si="2"/>
        <v>161</v>
      </c>
      <c r="C164" s="29" t="s">
        <v>1220</v>
      </c>
      <c r="D164" s="6" t="s">
        <v>902</v>
      </c>
      <c r="E164" s="29" t="s">
        <v>1221</v>
      </c>
      <c r="F164" s="6">
        <v>1000</v>
      </c>
      <c r="G164" s="6" t="s">
        <v>26</v>
      </c>
      <c r="H164" s="6"/>
      <c r="I164" s="6"/>
      <c r="J164" s="6"/>
      <c r="K164" s="7">
        <v>41179</v>
      </c>
      <c r="L164" s="30">
        <v>2150000</v>
      </c>
      <c r="M164" s="30">
        <v>2150000</v>
      </c>
      <c r="N164" s="6" t="s">
        <v>27</v>
      </c>
      <c r="O164" s="31">
        <v>43103</v>
      </c>
      <c r="P164" s="32" t="e">
        <f>VLOOKUP(Table311[[#This Row],[UNIT NO.]],[1]!Table35711[[#Headers],[#Data],[Unit '#]:[Application/Sold/ Unsold]],7,0)</f>
        <v>#REF!</v>
      </c>
      <c r="S164" s="64"/>
    </row>
    <row r="165" spans="2:19" ht="26.25" x14ac:dyDescent="0.25">
      <c r="B165" s="5">
        <f t="shared" si="2"/>
        <v>162</v>
      </c>
      <c r="C165" s="29" t="s">
        <v>1222</v>
      </c>
      <c r="D165" s="6" t="s">
        <v>902</v>
      </c>
      <c r="E165" s="29" t="s">
        <v>1223</v>
      </c>
      <c r="F165" s="6">
        <v>1000</v>
      </c>
      <c r="G165" s="6" t="s">
        <v>26</v>
      </c>
      <c r="H165" s="6"/>
      <c r="I165" s="6"/>
      <c r="J165" s="6"/>
      <c r="K165" s="7">
        <v>40960</v>
      </c>
      <c r="L165" s="30">
        <v>2158750</v>
      </c>
      <c r="M165" s="30">
        <v>2051981</v>
      </c>
      <c r="N165" s="6" t="s">
        <v>144</v>
      </c>
      <c r="O165" s="31">
        <v>43103</v>
      </c>
      <c r="P165" s="32" t="e">
        <f>VLOOKUP(Table311[[#This Row],[UNIT NO.]],[1]!Table35711[[#Headers],[#Data],[Unit '#]:[Application/Sold/ Unsold]],7,0)</f>
        <v>#REF!</v>
      </c>
      <c r="S165" s="64"/>
    </row>
    <row r="166" spans="2:19" ht="26.25" x14ac:dyDescent="0.25">
      <c r="B166" s="5">
        <f t="shared" si="2"/>
        <v>163</v>
      </c>
      <c r="C166" s="29" t="s">
        <v>1224</v>
      </c>
      <c r="D166" s="6" t="s">
        <v>902</v>
      </c>
      <c r="E166" s="29" t="s">
        <v>1225</v>
      </c>
      <c r="F166" s="6">
        <v>1000</v>
      </c>
      <c r="G166" s="6" t="s">
        <v>26</v>
      </c>
      <c r="H166" s="6"/>
      <c r="I166" s="6"/>
      <c r="J166" s="6"/>
      <c r="K166" s="7">
        <v>40984</v>
      </c>
      <c r="L166" s="30">
        <v>2093750</v>
      </c>
      <c r="M166" s="30">
        <v>1779506</v>
      </c>
      <c r="N166" s="6" t="s">
        <v>27</v>
      </c>
      <c r="O166" s="31">
        <v>43103</v>
      </c>
      <c r="P166" s="32" t="e">
        <f>VLOOKUP(Table311[[#This Row],[UNIT NO.]],[1]!Table35711[[#Headers],[#Data],[Unit '#]:[Application/Sold/ Unsold]],7,0)</f>
        <v>#REF!</v>
      </c>
      <c r="S166" s="64"/>
    </row>
    <row r="167" spans="2:19" ht="51.75" x14ac:dyDescent="0.25">
      <c r="B167" s="5">
        <f t="shared" si="2"/>
        <v>164</v>
      </c>
      <c r="C167" s="29" t="s">
        <v>1226</v>
      </c>
      <c r="D167" s="6" t="s">
        <v>902</v>
      </c>
      <c r="E167" s="29" t="s">
        <v>1227</v>
      </c>
      <c r="F167" s="6">
        <v>1000</v>
      </c>
      <c r="G167" s="6" t="s">
        <v>26</v>
      </c>
      <c r="H167" s="6"/>
      <c r="I167" s="6"/>
      <c r="J167" s="6"/>
      <c r="K167" s="7">
        <v>41046</v>
      </c>
      <c r="L167" s="30">
        <v>2227625</v>
      </c>
      <c r="M167" s="30">
        <v>2220879</v>
      </c>
      <c r="N167" s="6" t="s">
        <v>27</v>
      </c>
      <c r="O167" s="31">
        <v>43103</v>
      </c>
      <c r="P167" s="32" t="e">
        <f>VLOOKUP(Table311[[#This Row],[UNIT NO.]],[1]!Table35711[[#Headers],[#Data],[Unit '#]:[Application/Sold/ Unsold]],7,0)</f>
        <v>#REF!</v>
      </c>
      <c r="S167" s="64"/>
    </row>
    <row r="168" spans="2:19" ht="26.25" x14ac:dyDescent="0.25">
      <c r="B168" s="5">
        <f t="shared" si="2"/>
        <v>165</v>
      </c>
      <c r="C168" s="29" t="s">
        <v>1228</v>
      </c>
      <c r="D168" s="6" t="s">
        <v>902</v>
      </c>
      <c r="E168" s="29" t="s">
        <v>1229</v>
      </c>
      <c r="F168" s="6">
        <v>1000</v>
      </c>
      <c r="G168" s="6" t="s">
        <v>26</v>
      </c>
      <c r="H168" s="6"/>
      <c r="I168" s="6"/>
      <c r="J168" s="6"/>
      <c r="K168" s="7">
        <v>41678</v>
      </c>
      <c r="L168" s="30">
        <v>3299760</v>
      </c>
      <c r="M168" s="30">
        <v>3295770</v>
      </c>
      <c r="N168" s="6" t="s">
        <v>46</v>
      </c>
      <c r="O168" s="31">
        <v>43103</v>
      </c>
      <c r="P168" s="32" t="e">
        <f>VLOOKUP(Table311[[#This Row],[UNIT NO.]],[1]!Table35711[[#Headers],[#Data],[Unit '#]:[Application/Sold/ Unsold]],7,0)</f>
        <v>#REF!</v>
      </c>
      <c r="S168" s="64"/>
    </row>
    <row r="169" spans="2:19" ht="26.25" x14ac:dyDescent="0.25">
      <c r="B169" s="5">
        <f t="shared" si="2"/>
        <v>166</v>
      </c>
      <c r="C169" s="29" t="s">
        <v>1230</v>
      </c>
      <c r="D169" s="6" t="s">
        <v>902</v>
      </c>
      <c r="E169" s="29" t="s">
        <v>1231</v>
      </c>
      <c r="F169" s="6">
        <v>1000</v>
      </c>
      <c r="G169" s="6" t="s">
        <v>26</v>
      </c>
      <c r="H169" s="6"/>
      <c r="I169" s="6"/>
      <c r="J169" s="6"/>
      <c r="K169" s="7">
        <v>40978</v>
      </c>
      <c r="L169" s="30">
        <v>2155000</v>
      </c>
      <c r="M169" s="30">
        <v>2155000</v>
      </c>
      <c r="N169" s="6" t="s">
        <v>30</v>
      </c>
      <c r="O169" s="31">
        <v>43103</v>
      </c>
      <c r="P169" s="32" t="e">
        <f>VLOOKUP(Table311[[#This Row],[UNIT NO.]],[1]!Table35711[[#Headers],[#Data],[Unit '#]:[Application/Sold/ Unsold]],7,0)</f>
        <v>#REF!</v>
      </c>
      <c r="S169" s="64"/>
    </row>
    <row r="170" spans="2:19" ht="26.25" x14ac:dyDescent="0.25">
      <c r="B170" s="5">
        <f t="shared" si="2"/>
        <v>167</v>
      </c>
      <c r="C170" s="29" t="s">
        <v>1232</v>
      </c>
      <c r="D170" s="6" t="s">
        <v>902</v>
      </c>
      <c r="E170" s="29" t="s">
        <v>1233</v>
      </c>
      <c r="F170" s="6">
        <v>1000</v>
      </c>
      <c r="G170" s="6" t="s">
        <v>26</v>
      </c>
      <c r="H170" s="6"/>
      <c r="I170" s="6"/>
      <c r="J170" s="6"/>
      <c r="K170" s="7">
        <v>41678</v>
      </c>
      <c r="L170" s="30">
        <v>3299760</v>
      </c>
      <c r="M170" s="30">
        <v>3299760</v>
      </c>
      <c r="N170" s="6" t="s">
        <v>46</v>
      </c>
      <c r="O170" s="31">
        <v>43103</v>
      </c>
      <c r="P170" s="32" t="e">
        <f>VLOOKUP(Table311[[#This Row],[UNIT NO.]],[1]!Table35711[[#Headers],[#Data],[Unit '#]:[Application/Sold/ Unsold]],7,0)</f>
        <v>#REF!</v>
      </c>
      <c r="S170" s="64"/>
    </row>
    <row r="171" spans="2:19" x14ac:dyDescent="0.25">
      <c r="B171" s="5">
        <f t="shared" si="2"/>
        <v>168</v>
      </c>
      <c r="C171" s="33" t="s">
        <v>1234</v>
      </c>
      <c r="D171" s="6" t="s">
        <v>902</v>
      </c>
      <c r="E171" s="33" t="s">
        <v>1235</v>
      </c>
      <c r="F171" s="34">
        <v>1000</v>
      </c>
      <c r="G171" s="6" t="s">
        <v>26</v>
      </c>
      <c r="H171" s="6"/>
      <c r="I171" s="6"/>
      <c r="J171" s="6"/>
      <c r="K171" s="35">
        <v>42622</v>
      </c>
      <c r="L171" s="36">
        <v>3079470</v>
      </c>
      <c r="M171" s="30">
        <f>2969687-123687</f>
        <v>2846000</v>
      </c>
      <c r="N171" s="6" t="s">
        <v>30</v>
      </c>
      <c r="O171" s="31">
        <v>43103</v>
      </c>
      <c r="P171" s="32" t="e">
        <f>VLOOKUP(Table311[[#This Row],[UNIT NO.]],[1]!Table35711[[#Headers],[#Data],[Unit '#]:[Application/Sold/ Unsold]],7,0)</f>
        <v>#REF!</v>
      </c>
      <c r="S171" s="64"/>
    </row>
    <row r="172" spans="2:19" ht="26.25" x14ac:dyDescent="0.25">
      <c r="B172" s="5">
        <f t="shared" si="2"/>
        <v>169</v>
      </c>
      <c r="C172" s="29" t="s">
        <v>1236</v>
      </c>
      <c r="D172" s="6" t="s">
        <v>902</v>
      </c>
      <c r="E172" s="29" t="s">
        <v>1237</v>
      </c>
      <c r="F172" s="6">
        <v>1000</v>
      </c>
      <c r="G172" s="6" t="s">
        <v>26</v>
      </c>
      <c r="H172" s="6"/>
      <c r="I172" s="6"/>
      <c r="J172" s="6"/>
      <c r="K172" s="7">
        <v>41085</v>
      </c>
      <c r="L172" s="30">
        <v>2225000</v>
      </c>
      <c r="M172" s="30">
        <v>2113104.91</v>
      </c>
      <c r="N172" s="6" t="s">
        <v>30</v>
      </c>
      <c r="O172" s="31">
        <v>43103</v>
      </c>
      <c r="P172" s="32" t="e">
        <f>VLOOKUP(Table311[[#This Row],[UNIT NO.]],[1]!Table35711[[#Headers],[#Data],[Unit '#]:[Application/Sold/ Unsold]],7,0)</f>
        <v>#REF!</v>
      </c>
      <c r="S172" s="64"/>
    </row>
    <row r="173" spans="2:19" ht="26.25" x14ac:dyDescent="0.25">
      <c r="B173" s="5">
        <f t="shared" si="2"/>
        <v>170</v>
      </c>
      <c r="C173" s="29" t="s">
        <v>1238</v>
      </c>
      <c r="D173" s="6" t="s">
        <v>902</v>
      </c>
      <c r="E173" s="29" t="s">
        <v>1239</v>
      </c>
      <c r="F173" s="6">
        <v>1000</v>
      </c>
      <c r="G173" s="6" t="s">
        <v>26</v>
      </c>
      <c r="H173" s="6"/>
      <c r="I173" s="6"/>
      <c r="J173" s="6"/>
      <c r="K173" s="7">
        <v>40957</v>
      </c>
      <c r="L173" s="30">
        <v>2142375</v>
      </c>
      <c r="M173" s="30">
        <v>2142375</v>
      </c>
      <c r="N173" s="6" t="s">
        <v>955</v>
      </c>
      <c r="O173" s="31">
        <v>43103</v>
      </c>
      <c r="P173" s="32" t="e">
        <f>VLOOKUP(Table311[[#This Row],[UNIT NO.]],[1]!Table35711[[#Headers],[#Data],[Unit '#]:[Application/Sold/ Unsold]],7,0)</f>
        <v>#REF!</v>
      </c>
      <c r="S173" s="64"/>
    </row>
    <row r="174" spans="2:19" ht="39" x14ac:dyDescent="0.25">
      <c r="B174" s="5">
        <f t="shared" si="2"/>
        <v>171</v>
      </c>
      <c r="C174" s="29" t="s">
        <v>1240</v>
      </c>
      <c r="D174" s="6" t="s">
        <v>902</v>
      </c>
      <c r="E174" s="29" t="s">
        <v>1241</v>
      </c>
      <c r="F174" s="6">
        <v>1000</v>
      </c>
      <c r="G174" s="6" t="s">
        <v>26</v>
      </c>
      <c r="H174" s="6"/>
      <c r="I174" s="6"/>
      <c r="J174" s="6"/>
      <c r="K174" s="7">
        <v>41080</v>
      </c>
      <c r="L174" s="30">
        <v>2225000</v>
      </c>
      <c r="M174" s="30">
        <v>2225000</v>
      </c>
      <c r="N174" s="6" t="s">
        <v>30</v>
      </c>
      <c r="O174" s="31">
        <v>43103</v>
      </c>
      <c r="P174" s="32" t="e">
        <f>VLOOKUP(Table311[[#This Row],[UNIT NO.]],[1]!Table35711[[#Headers],[#Data],[Unit '#]:[Application/Sold/ Unsold]],7,0)</f>
        <v>#REF!</v>
      </c>
      <c r="S174" s="64"/>
    </row>
    <row r="175" spans="2:19" x14ac:dyDescent="0.25">
      <c r="B175" s="5">
        <f t="shared" si="2"/>
        <v>172</v>
      </c>
      <c r="C175" s="29" t="s">
        <v>1242</v>
      </c>
      <c r="D175" s="6" t="s">
        <v>902</v>
      </c>
      <c r="E175" s="29" t="s">
        <v>1243</v>
      </c>
      <c r="F175" s="6">
        <v>1000</v>
      </c>
      <c r="G175" s="6" t="s">
        <v>26</v>
      </c>
      <c r="H175" s="6"/>
      <c r="I175" s="6"/>
      <c r="J175" s="6"/>
      <c r="K175" s="7">
        <v>40962</v>
      </c>
      <c r="L175" s="30">
        <v>2011000</v>
      </c>
      <c r="M175" s="30">
        <v>2011000</v>
      </c>
      <c r="N175" s="6" t="s">
        <v>27</v>
      </c>
      <c r="O175" s="31">
        <v>43103</v>
      </c>
      <c r="P175" s="32" t="e">
        <f>VLOOKUP(Table311[[#This Row],[UNIT NO.]],[1]!Table35711[[#Headers],[#Data],[Unit '#]:[Application/Sold/ Unsold]],7,0)</f>
        <v>#REF!</v>
      </c>
      <c r="S175" s="64"/>
    </row>
    <row r="176" spans="2:19" ht="26.25" x14ac:dyDescent="0.25">
      <c r="B176" s="5">
        <f t="shared" si="2"/>
        <v>173</v>
      </c>
      <c r="C176" s="29" t="s">
        <v>1244</v>
      </c>
      <c r="D176" s="6" t="s">
        <v>902</v>
      </c>
      <c r="E176" s="29" t="s">
        <v>1245</v>
      </c>
      <c r="F176" s="6">
        <v>1000</v>
      </c>
      <c r="G176" s="6" t="s">
        <v>26</v>
      </c>
      <c r="H176" s="6"/>
      <c r="I176" s="6"/>
      <c r="J176" s="6"/>
      <c r="K176" s="7">
        <v>41085</v>
      </c>
      <c r="L176" s="30">
        <v>2225000</v>
      </c>
      <c r="M176" s="30">
        <v>2225000</v>
      </c>
      <c r="N176" s="6" t="s">
        <v>30</v>
      </c>
      <c r="O176" s="31">
        <v>43103</v>
      </c>
      <c r="P176" s="32" t="e">
        <f>VLOOKUP(Table311[[#This Row],[UNIT NO.]],[1]!Table35711[[#Headers],[#Data],[Unit '#]:[Application/Sold/ Unsold]],7,0)</f>
        <v>#REF!</v>
      </c>
      <c r="S176" s="64"/>
    </row>
    <row r="177" spans="2:19" ht="26.25" x14ac:dyDescent="0.25">
      <c r="B177" s="5">
        <f t="shared" si="2"/>
        <v>174</v>
      </c>
      <c r="C177" s="29" t="s">
        <v>1246</v>
      </c>
      <c r="D177" s="6" t="s">
        <v>902</v>
      </c>
      <c r="E177" s="29" t="s">
        <v>1247</v>
      </c>
      <c r="F177" s="6">
        <v>1000</v>
      </c>
      <c r="G177" s="6" t="s">
        <v>26</v>
      </c>
      <c r="H177" s="6"/>
      <c r="I177" s="6"/>
      <c r="J177" s="6"/>
      <c r="K177" s="7">
        <v>40962</v>
      </c>
      <c r="L177" s="30">
        <v>2011000</v>
      </c>
      <c r="M177" s="30">
        <v>2011000</v>
      </c>
      <c r="N177" s="6" t="s">
        <v>39</v>
      </c>
      <c r="O177" s="31">
        <v>43103</v>
      </c>
      <c r="P177" s="32" t="e">
        <f>VLOOKUP(Table311[[#This Row],[UNIT NO.]],[1]!Table35711[[#Headers],[#Data],[Unit '#]:[Application/Sold/ Unsold]],7,0)</f>
        <v>#REF!</v>
      </c>
      <c r="S177" s="64"/>
    </row>
    <row r="178" spans="2:19" ht="26.25" x14ac:dyDescent="0.25">
      <c r="B178" s="5">
        <f t="shared" si="2"/>
        <v>175</v>
      </c>
      <c r="C178" s="29" t="s">
        <v>243</v>
      </c>
      <c r="D178" s="6" t="s">
        <v>902</v>
      </c>
      <c r="E178" s="29" t="s">
        <v>1248</v>
      </c>
      <c r="F178" s="6">
        <v>1000</v>
      </c>
      <c r="G178" s="6" t="s">
        <v>26</v>
      </c>
      <c r="H178" s="6"/>
      <c r="I178" s="6"/>
      <c r="J178" s="6"/>
      <c r="K178" s="7">
        <v>41048</v>
      </c>
      <c r="L178" s="30">
        <v>2215000</v>
      </c>
      <c r="M178" s="30">
        <v>2102868</v>
      </c>
      <c r="N178" s="6" t="s">
        <v>30</v>
      </c>
      <c r="O178" s="31">
        <v>43103</v>
      </c>
      <c r="P178" s="32" t="e">
        <f>VLOOKUP(Table311[[#This Row],[UNIT NO.]],[1]!Table35711[[#Headers],[#Data],[Unit '#]:[Application/Sold/ Unsold]],7,0)</f>
        <v>#REF!</v>
      </c>
      <c r="S178" s="64"/>
    </row>
    <row r="179" spans="2:19" ht="26.25" x14ac:dyDescent="0.25">
      <c r="B179" s="5">
        <f t="shared" si="2"/>
        <v>176</v>
      </c>
      <c r="C179" s="29" t="s">
        <v>1249</v>
      </c>
      <c r="D179" s="6" t="s">
        <v>902</v>
      </c>
      <c r="E179" s="29" t="s">
        <v>1250</v>
      </c>
      <c r="F179" s="6">
        <v>1000</v>
      </c>
      <c r="G179" s="6" t="s">
        <v>26</v>
      </c>
      <c r="H179" s="6"/>
      <c r="I179" s="6"/>
      <c r="J179" s="6"/>
      <c r="K179" s="7">
        <v>40962</v>
      </c>
      <c r="L179" s="30">
        <v>2011000</v>
      </c>
      <c r="M179" s="30">
        <v>1910155</v>
      </c>
      <c r="N179" s="6" t="s">
        <v>39</v>
      </c>
      <c r="O179" s="31">
        <v>43103</v>
      </c>
      <c r="P179" s="32" t="e">
        <f>VLOOKUP(Table311[[#This Row],[UNIT NO.]],[1]!Table35711[[#Headers],[#Data],[Unit '#]:[Application/Sold/ Unsold]],7,0)</f>
        <v>#REF!</v>
      </c>
      <c r="S179" s="64"/>
    </row>
    <row r="180" spans="2:19" ht="39" x14ac:dyDescent="0.25">
      <c r="B180" s="5">
        <f t="shared" si="2"/>
        <v>177</v>
      </c>
      <c r="C180" s="29" t="s">
        <v>1251</v>
      </c>
      <c r="D180" s="6" t="s">
        <v>902</v>
      </c>
      <c r="E180" s="29" t="s">
        <v>1252</v>
      </c>
      <c r="F180" s="6">
        <v>1000</v>
      </c>
      <c r="G180" s="6" t="s">
        <v>26</v>
      </c>
      <c r="H180" s="6"/>
      <c r="I180" s="6"/>
      <c r="J180" s="6"/>
      <c r="K180" s="7">
        <v>41233</v>
      </c>
      <c r="L180" s="30">
        <v>2578750</v>
      </c>
      <c r="M180" s="30">
        <v>2578750</v>
      </c>
      <c r="N180" s="6" t="s">
        <v>27</v>
      </c>
      <c r="O180" s="31">
        <v>43103</v>
      </c>
      <c r="P180" s="32" t="e">
        <f>VLOOKUP(Table311[[#This Row],[UNIT NO.]],[1]!Table35711[[#Headers],[#Data],[Unit '#]:[Application/Sold/ Unsold]],7,0)</f>
        <v>#REF!</v>
      </c>
      <c r="S180" s="64"/>
    </row>
    <row r="181" spans="2:19" ht="26.25" x14ac:dyDescent="0.25">
      <c r="B181" s="5">
        <f t="shared" si="2"/>
        <v>178</v>
      </c>
      <c r="C181" s="29" t="s">
        <v>1253</v>
      </c>
      <c r="D181" s="6" t="s">
        <v>902</v>
      </c>
      <c r="E181" s="29" t="s">
        <v>1254</v>
      </c>
      <c r="F181" s="6">
        <v>1000</v>
      </c>
      <c r="G181" s="6" t="s">
        <v>26</v>
      </c>
      <c r="H181" s="6"/>
      <c r="I181" s="6"/>
      <c r="J181" s="6"/>
      <c r="K181" s="7">
        <v>41203</v>
      </c>
      <c r="L181" s="30">
        <v>2448750</v>
      </c>
      <c r="M181" s="30">
        <v>2448750</v>
      </c>
      <c r="N181" s="6" t="s">
        <v>27</v>
      </c>
      <c r="O181" s="31">
        <v>43103</v>
      </c>
      <c r="P181" s="32" t="e">
        <f>VLOOKUP(Table311[[#This Row],[UNIT NO.]],[1]!Table35711[[#Headers],[#Data],[Unit '#]:[Application/Sold/ Unsold]],7,0)</f>
        <v>#REF!</v>
      </c>
      <c r="S181" s="64"/>
    </row>
    <row r="182" spans="2:19" ht="26.25" x14ac:dyDescent="0.25">
      <c r="B182" s="5">
        <f t="shared" si="2"/>
        <v>179</v>
      </c>
      <c r="C182" s="29" t="s">
        <v>1255</v>
      </c>
      <c r="D182" s="6" t="s">
        <v>902</v>
      </c>
      <c r="E182" s="29" t="s">
        <v>1256</v>
      </c>
      <c r="F182" s="6">
        <v>1000</v>
      </c>
      <c r="G182" s="6" t="s">
        <v>26</v>
      </c>
      <c r="H182" s="6"/>
      <c r="I182" s="6"/>
      <c r="J182" s="6"/>
      <c r="K182" s="7">
        <v>41107</v>
      </c>
      <c r="L182" s="30">
        <v>2385375</v>
      </c>
      <c r="M182" s="30">
        <v>2266109</v>
      </c>
      <c r="N182" s="6" t="s">
        <v>30</v>
      </c>
      <c r="O182" s="31">
        <v>43103</v>
      </c>
      <c r="P182" s="32" t="e">
        <f>VLOOKUP(Table311[[#This Row],[UNIT NO.]],[1]!Table35711[[#Headers],[#Data],[Unit '#]:[Application/Sold/ Unsold]],7,0)</f>
        <v>#REF!</v>
      </c>
      <c r="S182" s="64"/>
    </row>
    <row r="183" spans="2:19" ht="26.25" x14ac:dyDescent="0.25">
      <c r="B183" s="5">
        <f t="shared" si="2"/>
        <v>180</v>
      </c>
      <c r="C183" s="29" t="s">
        <v>1257</v>
      </c>
      <c r="D183" s="6" t="s">
        <v>902</v>
      </c>
      <c r="E183" s="29" t="s">
        <v>1258</v>
      </c>
      <c r="F183" s="6">
        <v>1000</v>
      </c>
      <c r="G183" s="6" t="s">
        <v>26</v>
      </c>
      <c r="H183" s="6"/>
      <c r="I183" s="6"/>
      <c r="J183" s="6"/>
      <c r="K183" s="7">
        <v>40952</v>
      </c>
      <c r="L183" s="30">
        <v>1994000</v>
      </c>
      <c r="M183" s="30">
        <v>1895546.11</v>
      </c>
      <c r="N183" s="6" t="s">
        <v>30</v>
      </c>
      <c r="O183" s="31">
        <v>43103</v>
      </c>
      <c r="P183" s="32" t="e">
        <f>VLOOKUP(Table311[[#This Row],[UNIT NO.]],[1]!Table35711[[#Headers],[#Data],[Unit '#]:[Application/Sold/ Unsold]],7,0)</f>
        <v>#REF!</v>
      </c>
      <c r="S183" s="64"/>
    </row>
    <row r="184" spans="2:19" ht="26.25" x14ac:dyDescent="0.25">
      <c r="B184" s="5">
        <f t="shared" si="2"/>
        <v>181</v>
      </c>
      <c r="C184" s="29" t="s">
        <v>1259</v>
      </c>
      <c r="D184" s="6" t="s">
        <v>902</v>
      </c>
      <c r="E184" s="29" t="s">
        <v>1260</v>
      </c>
      <c r="F184" s="6">
        <v>1000</v>
      </c>
      <c r="G184" s="6" t="s">
        <v>26</v>
      </c>
      <c r="H184" s="6"/>
      <c r="I184" s="6"/>
      <c r="J184" s="6"/>
      <c r="K184" s="7">
        <v>41099</v>
      </c>
      <c r="L184" s="30">
        <v>2272125</v>
      </c>
      <c r="M184" s="30">
        <v>2272125.0699999998</v>
      </c>
      <c r="N184" s="6" t="s">
        <v>27</v>
      </c>
      <c r="O184" s="31">
        <v>43103</v>
      </c>
      <c r="P184" s="32" t="e">
        <f>VLOOKUP(Table311[[#This Row],[UNIT NO.]],[1]!Table35711[[#Headers],[#Data],[Unit '#]:[Application/Sold/ Unsold]],7,0)</f>
        <v>#REF!</v>
      </c>
      <c r="S184" s="64"/>
    </row>
    <row r="185" spans="2:19" ht="39" x14ac:dyDescent="0.25">
      <c r="B185" s="5">
        <f t="shared" si="2"/>
        <v>182</v>
      </c>
      <c r="C185" s="29" t="s">
        <v>1261</v>
      </c>
      <c r="D185" s="6" t="s">
        <v>902</v>
      </c>
      <c r="E185" s="29" t="s">
        <v>1262</v>
      </c>
      <c r="F185" s="6">
        <v>1000</v>
      </c>
      <c r="G185" s="6" t="s">
        <v>26</v>
      </c>
      <c r="H185" s="6"/>
      <c r="I185" s="6"/>
      <c r="J185" s="6"/>
      <c r="K185" s="7">
        <v>41046</v>
      </c>
      <c r="L185" s="30">
        <v>2148125</v>
      </c>
      <c r="M185" s="30">
        <v>2148125</v>
      </c>
      <c r="N185" s="6" t="s">
        <v>27</v>
      </c>
      <c r="O185" s="31">
        <v>43103</v>
      </c>
      <c r="P185" s="32" t="e">
        <f>VLOOKUP(Table311[[#This Row],[UNIT NO.]],[1]!Table35711[[#Headers],[#Data],[Unit '#]:[Application/Sold/ Unsold]],7,0)</f>
        <v>#REF!</v>
      </c>
      <c r="S185" s="64"/>
    </row>
    <row r="186" spans="2:19" ht="26.25" x14ac:dyDescent="0.25">
      <c r="B186" s="5">
        <f t="shared" si="2"/>
        <v>183</v>
      </c>
      <c r="C186" s="29" t="s">
        <v>1263</v>
      </c>
      <c r="D186" s="6" t="s">
        <v>902</v>
      </c>
      <c r="E186" s="29" t="s">
        <v>1264</v>
      </c>
      <c r="F186" s="6">
        <v>1000</v>
      </c>
      <c r="G186" s="6" t="s">
        <v>26</v>
      </c>
      <c r="H186" s="6"/>
      <c r="I186" s="6"/>
      <c r="J186" s="6"/>
      <c r="K186" s="7">
        <v>41099</v>
      </c>
      <c r="L186" s="30">
        <v>2272125</v>
      </c>
      <c r="M186" s="30">
        <v>2158525.0699999998</v>
      </c>
      <c r="N186" s="6" t="s">
        <v>27</v>
      </c>
      <c r="O186" s="31">
        <v>43103</v>
      </c>
      <c r="P186" s="32" t="e">
        <f>VLOOKUP(Table311[[#This Row],[UNIT NO.]],[1]!Table35711[[#Headers],[#Data],[Unit '#]:[Application/Sold/ Unsold]],7,0)</f>
        <v>#REF!</v>
      </c>
      <c r="S186" s="64"/>
    </row>
    <row r="187" spans="2:19" ht="26.25" x14ac:dyDescent="0.25">
      <c r="B187" s="5">
        <f t="shared" si="2"/>
        <v>184</v>
      </c>
      <c r="C187" s="29" t="s">
        <v>1265</v>
      </c>
      <c r="D187" s="6" t="s">
        <v>902</v>
      </c>
      <c r="E187" s="29" t="s">
        <v>1266</v>
      </c>
      <c r="F187" s="6">
        <v>1000</v>
      </c>
      <c r="G187" s="6" t="s">
        <v>26</v>
      </c>
      <c r="H187" s="6"/>
      <c r="I187" s="6"/>
      <c r="J187" s="6"/>
      <c r="K187" s="7">
        <v>41107</v>
      </c>
      <c r="L187" s="30">
        <v>2294188</v>
      </c>
      <c r="M187" s="30">
        <v>2294188</v>
      </c>
      <c r="N187" s="6" t="s">
        <v>30</v>
      </c>
      <c r="O187" s="31">
        <v>43103</v>
      </c>
      <c r="P187" s="32" t="e">
        <f>VLOOKUP(Table311[[#This Row],[UNIT NO.]],[1]!Table35711[[#Headers],[#Data],[Unit '#]:[Application/Sold/ Unsold]],7,0)</f>
        <v>#REF!</v>
      </c>
      <c r="S187" s="64"/>
    </row>
    <row r="188" spans="2:19" ht="26.25" x14ac:dyDescent="0.25">
      <c r="B188" s="5">
        <f t="shared" si="2"/>
        <v>185</v>
      </c>
      <c r="C188" s="29" t="s">
        <v>1267</v>
      </c>
      <c r="D188" s="6" t="s">
        <v>902</v>
      </c>
      <c r="E188" s="29" t="s">
        <v>1268</v>
      </c>
      <c r="F188" s="6">
        <v>1000</v>
      </c>
      <c r="G188" s="6" t="s">
        <v>26</v>
      </c>
      <c r="H188" s="6"/>
      <c r="I188" s="6"/>
      <c r="J188" s="6"/>
      <c r="K188" s="7">
        <v>41168</v>
      </c>
      <c r="L188" s="30">
        <v>1976000</v>
      </c>
      <c r="M188" s="30">
        <v>1822228</v>
      </c>
      <c r="N188" s="6" t="s">
        <v>30</v>
      </c>
      <c r="O188" s="31">
        <v>43103</v>
      </c>
      <c r="P188" s="32" t="e">
        <f>VLOOKUP(Table311[[#This Row],[UNIT NO.]],[1]!Table35711[[#Headers],[#Data],[Unit '#]:[Application/Sold/ Unsold]],7,0)</f>
        <v>#REF!</v>
      </c>
      <c r="S188" s="64"/>
    </row>
    <row r="189" spans="2:19" ht="26.25" x14ac:dyDescent="0.25">
      <c r="B189" s="5">
        <f t="shared" si="2"/>
        <v>186</v>
      </c>
      <c r="C189" s="29" t="s">
        <v>1269</v>
      </c>
      <c r="D189" s="6" t="s">
        <v>902</v>
      </c>
      <c r="E189" s="29" t="s">
        <v>1270</v>
      </c>
      <c r="F189" s="6">
        <v>1000</v>
      </c>
      <c r="G189" s="6" t="s">
        <v>26</v>
      </c>
      <c r="H189" s="6"/>
      <c r="I189" s="6"/>
      <c r="J189" s="6"/>
      <c r="K189" s="7">
        <v>41107</v>
      </c>
      <c r="L189" s="30">
        <v>2294188</v>
      </c>
      <c r="M189" s="30">
        <v>2294188</v>
      </c>
      <c r="N189" s="6" t="s">
        <v>30</v>
      </c>
      <c r="O189" s="31">
        <v>43103</v>
      </c>
      <c r="P189" s="32" t="e">
        <f>VLOOKUP(Table311[[#This Row],[UNIT NO.]],[1]!Table35711[[#Headers],[#Data],[Unit '#]:[Application/Sold/ Unsold]],7,0)</f>
        <v>#REF!</v>
      </c>
      <c r="S189" s="64"/>
    </row>
    <row r="190" spans="2:19" x14ac:dyDescent="0.25">
      <c r="B190" s="5">
        <f t="shared" si="2"/>
        <v>187</v>
      </c>
      <c r="C190" s="29" t="s">
        <v>1271</v>
      </c>
      <c r="D190" s="6" t="s">
        <v>902</v>
      </c>
      <c r="E190" s="29" t="s">
        <v>1272</v>
      </c>
      <c r="F190" s="6">
        <v>1000</v>
      </c>
      <c r="G190" s="6" t="s">
        <v>26</v>
      </c>
      <c r="H190" s="6"/>
      <c r="I190" s="6"/>
      <c r="J190" s="6"/>
      <c r="K190" s="7">
        <v>40931</v>
      </c>
      <c r="L190" s="30">
        <v>1856500</v>
      </c>
      <c r="M190" s="30">
        <v>1765529</v>
      </c>
      <c r="N190" s="6" t="s">
        <v>30</v>
      </c>
      <c r="O190" s="31">
        <v>43103</v>
      </c>
      <c r="P190" s="32" t="e">
        <f>VLOOKUP(Table311[[#This Row],[UNIT NO.]],[1]!Table35711[[#Headers],[#Data],[Unit '#]:[Application/Sold/ Unsold]],7,0)</f>
        <v>#REF!</v>
      </c>
      <c r="S190" s="64"/>
    </row>
    <row r="191" spans="2:19" ht="26.25" x14ac:dyDescent="0.25">
      <c r="B191" s="5">
        <f t="shared" si="2"/>
        <v>188</v>
      </c>
      <c r="C191" s="29" t="s">
        <v>1273</v>
      </c>
      <c r="D191" s="6" t="s">
        <v>902</v>
      </c>
      <c r="E191" s="29" t="s">
        <v>1274</v>
      </c>
      <c r="F191" s="6">
        <v>1000</v>
      </c>
      <c r="G191" s="6" t="s">
        <v>26</v>
      </c>
      <c r="H191" s="6"/>
      <c r="I191" s="6"/>
      <c r="J191" s="6"/>
      <c r="K191" s="7">
        <v>40984</v>
      </c>
      <c r="L191" s="30">
        <v>1875000</v>
      </c>
      <c r="M191" s="30">
        <v>1875000</v>
      </c>
      <c r="N191" s="6" t="s">
        <v>30</v>
      </c>
      <c r="O191" s="31">
        <v>43103</v>
      </c>
      <c r="P191" s="32" t="e">
        <f>VLOOKUP(Table311[[#This Row],[UNIT NO.]],[1]!Table35711[[#Headers],[#Data],[Unit '#]:[Application/Sold/ Unsold]],7,0)</f>
        <v>#REF!</v>
      </c>
      <c r="S191" s="64"/>
    </row>
    <row r="192" spans="2:19" ht="39" x14ac:dyDescent="0.25">
      <c r="B192" s="5">
        <f t="shared" si="2"/>
        <v>189</v>
      </c>
      <c r="C192" s="29" t="s">
        <v>1275</v>
      </c>
      <c r="D192" s="6" t="s">
        <v>902</v>
      </c>
      <c r="E192" s="29" t="s">
        <v>1276</v>
      </c>
      <c r="F192" s="6">
        <v>1000</v>
      </c>
      <c r="G192" s="6" t="s">
        <v>26</v>
      </c>
      <c r="H192" s="6"/>
      <c r="I192" s="6"/>
      <c r="J192" s="6"/>
      <c r="K192" s="7">
        <v>40984</v>
      </c>
      <c r="L192" s="30">
        <v>1875000</v>
      </c>
      <c r="M192" s="30">
        <v>1875000</v>
      </c>
      <c r="N192" s="6" t="s">
        <v>30</v>
      </c>
      <c r="O192" s="31">
        <v>43103</v>
      </c>
      <c r="P192" s="32" t="e">
        <f>VLOOKUP(Table311[[#This Row],[UNIT NO.]],[1]!Table35711[[#Headers],[#Data],[Unit '#]:[Application/Sold/ Unsold]],7,0)</f>
        <v>#REF!</v>
      </c>
      <c r="S192" s="64"/>
    </row>
    <row r="193" spans="2:19" ht="39" x14ac:dyDescent="0.25">
      <c r="B193" s="5">
        <f t="shared" si="2"/>
        <v>190</v>
      </c>
      <c r="C193" s="29" t="s">
        <v>80</v>
      </c>
      <c r="D193" s="6" t="s">
        <v>902</v>
      </c>
      <c r="E193" s="29" t="s">
        <v>1277</v>
      </c>
      <c r="F193" s="6">
        <v>1300</v>
      </c>
      <c r="G193" s="6" t="s">
        <v>26</v>
      </c>
      <c r="H193" s="6"/>
      <c r="I193" s="6"/>
      <c r="J193" s="6"/>
      <c r="K193" s="7">
        <v>41053</v>
      </c>
      <c r="L193" s="30">
        <v>2606000</v>
      </c>
      <c r="M193" s="30">
        <v>2525000</v>
      </c>
      <c r="N193" s="6" t="s">
        <v>30</v>
      </c>
      <c r="O193" s="31">
        <v>43103</v>
      </c>
      <c r="P193" s="32" t="e">
        <f>VLOOKUP(Table311[[#This Row],[UNIT NO.]],[1]!Table35711[[#Headers],[#Data],[Unit '#]:[Application/Sold/ Unsold]],7,0)</f>
        <v>#REF!</v>
      </c>
      <c r="S193" s="64"/>
    </row>
    <row r="194" spans="2:19" ht="39" x14ac:dyDescent="0.25">
      <c r="B194" s="5">
        <f t="shared" si="2"/>
        <v>191</v>
      </c>
      <c r="C194" s="29" t="s">
        <v>1278</v>
      </c>
      <c r="D194" s="6" t="s">
        <v>902</v>
      </c>
      <c r="E194" s="29" t="s">
        <v>1279</v>
      </c>
      <c r="F194" s="6">
        <v>1300</v>
      </c>
      <c r="G194" s="6" t="s">
        <v>26</v>
      </c>
      <c r="H194" s="6"/>
      <c r="I194" s="6"/>
      <c r="J194" s="6"/>
      <c r="K194" s="7">
        <v>41053</v>
      </c>
      <c r="L194" s="30">
        <v>2606000</v>
      </c>
      <c r="M194" s="30">
        <v>2525000</v>
      </c>
      <c r="N194" s="6" t="s">
        <v>30</v>
      </c>
      <c r="O194" s="31">
        <v>43103</v>
      </c>
      <c r="P194" s="32" t="e">
        <f>VLOOKUP(Table311[[#This Row],[UNIT NO.]],[1]!Table35711[[#Headers],[#Data],[Unit '#]:[Application/Sold/ Unsold]],7,0)</f>
        <v>#REF!</v>
      </c>
      <c r="S194" s="64"/>
    </row>
    <row r="195" spans="2:19" ht="26.25" x14ac:dyDescent="0.25">
      <c r="B195" s="5">
        <f t="shared" si="2"/>
        <v>192</v>
      </c>
      <c r="C195" s="29" t="s">
        <v>1280</v>
      </c>
      <c r="D195" s="6" t="s">
        <v>902</v>
      </c>
      <c r="E195" s="29" t="s">
        <v>1281</v>
      </c>
      <c r="F195" s="6">
        <v>1300</v>
      </c>
      <c r="G195" s="6" t="s">
        <v>26</v>
      </c>
      <c r="H195" s="6"/>
      <c r="I195" s="6"/>
      <c r="J195" s="6"/>
      <c r="K195" s="7">
        <v>40968</v>
      </c>
      <c r="L195" s="30">
        <v>2995000</v>
      </c>
      <c r="M195" s="30">
        <v>1630479</v>
      </c>
      <c r="N195" s="6" t="s">
        <v>30</v>
      </c>
      <c r="O195" s="31">
        <v>43103</v>
      </c>
      <c r="P195" s="32" t="e">
        <f>VLOOKUP(Table311[[#This Row],[UNIT NO.]],[1]!Table35711[[#Headers],[#Data],[Unit '#]:[Application/Sold/ Unsold]],7,0)</f>
        <v>#REF!</v>
      </c>
      <c r="S195" s="64"/>
    </row>
    <row r="196" spans="2:19" ht="39" x14ac:dyDescent="0.25">
      <c r="B196" s="5">
        <f t="shared" si="2"/>
        <v>193</v>
      </c>
      <c r="C196" s="29" t="s">
        <v>1282</v>
      </c>
      <c r="D196" s="6" t="s">
        <v>902</v>
      </c>
      <c r="E196" s="29" t="s">
        <v>1283</v>
      </c>
      <c r="F196" s="6">
        <v>1300</v>
      </c>
      <c r="G196" s="6" t="s">
        <v>26</v>
      </c>
      <c r="H196" s="6"/>
      <c r="I196" s="6"/>
      <c r="J196" s="6"/>
      <c r="K196" s="7">
        <v>40687</v>
      </c>
      <c r="L196" s="30">
        <v>2606000</v>
      </c>
      <c r="M196" s="30">
        <v>2525000</v>
      </c>
      <c r="N196" s="6" t="s">
        <v>30</v>
      </c>
      <c r="O196" s="31">
        <v>43103</v>
      </c>
      <c r="P196" s="32" t="e">
        <f>VLOOKUP(Table311[[#This Row],[UNIT NO.]],[1]!Table35711[[#Headers],[#Data],[Unit '#]:[Application/Sold/ Unsold]],7,0)</f>
        <v>#REF!</v>
      </c>
      <c r="S196" s="64"/>
    </row>
    <row r="197" spans="2:19" ht="26.25" x14ac:dyDescent="0.25">
      <c r="B197" s="5">
        <f t="shared" si="2"/>
        <v>194</v>
      </c>
      <c r="C197" s="29" t="s">
        <v>1284</v>
      </c>
      <c r="D197" s="6" t="s">
        <v>902</v>
      </c>
      <c r="E197" s="29" t="s">
        <v>1285</v>
      </c>
      <c r="F197" s="6">
        <v>1300</v>
      </c>
      <c r="G197" s="6" t="s">
        <v>26</v>
      </c>
      <c r="H197" s="6"/>
      <c r="I197" s="6"/>
      <c r="J197" s="6"/>
      <c r="K197" s="7">
        <v>41326</v>
      </c>
      <c r="L197" s="30">
        <v>3746250</v>
      </c>
      <c r="M197" s="30">
        <v>3444234</v>
      </c>
      <c r="N197" s="6" t="s">
        <v>57</v>
      </c>
      <c r="O197" s="31">
        <v>43103</v>
      </c>
      <c r="P197" s="32" t="e">
        <f>VLOOKUP(Table311[[#This Row],[UNIT NO.]],[1]!Table35711[[#Headers],[#Data],[Unit '#]:[Application/Sold/ Unsold]],7,0)</f>
        <v>#REF!</v>
      </c>
      <c r="S197" s="64"/>
    </row>
    <row r="198" spans="2:19" ht="26.25" x14ac:dyDescent="0.25">
      <c r="B198" s="5">
        <f t="shared" ref="B198:B261" si="3">B197+1</f>
        <v>195</v>
      </c>
      <c r="C198" s="29" t="s">
        <v>1286</v>
      </c>
      <c r="D198" s="6" t="s">
        <v>902</v>
      </c>
      <c r="E198" s="29" t="s">
        <v>1287</v>
      </c>
      <c r="F198" s="6">
        <v>1300</v>
      </c>
      <c r="G198" s="6" t="s">
        <v>26</v>
      </c>
      <c r="H198" s="6"/>
      <c r="I198" s="6"/>
      <c r="J198" s="6"/>
      <c r="K198" s="7">
        <v>41181</v>
      </c>
      <c r="L198" s="30">
        <v>3522250</v>
      </c>
      <c r="M198" s="30">
        <v>3446138</v>
      </c>
      <c r="N198" s="6" t="s">
        <v>30</v>
      </c>
      <c r="O198" s="31">
        <v>43103</v>
      </c>
      <c r="P198" s="32" t="e">
        <f>VLOOKUP(Table311[[#This Row],[UNIT NO.]],[1]!Table35711[[#Headers],[#Data],[Unit '#]:[Application/Sold/ Unsold]],7,0)</f>
        <v>#REF!</v>
      </c>
      <c r="S198" s="64"/>
    </row>
    <row r="199" spans="2:19" ht="26.25" x14ac:dyDescent="0.25">
      <c r="B199" s="5">
        <f t="shared" si="3"/>
        <v>196</v>
      </c>
      <c r="C199" s="29" t="s">
        <v>1288</v>
      </c>
      <c r="D199" s="6" t="s">
        <v>902</v>
      </c>
      <c r="E199" s="29" t="s">
        <v>1289</v>
      </c>
      <c r="F199" s="6">
        <v>1300</v>
      </c>
      <c r="G199" s="6" t="s">
        <v>26</v>
      </c>
      <c r="H199" s="6"/>
      <c r="I199" s="6"/>
      <c r="J199" s="6"/>
      <c r="K199" s="7">
        <v>41168</v>
      </c>
      <c r="L199" s="30">
        <v>3359300</v>
      </c>
      <c r="M199" s="30">
        <v>3359300</v>
      </c>
      <c r="N199" s="6" t="s">
        <v>30</v>
      </c>
      <c r="O199" s="31">
        <v>43103</v>
      </c>
      <c r="P199" s="32" t="e">
        <f>VLOOKUP(Table311[[#This Row],[UNIT NO.]],[1]!Table35711[[#Headers],[#Data],[Unit '#]:[Application/Sold/ Unsold]],7,0)</f>
        <v>#REF!</v>
      </c>
      <c r="S199" s="64"/>
    </row>
    <row r="200" spans="2:19" ht="26.25" x14ac:dyDescent="0.25">
      <c r="B200" s="5">
        <f t="shared" si="3"/>
        <v>197</v>
      </c>
      <c r="C200" s="29" t="s">
        <v>1290</v>
      </c>
      <c r="D200" s="6" t="s">
        <v>902</v>
      </c>
      <c r="E200" s="29" t="s">
        <v>1291</v>
      </c>
      <c r="F200" s="6">
        <v>1300</v>
      </c>
      <c r="G200" s="6" t="s">
        <v>26</v>
      </c>
      <c r="H200" s="6"/>
      <c r="I200" s="6"/>
      <c r="J200" s="6"/>
      <c r="K200" s="7">
        <v>41057</v>
      </c>
      <c r="L200" s="30">
        <v>3287100</v>
      </c>
      <c r="M200" s="30">
        <v>3287100</v>
      </c>
      <c r="N200" s="6" t="s">
        <v>30</v>
      </c>
      <c r="O200" s="31">
        <v>43103</v>
      </c>
      <c r="P200" s="32" t="e">
        <f>VLOOKUP(Table311[[#This Row],[UNIT NO.]],[1]!Table35711[[#Headers],[#Data],[Unit '#]:[Application/Sold/ Unsold]],7,0)</f>
        <v>#REF!</v>
      </c>
      <c r="S200" s="64"/>
    </row>
    <row r="201" spans="2:19" x14ac:dyDescent="0.25">
      <c r="B201" s="5">
        <f t="shared" si="3"/>
        <v>198</v>
      </c>
      <c r="C201" s="29" t="s">
        <v>915</v>
      </c>
      <c r="D201" s="6" t="s">
        <v>902</v>
      </c>
      <c r="E201" s="29" t="s">
        <v>1292</v>
      </c>
      <c r="F201" s="6">
        <v>1300</v>
      </c>
      <c r="G201" s="6" t="s">
        <v>26</v>
      </c>
      <c r="H201" s="6"/>
      <c r="I201" s="6"/>
      <c r="J201" s="6"/>
      <c r="K201" s="7">
        <v>41028</v>
      </c>
      <c r="L201" s="30">
        <v>3041750</v>
      </c>
      <c r="M201" s="30">
        <v>2988581</v>
      </c>
      <c r="N201" s="6" t="s">
        <v>955</v>
      </c>
      <c r="O201" s="31">
        <v>43103</v>
      </c>
      <c r="P201" s="32" t="e">
        <f>VLOOKUP(Table311[[#This Row],[UNIT NO.]],[1]!Table35711[[#Headers],[#Data],[Unit '#]:[Application/Sold/ Unsold]],7,0)</f>
        <v>#REF!</v>
      </c>
      <c r="S201" s="64"/>
    </row>
    <row r="202" spans="2:19" ht="39" x14ac:dyDescent="0.25">
      <c r="B202" s="5">
        <f t="shared" si="3"/>
        <v>199</v>
      </c>
      <c r="C202" s="29" t="s">
        <v>1293</v>
      </c>
      <c r="D202" s="6" t="s">
        <v>902</v>
      </c>
      <c r="E202" s="29" t="s">
        <v>1294</v>
      </c>
      <c r="F202" s="6">
        <v>1300</v>
      </c>
      <c r="G202" s="6" t="s">
        <v>26</v>
      </c>
      <c r="H202" s="6"/>
      <c r="I202" s="6"/>
      <c r="J202" s="6"/>
      <c r="K202" s="7">
        <v>41057</v>
      </c>
      <c r="L202" s="30">
        <v>3287100</v>
      </c>
      <c r="M202" s="30">
        <f>3287100-164655</f>
        <v>3122445</v>
      </c>
      <c r="N202" s="6" t="s">
        <v>30</v>
      </c>
      <c r="O202" s="31">
        <v>43103</v>
      </c>
      <c r="P202" s="32" t="e">
        <f>VLOOKUP(Table311[[#This Row],[UNIT NO.]],[1]!Table35711[[#Headers],[#Data],[Unit '#]:[Application/Sold/ Unsold]],7,0)</f>
        <v>#REF!</v>
      </c>
      <c r="S202" s="64"/>
    </row>
    <row r="203" spans="2:19" ht="26.25" x14ac:dyDescent="0.25">
      <c r="B203" s="5">
        <f t="shared" si="3"/>
        <v>200</v>
      </c>
      <c r="C203" s="29" t="s">
        <v>1295</v>
      </c>
      <c r="D203" s="6" t="s">
        <v>902</v>
      </c>
      <c r="E203" s="29" t="s">
        <v>1296</v>
      </c>
      <c r="F203" s="6">
        <v>1300</v>
      </c>
      <c r="G203" s="6" t="s">
        <v>26</v>
      </c>
      <c r="H203" s="6"/>
      <c r="I203" s="6"/>
      <c r="J203" s="6"/>
      <c r="K203" s="7">
        <v>41094</v>
      </c>
      <c r="L203" s="30">
        <v>3377450</v>
      </c>
      <c r="M203" s="30">
        <v>3208579</v>
      </c>
      <c r="N203" s="6" t="s">
        <v>30</v>
      </c>
      <c r="O203" s="31">
        <v>43103</v>
      </c>
      <c r="P203" s="32" t="e">
        <f>VLOOKUP(Table311[[#This Row],[UNIT NO.]],[1]!Table35711[[#Headers],[#Data],[Unit '#]:[Application/Sold/ Unsold]],7,0)</f>
        <v>#REF!</v>
      </c>
      <c r="S203" s="64"/>
    </row>
    <row r="204" spans="2:19" ht="39" x14ac:dyDescent="0.25">
      <c r="B204" s="5">
        <f t="shared" si="3"/>
        <v>201</v>
      </c>
      <c r="C204" s="29" t="s">
        <v>1297</v>
      </c>
      <c r="D204" s="6" t="s">
        <v>902</v>
      </c>
      <c r="E204" s="33" t="s">
        <v>1298</v>
      </c>
      <c r="F204" s="34">
        <v>1300</v>
      </c>
      <c r="G204" s="6" t="s">
        <v>113</v>
      </c>
      <c r="H204" s="6"/>
      <c r="I204" s="6"/>
      <c r="J204" s="6"/>
      <c r="K204" s="35">
        <v>42959</v>
      </c>
      <c r="L204" s="36">
        <v>3023256</v>
      </c>
      <c r="M204" s="30">
        <v>2687353</v>
      </c>
      <c r="N204" s="6" t="s">
        <v>27</v>
      </c>
      <c r="O204" s="31">
        <v>43103</v>
      </c>
      <c r="P204" s="32" t="e">
        <f>VLOOKUP(Table311[[#This Row],[UNIT NO.]],[1]!Table35711[[#Headers],[#Data],[Unit '#]:[Application/Sold/ Unsold]],7,0)</f>
        <v>#REF!</v>
      </c>
      <c r="S204" s="64"/>
    </row>
    <row r="205" spans="2:19" ht="26.25" x14ac:dyDescent="0.25">
      <c r="B205" s="5">
        <f t="shared" si="3"/>
        <v>202</v>
      </c>
      <c r="C205" s="29" t="s">
        <v>1299</v>
      </c>
      <c r="D205" s="6" t="s">
        <v>902</v>
      </c>
      <c r="E205" s="29" t="s">
        <v>1300</v>
      </c>
      <c r="F205" s="6">
        <v>1300</v>
      </c>
      <c r="G205" s="6" t="s">
        <v>26</v>
      </c>
      <c r="H205" s="6"/>
      <c r="I205" s="6"/>
      <c r="J205" s="6"/>
      <c r="K205" s="7">
        <v>41326</v>
      </c>
      <c r="L205" s="30">
        <v>3742000</v>
      </c>
      <c r="M205" s="30">
        <v>3742000</v>
      </c>
      <c r="N205" s="6" t="s">
        <v>144</v>
      </c>
      <c r="O205" s="31">
        <v>43103</v>
      </c>
      <c r="P205" s="32" t="e">
        <f>VLOOKUP(Table311[[#This Row],[UNIT NO.]],[1]!Table35711[[#Headers],[#Data],[Unit '#]:[Application/Sold/ Unsold]],7,0)</f>
        <v>#REF!</v>
      </c>
      <c r="S205" s="64"/>
    </row>
    <row r="206" spans="2:19" ht="26.25" x14ac:dyDescent="0.25">
      <c r="B206" s="5">
        <f t="shared" si="3"/>
        <v>203</v>
      </c>
      <c r="C206" s="29" t="s">
        <v>1301</v>
      </c>
      <c r="D206" s="6" t="s">
        <v>902</v>
      </c>
      <c r="E206" s="29" t="s">
        <v>1302</v>
      </c>
      <c r="F206" s="6">
        <v>1300</v>
      </c>
      <c r="G206" s="6" t="s">
        <v>26</v>
      </c>
      <c r="H206" s="6"/>
      <c r="I206" s="6"/>
      <c r="J206" s="6"/>
      <c r="K206" s="7">
        <v>41358</v>
      </c>
      <c r="L206" s="30">
        <v>3840500</v>
      </c>
      <c r="M206" s="30">
        <v>3482240</v>
      </c>
      <c r="N206" s="6" t="s">
        <v>144</v>
      </c>
      <c r="O206" s="31">
        <v>43103</v>
      </c>
      <c r="P206" s="32" t="e">
        <f>VLOOKUP(Table311[[#This Row],[UNIT NO.]],[1]!Table35711[[#Headers],[#Data],[Unit '#]:[Application/Sold/ Unsold]],7,0)</f>
        <v>#REF!</v>
      </c>
      <c r="S206" s="64"/>
    </row>
    <row r="207" spans="2:19" ht="26.25" x14ac:dyDescent="0.25">
      <c r="B207" s="5">
        <f t="shared" si="3"/>
        <v>204</v>
      </c>
      <c r="C207" s="29" t="s">
        <v>1303</v>
      </c>
      <c r="D207" s="6" t="s">
        <v>902</v>
      </c>
      <c r="E207" s="29" t="s">
        <v>1304</v>
      </c>
      <c r="F207" s="6">
        <v>1300</v>
      </c>
      <c r="G207" s="6" t="s">
        <v>26</v>
      </c>
      <c r="H207" s="6"/>
      <c r="I207" s="6"/>
      <c r="J207" s="6"/>
      <c r="K207" s="7">
        <v>41914</v>
      </c>
      <c r="L207" s="30">
        <v>3665000</v>
      </c>
      <c r="M207" s="30">
        <v>2791751</v>
      </c>
      <c r="N207" s="6" t="s">
        <v>30</v>
      </c>
      <c r="O207" s="31">
        <v>43103</v>
      </c>
      <c r="P207" s="32" t="e">
        <f>VLOOKUP(Table311[[#This Row],[UNIT NO.]],[1]!Table35711[[#Headers],[#Data],[Unit '#]:[Application/Sold/ Unsold]],7,0)</f>
        <v>#REF!</v>
      </c>
      <c r="S207" s="64"/>
    </row>
    <row r="208" spans="2:19" ht="26.25" x14ac:dyDescent="0.25">
      <c r="B208" s="5">
        <f t="shared" si="3"/>
        <v>205</v>
      </c>
      <c r="C208" s="29" t="s">
        <v>1305</v>
      </c>
      <c r="D208" s="6" t="s">
        <v>902</v>
      </c>
      <c r="E208" s="29" t="s">
        <v>1306</v>
      </c>
      <c r="F208" s="6">
        <v>1300</v>
      </c>
      <c r="G208" s="6" t="s">
        <v>26</v>
      </c>
      <c r="H208" s="6"/>
      <c r="I208" s="6"/>
      <c r="J208" s="6"/>
      <c r="K208" s="7">
        <v>41332</v>
      </c>
      <c r="L208" s="30">
        <v>3864375</v>
      </c>
      <c r="M208" s="30">
        <v>3761526</v>
      </c>
      <c r="N208" s="6" t="s">
        <v>144</v>
      </c>
      <c r="O208" s="31">
        <v>43103</v>
      </c>
      <c r="P208" s="32" t="e">
        <f>VLOOKUP(Table311[[#This Row],[UNIT NO.]],[1]!Table35711[[#Headers],[#Data],[Unit '#]:[Application/Sold/ Unsold]],7,0)</f>
        <v>#REF!</v>
      </c>
      <c r="S208" s="64"/>
    </row>
    <row r="209" spans="2:19" ht="26.25" x14ac:dyDescent="0.25">
      <c r="B209" s="5">
        <f t="shared" si="3"/>
        <v>206</v>
      </c>
      <c r="C209" s="29" t="s">
        <v>1307</v>
      </c>
      <c r="D209" s="6" t="s">
        <v>902</v>
      </c>
      <c r="E209" s="29" t="s">
        <v>1308</v>
      </c>
      <c r="F209" s="6">
        <v>1300</v>
      </c>
      <c r="G209" s="6" t="s">
        <v>26</v>
      </c>
      <c r="H209" s="6"/>
      <c r="I209" s="6"/>
      <c r="J209" s="6"/>
      <c r="K209" s="7">
        <v>41324</v>
      </c>
      <c r="L209" s="30">
        <v>3404125</v>
      </c>
      <c r="M209" s="30">
        <v>3404125</v>
      </c>
      <c r="N209" s="6" t="s">
        <v>30</v>
      </c>
      <c r="O209" s="31">
        <v>43103</v>
      </c>
      <c r="P209" s="32" t="e">
        <f>VLOOKUP(Table311[[#This Row],[UNIT NO.]],[1]!Table35711[[#Headers],[#Data],[Unit '#]:[Application/Sold/ Unsold]],7,0)</f>
        <v>#REF!</v>
      </c>
      <c r="S209" s="64"/>
    </row>
    <row r="210" spans="2:19" ht="39" x14ac:dyDescent="0.25">
      <c r="B210" s="5">
        <f t="shared" si="3"/>
        <v>207</v>
      </c>
      <c r="C210" s="29" t="s">
        <v>1309</v>
      </c>
      <c r="D210" s="6" t="s">
        <v>902</v>
      </c>
      <c r="E210" s="29" t="s">
        <v>1310</v>
      </c>
      <c r="F210" s="6">
        <v>1300</v>
      </c>
      <c r="G210" s="6" t="s">
        <v>26</v>
      </c>
      <c r="H210" s="6"/>
      <c r="I210" s="6"/>
      <c r="J210" s="6"/>
      <c r="K210" s="7">
        <v>41338</v>
      </c>
      <c r="L210" s="30">
        <v>3707500</v>
      </c>
      <c r="M210" s="30">
        <v>3707500</v>
      </c>
      <c r="N210" s="6" t="s">
        <v>30</v>
      </c>
      <c r="O210" s="31">
        <v>43103</v>
      </c>
      <c r="P210" s="32" t="e">
        <f>VLOOKUP(Table311[[#This Row],[UNIT NO.]],[1]!Table35711[[#Headers],[#Data],[Unit '#]:[Application/Sold/ Unsold]],7,0)</f>
        <v>#REF!</v>
      </c>
      <c r="S210" s="64"/>
    </row>
    <row r="211" spans="2:19" ht="39" x14ac:dyDescent="0.25">
      <c r="B211" s="5">
        <f t="shared" si="3"/>
        <v>208</v>
      </c>
      <c r="C211" s="29" t="s">
        <v>1311</v>
      </c>
      <c r="D211" s="6" t="s">
        <v>902</v>
      </c>
      <c r="E211" s="29" t="s">
        <v>1312</v>
      </c>
      <c r="F211" s="6">
        <v>1300</v>
      </c>
      <c r="G211" s="6" t="s">
        <v>26</v>
      </c>
      <c r="H211" s="6"/>
      <c r="I211" s="6"/>
      <c r="J211" s="6"/>
      <c r="K211" s="7">
        <v>41324</v>
      </c>
      <c r="L211" s="30">
        <v>3404125</v>
      </c>
      <c r="M211" s="30">
        <v>3404125</v>
      </c>
      <c r="N211" s="6" t="s">
        <v>30</v>
      </c>
      <c r="O211" s="31">
        <v>43103</v>
      </c>
      <c r="P211" s="32" t="e">
        <f>VLOOKUP(Table311[[#This Row],[UNIT NO.]],[1]!Table35711[[#Headers],[#Data],[Unit '#]:[Application/Sold/ Unsold]],7,0)</f>
        <v>#REF!</v>
      </c>
      <c r="S211" s="64"/>
    </row>
    <row r="212" spans="2:19" ht="39" x14ac:dyDescent="0.25">
      <c r="B212" s="5">
        <f t="shared" si="3"/>
        <v>209</v>
      </c>
      <c r="C212" s="29" t="s">
        <v>1313</v>
      </c>
      <c r="D212" s="6" t="s">
        <v>902</v>
      </c>
      <c r="E212" s="29" t="s">
        <v>1314</v>
      </c>
      <c r="F212" s="6">
        <v>1300</v>
      </c>
      <c r="G212" s="6" t="s">
        <v>26</v>
      </c>
      <c r="H212" s="6"/>
      <c r="I212" s="6"/>
      <c r="J212" s="6"/>
      <c r="K212" s="7">
        <v>41376</v>
      </c>
      <c r="L212" s="30">
        <v>3883750</v>
      </c>
      <c r="M212" s="30">
        <v>3521118</v>
      </c>
      <c r="N212" s="6" t="s">
        <v>144</v>
      </c>
      <c r="O212" s="31">
        <v>43103</v>
      </c>
      <c r="P212" s="32" t="e">
        <f>VLOOKUP(Table311[[#This Row],[UNIT NO.]],[1]!Table35711[[#Headers],[#Data],[Unit '#]:[Application/Sold/ Unsold]],7,0)</f>
        <v>#REF!</v>
      </c>
      <c r="S212" s="64"/>
    </row>
    <row r="213" spans="2:19" ht="26.25" x14ac:dyDescent="0.25">
      <c r="B213" s="5">
        <f t="shared" si="3"/>
        <v>210</v>
      </c>
      <c r="C213" s="29" t="s">
        <v>1315</v>
      </c>
      <c r="D213" s="6" t="s">
        <v>902</v>
      </c>
      <c r="E213" s="29" t="s">
        <v>1316</v>
      </c>
      <c r="F213" s="6">
        <v>1300</v>
      </c>
      <c r="G213" s="6" t="s">
        <v>26</v>
      </c>
      <c r="H213" s="6"/>
      <c r="I213" s="6"/>
      <c r="J213" s="6"/>
      <c r="K213" s="7">
        <v>41357</v>
      </c>
      <c r="L213" s="30">
        <v>3727750</v>
      </c>
      <c r="M213" s="30">
        <v>3714790</v>
      </c>
      <c r="N213" s="6" t="s">
        <v>27</v>
      </c>
      <c r="O213" s="31">
        <v>43103</v>
      </c>
      <c r="P213" s="32" t="e">
        <f>VLOOKUP(Table311[[#This Row],[UNIT NO.]],[1]!Table35711[[#Headers],[#Data],[Unit '#]:[Application/Sold/ Unsold]],7,0)</f>
        <v>#REF!</v>
      </c>
      <c r="S213" s="64"/>
    </row>
    <row r="214" spans="2:19" ht="39" x14ac:dyDescent="0.25">
      <c r="B214" s="5">
        <f t="shared" si="3"/>
        <v>211</v>
      </c>
      <c r="C214" s="29" t="s">
        <v>1317</v>
      </c>
      <c r="D214" s="6" t="s">
        <v>902</v>
      </c>
      <c r="E214" s="29" t="s">
        <v>1318</v>
      </c>
      <c r="F214" s="6">
        <v>1300</v>
      </c>
      <c r="G214" s="6" t="s">
        <v>26</v>
      </c>
      <c r="H214" s="6"/>
      <c r="I214" s="6"/>
      <c r="J214" s="6"/>
      <c r="K214" s="7">
        <v>41961</v>
      </c>
      <c r="L214" s="30">
        <v>4337500</v>
      </c>
      <c r="M214" s="30">
        <v>4120625</v>
      </c>
      <c r="N214" s="6" t="s">
        <v>30</v>
      </c>
      <c r="O214" s="31">
        <v>43103</v>
      </c>
      <c r="P214" s="32" t="e">
        <f>VLOOKUP(Table311[[#This Row],[UNIT NO.]],[1]!Table35711[[#Headers],[#Data],[Unit '#]:[Application/Sold/ Unsold]],7,0)</f>
        <v>#REF!</v>
      </c>
      <c r="S214" s="64"/>
    </row>
    <row r="215" spans="2:19" ht="26.25" x14ac:dyDescent="0.25">
      <c r="B215" s="5">
        <f t="shared" si="3"/>
        <v>212</v>
      </c>
      <c r="C215" s="29" t="s">
        <v>1319</v>
      </c>
      <c r="D215" s="6" t="s">
        <v>902</v>
      </c>
      <c r="E215" s="29" t="s">
        <v>1320</v>
      </c>
      <c r="F215" s="6">
        <v>1300</v>
      </c>
      <c r="G215" s="6" t="s">
        <v>26</v>
      </c>
      <c r="H215" s="6"/>
      <c r="I215" s="6"/>
      <c r="J215" s="6"/>
      <c r="K215" s="7">
        <v>41357</v>
      </c>
      <c r="L215" s="30">
        <v>3727750</v>
      </c>
      <c r="M215" s="30">
        <v>3405964</v>
      </c>
      <c r="N215" s="6" t="s">
        <v>27</v>
      </c>
      <c r="O215" s="31">
        <v>43103</v>
      </c>
      <c r="P215" s="32" t="e">
        <f>VLOOKUP(Table311[[#This Row],[UNIT NO.]],[1]!Table35711[[#Headers],[#Data],[Unit '#]:[Application/Sold/ Unsold]],7,0)</f>
        <v>#REF!</v>
      </c>
      <c r="S215" s="64"/>
    </row>
    <row r="216" spans="2:19" ht="26.25" x14ac:dyDescent="0.25">
      <c r="B216" s="5">
        <f t="shared" si="3"/>
        <v>213</v>
      </c>
      <c r="C216" s="29" t="s">
        <v>1321</v>
      </c>
      <c r="D216" s="6" t="s">
        <v>902</v>
      </c>
      <c r="E216" s="29" t="s">
        <v>1322</v>
      </c>
      <c r="F216" s="6">
        <v>1300</v>
      </c>
      <c r="G216" s="6" t="s">
        <v>26</v>
      </c>
      <c r="H216" s="6"/>
      <c r="I216" s="6"/>
      <c r="J216" s="6"/>
      <c r="K216" s="7">
        <v>41390</v>
      </c>
      <c r="L216" s="30">
        <v>3787950</v>
      </c>
      <c r="M216" s="30">
        <v>3141932</v>
      </c>
      <c r="N216" s="6" t="s">
        <v>144</v>
      </c>
      <c r="O216" s="31">
        <v>43103</v>
      </c>
      <c r="P216" s="32" t="e">
        <f>VLOOKUP(Table311[[#This Row],[UNIT NO.]],[1]!Table35711[[#Headers],[#Data],[Unit '#]:[Application/Sold/ Unsold]],7,0)</f>
        <v>#REF!</v>
      </c>
      <c r="S216" s="64"/>
    </row>
    <row r="217" spans="2:19" ht="26.25" x14ac:dyDescent="0.25">
      <c r="B217" s="5">
        <f t="shared" si="3"/>
        <v>214</v>
      </c>
      <c r="C217" s="29" t="s">
        <v>1323</v>
      </c>
      <c r="D217" s="6" t="s">
        <v>902</v>
      </c>
      <c r="E217" s="29" t="s">
        <v>1324</v>
      </c>
      <c r="F217" s="6">
        <v>1300</v>
      </c>
      <c r="G217" s="6" t="s">
        <v>26</v>
      </c>
      <c r="H217" s="6"/>
      <c r="I217" s="6"/>
      <c r="J217" s="6"/>
      <c r="K217" s="7">
        <v>41316</v>
      </c>
      <c r="L217" s="30">
        <v>3742000</v>
      </c>
      <c r="M217" s="30">
        <v>3402724</v>
      </c>
      <c r="N217" s="6" t="s">
        <v>144</v>
      </c>
      <c r="O217" s="31">
        <v>43103</v>
      </c>
      <c r="P217" s="32" t="e">
        <f>VLOOKUP(Table311[[#This Row],[UNIT NO.]],[1]!Table35711[[#Headers],[#Data],[Unit '#]:[Application/Sold/ Unsold]],7,0)</f>
        <v>#REF!</v>
      </c>
      <c r="S217" s="64"/>
    </row>
    <row r="218" spans="2:19" ht="39" x14ac:dyDescent="0.25">
      <c r="B218" s="5">
        <f t="shared" si="3"/>
        <v>215</v>
      </c>
      <c r="C218" s="29" t="s">
        <v>1325</v>
      </c>
      <c r="D218" s="6" t="s">
        <v>902</v>
      </c>
      <c r="E218" s="29" t="s">
        <v>1326</v>
      </c>
      <c r="F218" s="6">
        <v>1300</v>
      </c>
      <c r="G218" s="6" t="s">
        <v>26</v>
      </c>
      <c r="H218" s="6"/>
      <c r="I218" s="6"/>
      <c r="J218" s="6"/>
      <c r="K218" s="7">
        <v>41431</v>
      </c>
      <c r="L218" s="30">
        <v>3915500</v>
      </c>
      <c r="M218" s="30">
        <v>3560492</v>
      </c>
      <c r="N218" s="6" t="s">
        <v>144</v>
      </c>
      <c r="O218" s="31">
        <v>43103</v>
      </c>
      <c r="P218" s="32" t="e">
        <f>VLOOKUP(Table311[[#This Row],[UNIT NO.]],[1]!Table35711[[#Headers],[#Data],[Unit '#]:[Application/Sold/ Unsold]],7,0)</f>
        <v>#REF!</v>
      </c>
      <c r="S218" s="64"/>
    </row>
    <row r="219" spans="2:19" ht="26.25" x14ac:dyDescent="0.25">
      <c r="B219" s="5">
        <f t="shared" si="3"/>
        <v>216</v>
      </c>
      <c r="C219" s="29" t="s">
        <v>1327</v>
      </c>
      <c r="D219" s="6" t="s">
        <v>902</v>
      </c>
      <c r="E219" s="29" t="s">
        <v>1328</v>
      </c>
      <c r="F219" s="6">
        <v>1300</v>
      </c>
      <c r="G219" s="6" t="s">
        <v>26</v>
      </c>
      <c r="H219" s="6"/>
      <c r="I219" s="6"/>
      <c r="J219" s="6"/>
      <c r="K219" s="7">
        <v>41335</v>
      </c>
      <c r="L219" s="30">
        <v>3443350</v>
      </c>
      <c r="M219" s="30">
        <v>3443350</v>
      </c>
      <c r="N219" s="6" t="s">
        <v>27</v>
      </c>
      <c r="O219" s="31">
        <v>43103</v>
      </c>
      <c r="P219" s="32" t="e">
        <f>VLOOKUP(Table311[[#This Row],[UNIT NO.]],[1]!Table35711[[#Headers],[#Data],[Unit '#]:[Application/Sold/ Unsold]],7,0)</f>
        <v>#REF!</v>
      </c>
      <c r="S219" s="64"/>
    </row>
    <row r="220" spans="2:19" ht="26.25" x14ac:dyDescent="0.25">
      <c r="B220" s="5">
        <f t="shared" si="3"/>
        <v>217</v>
      </c>
      <c r="C220" s="29" t="s">
        <v>1329</v>
      </c>
      <c r="D220" s="6" t="s">
        <v>902</v>
      </c>
      <c r="E220" s="29" t="s">
        <v>1330</v>
      </c>
      <c r="F220" s="6">
        <v>1300</v>
      </c>
      <c r="G220" s="6" t="s">
        <v>26</v>
      </c>
      <c r="H220" s="6"/>
      <c r="I220" s="6"/>
      <c r="J220" s="6"/>
      <c r="K220" s="7">
        <v>41386</v>
      </c>
      <c r="L220" s="30">
        <v>3807000</v>
      </c>
      <c r="M220" s="30">
        <v>48501</v>
      </c>
      <c r="N220" s="6" t="s">
        <v>30</v>
      </c>
      <c r="O220" s="31">
        <v>43103</v>
      </c>
      <c r="P220" s="32" t="e">
        <f>VLOOKUP(Table311[[#This Row],[UNIT NO.]],[1]!Table35711[[#Headers],[#Data],[Unit '#]:[Application/Sold/ Unsold]],7,0)</f>
        <v>#REF!</v>
      </c>
      <c r="S220" s="64"/>
    </row>
    <row r="221" spans="2:19" ht="26.25" x14ac:dyDescent="0.25">
      <c r="B221" s="5">
        <f t="shared" si="3"/>
        <v>218</v>
      </c>
      <c r="C221" s="29" t="s">
        <v>1331</v>
      </c>
      <c r="D221" s="6" t="s">
        <v>902</v>
      </c>
      <c r="E221" s="29" t="s">
        <v>1332</v>
      </c>
      <c r="F221" s="6">
        <v>1300</v>
      </c>
      <c r="G221" s="6" t="s">
        <v>26</v>
      </c>
      <c r="H221" s="6"/>
      <c r="I221" s="6"/>
      <c r="J221" s="6"/>
      <c r="K221" s="7">
        <v>41201</v>
      </c>
      <c r="L221" s="30">
        <v>3287450</v>
      </c>
      <c r="M221" s="30">
        <v>3287450</v>
      </c>
      <c r="N221" s="6" t="s">
        <v>27</v>
      </c>
      <c r="O221" s="31">
        <v>43103</v>
      </c>
      <c r="P221" s="32" t="e">
        <f>VLOOKUP(Table311[[#This Row],[UNIT NO.]],[1]!Table35711[[#Headers],[#Data],[Unit '#]:[Application/Sold/ Unsold]],7,0)</f>
        <v>#REF!</v>
      </c>
      <c r="S221" s="64"/>
    </row>
    <row r="222" spans="2:19" ht="26.25" x14ac:dyDescent="0.25">
      <c r="B222" s="5">
        <f t="shared" si="3"/>
        <v>219</v>
      </c>
      <c r="C222" s="29" t="s">
        <v>1333</v>
      </c>
      <c r="D222" s="6" t="s">
        <v>902</v>
      </c>
      <c r="E222" s="37" t="s">
        <v>1334</v>
      </c>
      <c r="F222" s="38">
        <v>1300</v>
      </c>
      <c r="G222" s="6" t="s">
        <v>113</v>
      </c>
      <c r="H222" s="6"/>
      <c r="I222" s="6"/>
      <c r="J222" s="6"/>
      <c r="K222" s="35">
        <v>43004</v>
      </c>
      <c r="L222" s="39">
        <v>3024000</v>
      </c>
      <c r="M222" s="30">
        <v>513283</v>
      </c>
      <c r="N222" s="6" t="s">
        <v>30</v>
      </c>
      <c r="O222" s="31">
        <v>43103</v>
      </c>
      <c r="P222" s="32" t="e">
        <f>VLOOKUP(Table311[[#This Row],[UNIT NO.]],[1]!Table35711[[#Headers],[#Data],[Unit '#]:[Application/Sold/ Unsold]],7,0)</f>
        <v>#REF!</v>
      </c>
      <c r="S222" s="64"/>
    </row>
    <row r="223" spans="2:19" ht="26.25" x14ac:dyDescent="0.25">
      <c r="B223" s="5">
        <f t="shared" si="3"/>
        <v>220</v>
      </c>
      <c r="C223" s="29" t="s">
        <v>1335</v>
      </c>
      <c r="D223" s="6" t="s">
        <v>902</v>
      </c>
      <c r="E223" s="29" t="s">
        <v>1336</v>
      </c>
      <c r="F223" s="6">
        <v>1300</v>
      </c>
      <c r="G223" s="6" t="s">
        <v>26</v>
      </c>
      <c r="H223" s="6"/>
      <c r="I223" s="6"/>
      <c r="J223" s="6"/>
      <c r="K223" s="7">
        <v>41381</v>
      </c>
      <c r="L223" s="30">
        <v>3684500</v>
      </c>
      <c r="M223" s="30">
        <v>3308642</v>
      </c>
      <c r="N223" s="6" t="s">
        <v>144</v>
      </c>
      <c r="O223" s="31">
        <v>43103</v>
      </c>
      <c r="P223" s="32" t="e">
        <f>VLOOKUP(Table311[[#This Row],[UNIT NO.]],[1]!Table35711[[#Headers],[#Data],[Unit '#]:[Application/Sold/ Unsold]],7,0)</f>
        <v>#REF!</v>
      </c>
      <c r="S223" s="64"/>
    </row>
    <row r="224" spans="2:19" ht="26.25" x14ac:dyDescent="0.25">
      <c r="B224" s="5">
        <f t="shared" si="3"/>
        <v>221</v>
      </c>
      <c r="C224" s="29" t="s">
        <v>1337</v>
      </c>
      <c r="D224" s="6" t="s">
        <v>902</v>
      </c>
      <c r="E224" s="29" t="s">
        <v>1338</v>
      </c>
      <c r="F224" s="6">
        <v>1300</v>
      </c>
      <c r="G224" s="6" t="s">
        <v>26</v>
      </c>
      <c r="H224" s="6"/>
      <c r="I224" s="6"/>
      <c r="J224" s="6"/>
      <c r="K224" s="7">
        <v>42416</v>
      </c>
      <c r="L224" s="30">
        <v>4077200</v>
      </c>
      <c r="M224" s="30">
        <v>4077200</v>
      </c>
      <c r="N224" s="6" t="s">
        <v>46</v>
      </c>
      <c r="O224" s="31">
        <v>43103</v>
      </c>
      <c r="P224" s="32" t="e">
        <f>VLOOKUP(Table311[[#This Row],[UNIT NO.]],[1]!Table35711[[#Headers],[#Data],[Unit '#]:[Application/Sold/ Unsold]],7,0)</f>
        <v>#REF!</v>
      </c>
      <c r="S224" s="64"/>
    </row>
    <row r="225" spans="2:19" x14ac:dyDescent="0.25">
      <c r="B225" s="5">
        <f t="shared" si="3"/>
        <v>222</v>
      </c>
      <c r="C225" s="29" t="s">
        <v>1339</v>
      </c>
      <c r="D225" s="6" t="s">
        <v>902</v>
      </c>
      <c r="E225" s="29" t="s">
        <v>1340</v>
      </c>
      <c r="F225" s="6">
        <v>1300</v>
      </c>
      <c r="G225" s="6" t="s">
        <v>26</v>
      </c>
      <c r="H225" s="6"/>
      <c r="I225" s="6"/>
      <c r="J225" s="6"/>
      <c r="K225" s="7">
        <v>41339</v>
      </c>
      <c r="L225" s="30">
        <v>3492750</v>
      </c>
      <c r="M225" s="30">
        <v>3492750</v>
      </c>
      <c r="N225" s="6" t="s">
        <v>27</v>
      </c>
      <c r="O225" s="31">
        <v>43103</v>
      </c>
      <c r="P225" s="32" t="e">
        <f>VLOOKUP(Table311[[#This Row],[UNIT NO.]],[1]!Table35711[[#Headers],[#Data],[Unit '#]:[Application/Sold/ Unsold]],7,0)</f>
        <v>#REF!</v>
      </c>
      <c r="S225" s="64"/>
    </row>
    <row r="226" spans="2:19" ht="26.25" x14ac:dyDescent="0.25">
      <c r="B226" s="5">
        <f t="shared" si="3"/>
        <v>223</v>
      </c>
      <c r="C226" s="29" t="s">
        <v>1341</v>
      </c>
      <c r="D226" s="6" t="s">
        <v>902</v>
      </c>
      <c r="E226" s="29" t="s">
        <v>1342</v>
      </c>
      <c r="F226" s="6">
        <v>1300</v>
      </c>
      <c r="G226" s="6" t="s">
        <v>26</v>
      </c>
      <c r="H226" s="6"/>
      <c r="I226" s="6"/>
      <c r="J226" s="6"/>
      <c r="K226" s="7">
        <v>41453</v>
      </c>
      <c r="L226" s="30">
        <v>3759375</v>
      </c>
      <c r="M226" s="30">
        <v>3169129</v>
      </c>
      <c r="N226" s="6" t="s">
        <v>144</v>
      </c>
      <c r="O226" s="31">
        <v>43103</v>
      </c>
      <c r="P226" s="32" t="e">
        <f>VLOOKUP(Table311[[#This Row],[UNIT NO.]],[1]!Table35711[[#Headers],[#Data],[Unit '#]:[Application/Sold/ Unsold]],7,0)</f>
        <v>#REF!</v>
      </c>
      <c r="S226" s="64"/>
    </row>
    <row r="227" spans="2:19" ht="26.25" x14ac:dyDescent="0.25">
      <c r="B227" s="5">
        <f t="shared" si="3"/>
        <v>224</v>
      </c>
      <c r="C227" s="29" t="s">
        <v>1343</v>
      </c>
      <c r="D227" s="6" t="s">
        <v>902</v>
      </c>
      <c r="E227" s="29" t="s">
        <v>1344</v>
      </c>
      <c r="F227" s="6">
        <v>1300</v>
      </c>
      <c r="G227" s="6" t="s">
        <v>26</v>
      </c>
      <c r="H227" s="6"/>
      <c r="I227" s="6"/>
      <c r="J227" s="6"/>
      <c r="K227" s="7">
        <v>41366</v>
      </c>
      <c r="L227" s="30">
        <v>3600000</v>
      </c>
      <c r="M227" s="30">
        <v>3418499</v>
      </c>
      <c r="N227" s="6" t="s">
        <v>27</v>
      </c>
      <c r="O227" s="31">
        <v>43103</v>
      </c>
      <c r="P227" s="32" t="e">
        <f>VLOOKUP(Table311[[#This Row],[UNIT NO.]],[1]!Table35711[[#Headers],[#Data],[Unit '#]:[Application/Sold/ Unsold]],7,0)</f>
        <v>#REF!</v>
      </c>
      <c r="S227" s="64"/>
    </row>
    <row r="228" spans="2:19" x14ac:dyDescent="0.25">
      <c r="B228" s="5">
        <f t="shared" si="3"/>
        <v>225</v>
      </c>
      <c r="C228" s="33" t="s">
        <v>1345</v>
      </c>
      <c r="D228" s="6" t="s">
        <v>902</v>
      </c>
      <c r="E228" s="33" t="s">
        <v>1346</v>
      </c>
      <c r="F228" s="34">
        <v>1300</v>
      </c>
      <c r="G228" s="6" t="s">
        <v>113</v>
      </c>
      <c r="H228" s="6"/>
      <c r="I228" s="6"/>
      <c r="J228" s="6"/>
      <c r="K228" s="35">
        <v>42975</v>
      </c>
      <c r="L228" s="36">
        <v>3250000</v>
      </c>
      <c r="M228" s="30">
        <v>3050000</v>
      </c>
      <c r="N228" s="6" t="s">
        <v>1347</v>
      </c>
      <c r="O228" s="31">
        <v>43103</v>
      </c>
      <c r="P228" s="32" t="e">
        <f>VLOOKUP(Table311[[#This Row],[UNIT NO.]],[1]!Table35711[[#Headers],[#Data],[Unit '#]:[Application/Sold/ Unsold]],7,0)</f>
        <v>#REF!</v>
      </c>
      <c r="S228" s="64"/>
    </row>
    <row r="229" spans="2:19" ht="26.25" x14ac:dyDescent="0.25">
      <c r="B229" s="5">
        <f t="shared" si="3"/>
        <v>226</v>
      </c>
      <c r="C229" s="29" t="s">
        <v>234</v>
      </c>
      <c r="D229" s="6" t="s">
        <v>902</v>
      </c>
      <c r="E229" s="29" t="s">
        <v>1348</v>
      </c>
      <c r="F229" s="6">
        <v>1300</v>
      </c>
      <c r="G229" s="6" t="s">
        <v>26</v>
      </c>
      <c r="H229" s="6"/>
      <c r="I229" s="6"/>
      <c r="J229" s="6"/>
      <c r="K229" s="7">
        <v>41085</v>
      </c>
      <c r="L229" s="30">
        <v>3125000</v>
      </c>
      <c r="M229" s="30">
        <v>3125000</v>
      </c>
      <c r="N229" s="6" t="s">
        <v>39</v>
      </c>
      <c r="O229" s="31">
        <v>43103</v>
      </c>
      <c r="P229" s="32" t="e">
        <f>VLOOKUP(Table311[[#This Row],[UNIT NO.]],[1]!Table35711[[#Headers],[#Data],[Unit '#]:[Application/Sold/ Unsold]],7,0)</f>
        <v>#REF!</v>
      </c>
      <c r="S229" s="64"/>
    </row>
    <row r="230" spans="2:19" ht="39" x14ac:dyDescent="0.25">
      <c r="B230" s="5">
        <f t="shared" si="3"/>
        <v>227</v>
      </c>
      <c r="C230" s="29" t="s">
        <v>1349</v>
      </c>
      <c r="D230" s="6" t="s">
        <v>902</v>
      </c>
      <c r="E230" s="29" t="s">
        <v>1350</v>
      </c>
      <c r="F230" s="6">
        <v>1300</v>
      </c>
      <c r="G230" s="6" t="s">
        <v>26</v>
      </c>
      <c r="H230" s="6"/>
      <c r="I230" s="6"/>
      <c r="J230" s="6"/>
      <c r="K230" s="7">
        <v>41363</v>
      </c>
      <c r="L230" s="30">
        <v>3660200</v>
      </c>
      <c r="M230" s="30">
        <v>3324774</v>
      </c>
      <c r="N230" s="6" t="s">
        <v>144</v>
      </c>
      <c r="O230" s="31">
        <v>43103</v>
      </c>
      <c r="P230" s="32" t="e">
        <f>VLOOKUP(Table311[[#This Row],[UNIT NO.]],[1]!Table35711[[#Headers],[#Data],[Unit '#]:[Application/Sold/ Unsold]],7,0)</f>
        <v>#REF!</v>
      </c>
      <c r="S230" s="64"/>
    </row>
    <row r="231" spans="2:19" ht="26.25" x14ac:dyDescent="0.25">
      <c r="B231" s="5">
        <f t="shared" si="3"/>
        <v>228</v>
      </c>
      <c r="C231" s="29" t="s">
        <v>480</v>
      </c>
      <c r="D231" s="6" t="s">
        <v>902</v>
      </c>
      <c r="E231" s="29" t="s">
        <v>1351</v>
      </c>
      <c r="F231" s="6">
        <v>1300</v>
      </c>
      <c r="G231" s="6" t="s">
        <v>26</v>
      </c>
      <c r="H231" s="6"/>
      <c r="I231" s="6"/>
      <c r="J231" s="6"/>
      <c r="K231" s="7">
        <v>41339</v>
      </c>
      <c r="L231" s="30">
        <v>3648700</v>
      </c>
      <c r="M231" s="30">
        <v>3383072</v>
      </c>
      <c r="N231" s="6" t="s">
        <v>144</v>
      </c>
      <c r="O231" s="31">
        <v>43103</v>
      </c>
      <c r="P231" s="32" t="e">
        <f>VLOOKUP(Table311[[#This Row],[UNIT NO.]],[1]!Table35711[[#Headers],[#Data],[Unit '#]:[Application/Sold/ Unsold]],7,0)</f>
        <v>#REF!</v>
      </c>
      <c r="S231" s="64"/>
    </row>
    <row r="232" spans="2:19" ht="26.25" x14ac:dyDescent="0.25">
      <c r="B232" s="5">
        <f t="shared" si="3"/>
        <v>229</v>
      </c>
      <c r="C232" s="29" t="s">
        <v>1352</v>
      </c>
      <c r="D232" s="6" t="s">
        <v>902</v>
      </c>
      <c r="E232" s="29" t="s">
        <v>1353</v>
      </c>
      <c r="F232" s="6">
        <v>1300</v>
      </c>
      <c r="G232" s="6" t="s">
        <v>26</v>
      </c>
      <c r="H232" s="6"/>
      <c r="I232" s="6"/>
      <c r="J232" s="6"/>
      <c r="K232" s="7">
        <v>41028</v>
      </c>
      <c r="L232" s="30">
        <v>2781600</v>
      </c>
      <c r="M232" s="30">
        <v>2565928</v>
      </c>
      <c r="N232" s="6" t="s">
        <v>27</v>
      </c>
      <c r="O232" s="31">
        <v>43103</v>
      </c>
      <c r="P232" s="32" t="e">
        <f>VLOOKUP(Table311[[#This Row],[UNIT NO.]],[1]!Table35711[[#Headers],[#Data],[Unit '#]:[Application/Sold/ Unsold]],7,0)</f>
        <v>#REF!</v>
      </c>
      <c r="S232" s="64"/>
    </row>
    <row r="233" spans="2:19" x14ac:dyDescent="0.25">
      <c r="B233" s="5">
        <f t="shared" si="3"/>
        <v>230</v>
      </c>
      <c r="C233" s="29" t="s">
        <v>306</v>
      </c>
      <c r="D233" s="6" t="s">
        <v>902</v>
      </c>
      <c r="E233" s="29" t="s">
        <v>1354</v>
      </c>
      <c r="F233" s="6">
        <v>1300</v>
      </c>
      <c r="G233" s="6" t="s">
        <v>26</v>
      </c>
      <c r="H233" s="6"/>
      <c r="I233" s="6"/>
      <c r="J233" s="6"/>
      <c r="K233" s="7">
        <v>41453</v>
      </c>
      <c r="L233" s="30">
        <v>3717000</v>
      </c>
      <c r="M233" s="30">
        <v>3717000</v>
      </c>
      <c r="N233" s="6" t="s">
        <v>30</v>
      </c>
      <c r="O233" s="31">
        <v>43103</v>
      </c>
      <c r="P233" s="32" t="e">
        <f>VLOOKUP(Table311[[#This Row],[UNIT NO.]],[1]!Table35711[[#Headers],[#Data],[Unit '#]:[Application/Sold/ Unsold]],7,0)</f>
        <v>#REF!</v>
      </c>
      <c r="S233" s="64"/>
    </row>
    <row r="234" spans="2:19" ht="26.25" x14ac:dyDescent="0.25">
      <c r="B234" s="5">
        <f t="shared" si="3"/>
        <v>231</v>
      </c>
      <c r="C234" s="29" t="s">
        <v>1355</v>
      </c>
      <c r="D234" s="6" t="s">
        <v>902</v>
      </c>
      <c r="E234" s="29" t="s">
        <v>1356</v>
      </c>
      <c r="F234" s="6">
        <v>1300</v>
      </c>
      <c r="G234" s="6" t="s">
        <v>26</v>
      </c>
      <c r="H234" s="6"/>
      <c r="I234" s="6"/>
      <c r="J234" s="6"/>
      <c r="K234" s="7">
        <v>41028</v>
      </c>
      <c r="L234" s="30">
        <v>2781600</v>
      </c>
      <c r="M234" s="30">
        <v>2781600</v>
      </c>
      <c r="N234" s="6" t="s">
        <v>39</v>
      </c>
      <c r="O234" s="31">
        <v>43103</v>
      </c>
      <c r="P234" s="32" t="e">
        <f>VLOOKUP(Table311[[#This Row],[UNIT NO.]],[1]!Table35711[[#Headers],[#Data],[Unit '#]:[Application/Sold/ Unsold]],7,0)</f>
        <v>#REF!</v>
      </c>
      <c r="S234" s="64"/>
    </row>
    <row r="235" spans="2:19" ht="26.25" x14ac:dyDescent="0.25">
      <c r="B235" s="5">
        <f t="shared" si="3"/>
        <v>232</v>
      </c>
      <c r="C235" s="29" t="s">
        <v>1357</v>
      </c>
      <c r="D235" s="6" t="s">
        <v>902</v>
      </c>
      <c r="E235" s="29" t="s">
        <v>1358</v>
      </c>
      <c r="F235" s="6">
        <v>1300</v>
      </c>
      <c r="G235" s="6" t="s">
        <v>26</v>
      </c>
      <c r="H235" s="6"/>
      <c r="I235" s="6"/>
      <c r="J235" s="6"/>
      <c r="K235" s="7">
        <v>41304</v>
      </c>
      <c r="L235" s="30">
        <v>3287500</v>
      </c>
      <c r="M235" s="30">
        <v>3123126</v>
      </c>
      <c r="N235" s="6" t="s">
        <v>165</v>
      </c>
      <c r="O235" s="31">
        <v>43103</v>
      </c>
      <c r="P235" s="32" t="e">
        <f>VLOOKUP(Table311[[#This Row],[UNIT NO.]],[1]!Table35711[[#Headers],[#Data],[Unit '#]:[Application/Sold/ Unsold]],7,0)</f>
        <v>#REF!</v>
      </c>
      <c r="S235" s="64"/>
    </row>
    <row r="236" spans="2:19" ht="26.25" x14ac:dyDescent="0.25">
      <c r="B236" s="5">
        <f t="shared" si="3"/>
        <v>233</v>
      </c>
      <c r="C236" s="29" t="s">
        <v>1359</v>
      </c>
      <c r="D236" s="6" t="s">
        <v>902</v>
      </c>
      <c r="E236" s="29" t="s">
        <v>1360</v>
      </c>
      <c r="F236" s="6">
        <v>1300</v>
      </c>
      <c r="G236" s="6" t="s">
        <v>26</v>
      </c>
      <c r="H236" s="6"/>
      <c r="I236" s="6"/>
      <c r="J236" s="6"/>
      <c r="K236" s="7">
        <v>41314</v>
      </c>
      <c r="L236" s="30">
        <v>3775000</v>
      </c>
      <c r="M236" s="30">
        <v>3531512</v>
      </c>
      <c r="N236" s="6" t="s">
        <v>144</v>
      </c>
      <c r="O236" s="31">
        <v>43103</v>
      </c>
      <c r="P236" s="32" t="e">
        <f>VLOOKUP(Table311[[#This Row],[UNIT NO.]],[1]!Table35711[[#Headers],[#Data],[Unit '#]:[Application/Sold/ Unsold]],7,0)</f>
        <v>#REF!</v>
      </c>
      <c r="S236" s="64"/>
    </row>
    <row r="237" spans="2:19" ht="26.25" x14ac:dyDescent="0.25">
      <c r="B237" s="5">
        <f t="shared" si="3"/>
        <v>234</v>
      </c>
      <c r="C237" s="29" t="s">
        <v>1361</v>
      </c>
      <c r="D237" s="6" t="s">
        <v>902</v>
      </c>
      <c r="E237" s="29" t="s">
        <v>1362</v>
      </c>
      <c r="F237" s="6">
        <v>1300</v>
      </c>
      <c r="G237" s="6" t="s">
        <v>26</v>
      </c>
      <c r="H237" s="6"/>
      <c r="I237" s="6"/>
      <c r="J237" s="6"/>
      <c r="K237" s="7">
        <v>41386</v>
      </c>
      <c r="L237" s="30">
        <v>3445450</v>
      </c>
      <c r="M237" s="30">
        <v>3374318</v>
      </c>
      <c r="N237" s="6" t="s">
        <v>30</v>
      </c>
      <c r="O237" s="31">
        <v>43103</v>
      </c>
      <c r="P237" s="32" t="e">
        <f>VLOOKUP(Table311[[#This Row],[UNIT NO.]],[1]!Table35711[[#Headers],[#Data],[Unit '#]:[Application/Sold/ Unsold]],7,0)</f>
        <v>#REF!</v>
      </c>
      <c r="S237" s="64"/>
    </row>
    <row r="238" spans="2:19" ht="26.25" x14ac:dyDescent="0.25">
      <c r="B238" s="5">
        <f t="shared" si="3"/>
        <v>235</v>
      </c>
      <c r="C238" s="29" t="s">
        <v>1363</v>
      </c>
      <c r="D238" s="6" t="s">
        <v>902</v>
      </c>
      <c r="E238" s="29" t="s">
        <v>1364</v>
      </c>
      <c r="F238" s="6">
        <v>1300</v>
      </c>
      <c r="G238" s="6" t="s">
        <v>26</v>
      </c>
      <c r="H238" s="6"/>
      <c r="I238" s="6"/>
      <c r="J238" s="6"/>
      <c r="K238" s="7">
        <v>41736</v>
      </c>
      <c r="L238" s="30">
        <v>4155000</v>
      </c>
      <c r="M238" s="30">
        <v>4155000</v>
      </c>
      <c r="N238" s="6" t="s">
        <v>27</v>
      </c>
      <c r="O238" s="31">
        <v>43103</v>
      </c>
      <c r="P238" s="32" t="e">
        <f>VLOOKUP(Table311[[#This Row],[UNIT NO.]],[1]!Table35711[[#Headers],[#Data],[Unit '#]:[Application/Sold/ Unsold]],7,0)</f>
        <v>#REF!</v>
      </c>
      <c r="S238" s="64"/>
    </row>
    <row r="239" spans="2:19" ht="26.25" x14ac:dyDescent="0.25">
      <c r="B239" s="5">
        <f t="shared" si="3"/>
        <v>236</v>
      </c>
      <c r="C239" s="29" t="s">
        <v>1365</v>
      </c>
      <c r="D239" s="6" t="s">
        <v>902</v>
      </c>
      <c r="E239" s="29" t="s">
        <v>1366</v>
      </c>
      <c r="F239" s="6">
        <v>1300</v>
      </c>
      <c r="G239" s="6" t="s">
        <v>26</v>
      </c>
      <c r="H239" s="6"/>
      <c r="I239" s="6"/>
      <c r="J239" s="6"/>
      <c r="K239" s="7">
        <v>41420</v>
      </c>
      <c r="L239" s="30">
        <v>3582500</v>
      </c>
      <c r="M239" s="30">
        <v>3582500</v>
      </c>
      <c r="N239" s="6" t="s">
        <v>27</v>
      </c>
      <c r="O239" s="31">
        <v>43103</v>
      </c>
      <c r="P239" s="32" t="e">
        <f>VLOOKUP(Table311[[#This Row],[UNIT NO.]],[1]!Table35711[[#Headers],[#Data],[Unit '#]:[Application/Sold/ Unsold]],7,0)</f>
        <v>#REF!</v>
      </c>
      <c r="S239" s="64"/>
    </row>
    <row r="240" spans="2:19" ht="26.25" x14ac:dyDescent="0.25">
      <c r="B240" s="5">
        <f t="shared" si="3"/>
        <v>237</v>
      </c>
      <c r="C240" s="29" t="s">
        <v>1367</v>
      </c>
      <c r="D240" s="6" t="s">
        <v>902</v>
      </c>
      <c r="E240" s="29" t="s">
        <v>1368</v>
      </c>
      <c r="F240" s="6">
        <v>1300</v>
      </c>
      <c r="G240" s="6" t="s">
        <v>26</v>
      </c>
      <c r="H240" s="6"/>
      <c r="I240" s="6"/>
      <c r="J240" s="6"/>
      <c r="K240" s="7">
        <v>41213</v>
      </c>
      <c r="L240" s="30">
        <v>3057500</v>
      </c>
      <c r="M240" s="30">
        <v>3057500</v>
      </c>
      <c r="N240" s="6" t="s">
        <v>39</v>
      </c>
      <c r="O240" s="31">
        <v>43103</v>
      </c>
      <c r="P240" s="32" t="e">
        <f>VLOOKUP(Table311[[#This Row],[UNIT NO.]],[1]!Table35711[[#Headers],[#Data],[Unit '#]:[Application/Sold/ Unsold]],7,0)</f>
        <v>#REF!</v>
      </c>
      <c r="S240" s="64"/>
    </row>
    <row r="241" spans="2:19" ht="26.25" x14ac:dyDescent="0.25">
      <c r="B241" s="5">
        <f t="shared" si="3"/>
        <v>238</v>
      </c>
      <c r="C241" s="29" t="s">
        <v>1369</v>
      </c>
      <c r="D241" s="6" t="s">
        <v>902</v>
      </c>
      <c r="E241" s="29" t="s">
        <v>1370</v>
      </c>
      <c r="F241" s="6">
        <v>1300</v>
      </c>
      <c r="G241" s="6" t="s">
        <v>26</v>
      </c>
      <c r="H241" s="6"/>
      <c r="I241" s="6"/>
      <c r="J241" s="6"/>
      <c r="K241" s="7">
        <v>42052</v>
      </c>
      <c r="L241" s="30">
        <v>3376510</v>
      </c>
      <c r="M241" s="30">
        <v>2975961</v>
      </c>
      <c r="N241" s="6" t="s">
        <v>30</v>
      </c>
      <c r="O241" s="31">
        <v>43103</v>
      </c>
      <c r="P241" s="32" t="e">
        <f>VLOOKUP(Table311[[#This Row],[UNIT NO.]],[1]!Table35711[[#Headers],[#Data],[Unit '#]:[Application/Sold/ Unsold]],7,0)</f>
        <v>#REF!</v>
      </c>
      <c r="S241" s="64"/>
    </row>
    <row r="242" spans="2:19" ht="26.25" x14ac:dyDescent="0.25">
      <c r="B242" s="5">
        <f t="shared" si="3"/>
        <v>239</v>
      </c>
      <c r="C242" s="29" t="s">
        <v>1371</v>
      </c>
      <c r="D242" s="6" t="s">
        <v>902</v>
      </c>
      <c r="E242" s="29" t="s">
        <v>1372</v>
      </c>
      <c r="F242" s="6">
        <v>1300</v>
      </c>
      <c r="G242" s="6" t="s">
        <v>26</v>
      </c>
      <c r="H242" s="6"/>
      <c r="I242" s="6"/>
      <c r="J242" s="6"/>
      <c r="K242" s="7">
        <v>41349</v>
      </c>
      <c r="L242" s="30">
        <v>3505000</v>
      </c>
      <c r="M242" s="30">
        <v>3275938</v>
      </c>
      <c r="N242" s="6" t="s">
        <v>144</v>
      </c>
      <c r="O242" s="31">
        <v>43103</v>
      </c>
      <c r="P242" s="32" t="e">
        <f>VLOOKUP(Table311[[#This Row],[UNIT NO.]],[1]!Table35711[[#Headers],[#Data],[Unit '#]:[Application/Sold/ Unsold]],7,0)</f>
        <v>#REF!</v>
      </c>
      <c r="S242" s="64"/>
    </row>
    <row r="243" spans="2:19" ht="26.25" x14ac:dyDescent="0.25">
      <c r="B243" s="5">
        <f t="shared" si="3"/>
        <v>240</v>
      </c>
      <c r="C243" s="29" t="s">
        <v>1373</v>
      </c>
      <c r="D243" s="6" t="s">
        <v>902</v>
      </c>
      <c r="E243" s="29" t="s">
        <v>1374</v>
      </c>
      <c r="F243" s="6">
        <v>1300</v>
      </c>
      <c r="G243" s="6" t="s">
        <v>26</v>
      </c>
      <c r="H243" s="6"/>
      <c r="I243" s="6"/>
      <c r="J243" s="6"/>
      <c r="K243" s="7">
        <v>41344</v>
      </c>
      <c r="L243" s="30">
        <v>3507000</v>
      </c>
      <c r="M243" s="30">
        <v>3266800</v>
      </c>
      <c r="N243" s="6" t="s">
        <v>144</v>
      </c>
      <c r="O243" s="31">
        <v>43103</v>
      </c>
      <c r="P243" s="32" t="e">
        <f>VLOOKUP(Table311[[#This Row],[UNIT NO.]],[1]!Table35711[[#Headers],[#Data],[Unit '#]:[Application/Sold/ Unsold]],7,0)</f>
        <v>#REF!</v>
      </c>
      <c r="S243" s="64"/>
    </row>
    <row r="244" spans="2:19" ht="39" x14ac:dyDescent="0.25">
      <c r="B244" s="5">
        <f t="shared" si="3"/>
        <v>241</v>
      </c>
      <c r="C244" s="29" t="s">
        <v>1375</v>
      </c>
      <c r="D244" s="6" t="s">
        <v>902</v>
      </c>
      <c r="E244" s="29" t="s">
        <v>1376</v>
      </c>
      <c r="F244" s="6">
        <v>1300</v>
      </c>
      <c r="G244" s="6" t="s">
        <v>26</v>
      </c>
      <c r="H244" s="6"/>
      <c r="I244" s="6"/>
      <c r="J244" s="6"/>
      <c r="K244" s="7">
        <v>41329</v>
      </c>
      <c r="L244" s="30">
        <v>3490000</v>
      </c>
      <c r="M244" s="30">
        <v>3490000</v>
      </c>
      <c r="N244" s="6" t="s">
        <v>144</v>
      </c>
      <c r="O244" s="31">
        <v>43103</v>
      </c>
      <c r="P244" s="32" t="e">
        <f>VLOOKUP(Table311[[#This Row],[UNIT NO.]],[1]!Table35711[[#Headers],[#Data],[Unit '#]:[Application/Sold/ Unsold]],7,0)</f>
        <v>#REF!</v>
      </c>
      <c r="S244" s="64"/>
    </row>
    <row r="245" spans="2:19" ht="26.25" x14ac:dyDescent="0.25">
      <c r="B245" s="5">
        <f t="shared" si="3"/>
        <v>242</v>
      </c>
      <c r="C245" s="29" t="s">
        <v>1377</v>
      </c>
      <c r="D245" s="6" t="s">
        <v>902</v>
      </c>
      <c r="E245" s="29" t="s">
        <v>1378</v>
      </c>
      <c r="F245" s="6">
        <v>1300</v>
      </c>
      <c r="G245" s="6" t="s">
        <v>26</v>
      </c>
      <c r="H245" s="6"/>
      <c r="I245" s="6"/>
      <c r="J245" s="6"/>
      <c r="K245" s="7">
        <v>41376</v>
      </c>
      <c r="L245" s="30">
        <v>3582500</v>
      </c>
      <c r="M245" s="30">
        <v>3262467</v>
      </c>
      <c r="N245" s="6" t="s">
        <v>144</v>
      </c>
      <c r="O245" s="31">
        <v>43103</v>
      </c>
      <c r="P245" s="32" t="e">
        <f>VLOOKUP(Table311[[#This Row],[UNIT NO.]],[1]!Table35711[[#Headers],[#Data],[Unit '#]:[Application/Sold/ Unsold]],7,0)</f>
        <v>#REF!</v>
      </c>
      <c r="S245" s="64"/>
    </row>
    <row r="246" spans="2:19" ht="26.25" x14ac:dyDescent="0.25">
      <c r="B246" s="5">
        <f t="shared" si="3"/>
        <v>243</v>
      </c>
      <c r="C246" s="29" t="s">
        <v>1379</v>
      </c>
      <c r="D246" s="6" t="s">
        <v>902</v>
      </c>
      <c r="E246" s="29" t="s">
        <v>1380</v>
      </c>
      <c r="F246" s="6">
        <v>1300</v>
      </c>
      <c r="G246" s="6" t="s">
        <v>26</v>
      </c>
      <c r="H246" s="6"/>
      <c r="I246" s="6"/>
      <c r="J246" s="6"/>
      <c r="K246" s="7">
        <v>41342</v>
      </c>
      <c r="L246" s="30">
        <v>3398325</v>
      </c>
      <c r="M246" s="30">
        <v>3100333</v>
      </c>
      <c r="N246" s="6" t="s">
        <v>144</v>
      </c>
      <c r="O246" s="31">
        <v>43103</v>
      </c>
      <c r="P246" s="32" t="e">
        <f>VLOOKUP(Table311[[#This Row],[UNIT NO.]],[1]!Table35711[[#Headers],[#Data],[Unit '#]:[Application/Sold/ Unsold]],7,0)</f>
        <v>#REF!</v>
      </c>
      <c r="S246" s="64"/>
    </row>
    <row r="247" spans="2:19" ht="39" x14ac:dyDescent="0.25">
      <c r="B247" s="5">
        <f t="shared" si="3"/>
        <v>244</v>
      </c>
      <c r="C247" s="29" t="s">
        <v>1381</v>
      </c>
      <c r="D247" s="6" t="s">
        <v>902</v>
      </c>
      <c r="E247" s="29" t="s">
        <v>1382</v>
      </c>
      <c r="F247" s="6">
        <v>1300</v>
      </c>
      <c r="G247" s="6" t="s">
        <v>26</v>
      </c>
      <c r="H247" s="6"/>
      <c r="I247" s="6"/>
      <c r="J247" s="6"/>
      <c r="K247" s="7">
        <v>41366</v>
      </c>
      <c r="L247" s="30">
        <v>3370000</v>
      </c>
      <c r="M247" s="30">
        <v>3370000</v>
      </c>
      <c r="N247" s="6" t="s">
        <v>984</v>
      </c>
      <c r="O247" s="31">
        <v>43103</v>
      </c>
      <c r="P247" s="32" t="e">
        <f>VLOOKUP(Table311[[#This Row],[UNIT NO.]],[1]!Table35711[[#Headers],[#Data],[Unit '#]:[Application/Sold/ Unsold]],7,0)</f>
        <v>#REF!</v>
      </c>
      <c r="S247" s="64"/>
    </row>
    <row r="248" spans="2:19" ht="26.25" x14ac:dyDescent="0.25">
      <c r="B248" s="5">
        <f t="shared" si="3"/>
        <v>245</v>
      </c>
      <c r="C248" s="29" t="s">
        <v>1383</v>
      </c>
      <c r="D248" s="6" t="s">
        <v>902</v>
      </c>
      <c r="E248" s="29" t="s">
        <v>1384</v>
      </c>
      <c r="F248" s="6">
        <v>1000</v>
      </c>
      <c r="G248" s="6" t="s">
        <v>26</v>
      </c>
      <c r="H248" s="6"/>
      <c r="I248" s="6"/>
      <c r="J248" s="6"/>
      <c r="K248" s="7">
        <v>40990</v>
      </c>
      <c r="L248" s="30">
        <v>2501250</v>
      </c>
      <c r="M248" s="30">
        <v>1874720</v>
      </c>
      <c r="N248" s="6" t="s">
        <v>30</v>
      </c>
      <c r="O248" s="31">
        <v>43103</v>
      </c>
      <c r="P248" s="32" t="e">
        <f>VLOOKUP(Table311[[#This Row],[UNIT NO.]],[1]!Table35711[[#Headers],[#Data],[Unit '#]:[Application/Sold/ Unsold]],7,0)</f>
        <v>#REF!</v>
      </c>
      <c r="S248" s="64"/>
    </row>
    <row r="249" spans="2:19" ht="26.25" x14ac:dyDescent="0.25">
      <c r="B249" s="5">
        <f t="shared" si="3"/>
        <v>246</v>
      </c>
      <c r="C249" s="29" t="s">
        <v>1385</v>
      </c>
      <c r="D249" s="6" t="s">
        <v>902</v>
      </c>
      <c r="E249" s="29" t="s">
        <v>1386</v>
      </c>
      <c r="F249" s="6">
        <v>1000</v>
      </c>
      <c r="G249" s="6" t="s">
        <v>26</v>
      </c>
      <c r="H249" s="6"/>
      <c r="I249" s="6"/>
      <c r="J249" s="6"/>
      <c r="K249" s="7">
        <v>41015</v>
      </c>
      <c r="L249" s="30">
        <v>2376500</v>
      </c>
      <c r="M249" s="30">
        <v>2256778</v>
      </c>
      <c r="N249" s="6" t="s">
        <v>27</v>
      </c>
      <c r="O249" s="31">
        <v>43103</v>
      </c>
      <c r="P249" s="32" t="e">
        <f>VLOOKUP(Table311[[#This Row],[UNIT NO.]],[1]!Table35711[[#Headers],[#Data],[Unit '#]:[Application/Sold/ Unsold]],7,0)</f>
        <v>#REF!</v>
      </c>
      <c r="S249" s="64"/>
    </row>
    <row r="250" spans="2:19" ht="39" x14ac:dyDescent="0.25">
      <c r="B250" s="5">
        <f t="shared" si="3"/>
        <v>247</v>
      </c>
      <c r="C250" s="29" t="s">
        <v>1387</v>
      </c>
      <c r="D250" s="6" t="s">
        <v>902</v>
      </c>
      <c r="E250" s="29" t="s">
        <v>1388</v>
      </c>
      <c r="F250" s="6">
        <v>1000</v>
      </c>
      <c r="G250" s="6" t="s">
        <v>26</v>
      </c>
      <c r="H250" s="6"/>
      <c r="I250" s="6"/>
      <c r="J250" s="6"/>
      <c r="K250" s="7">
        <v>40999</v>
      </c>
      <c r="L250" s="30">
        <v>2426250</v>
      </c>
      <c r="M250" s="30">
        <v>2195428</v>
      </c>
      <c r="N250" s="6" t="s">
        <v>955</v>
      </c>
      <c r="O250" s="31">
        <v>43103</v>
      </c>
      <c r="P250" s="32" t="e">
        <f>VLOOKUP(Table311[[#This Row],[UNIT NO.]],[1]!Table35711[[#Headers],[#Data],[Unit '#]:[Application/Sold/ Unsold]],7,0)</f>
        <v>#REF!</v>
      </c>
      <c r="S250" s="64"/>
    </row>
    <row r="251" spans="2:19" ht="39" x14ac:dyDescent="0.25">
      <c r="B251" s="5">
        <f t="shared" si="3"/>
        <v>248</v>
      </c>
      <c r="C251" s="29" t="s">
        <v>1389</v>
      </c>
      <c r="D251" s="6" t="s">
        <v>902</v>
      </c>
      <c r="E251" s="29" t="s">
        <v>1390</v>
      </c>
      <c r="F251" s="6">
        <v>1000</v>
      </c>
      <c r="G251" s="6" t="s">
        <v>26</v>
      </c>
      <c r="H251" s="6"/>
      <c r="I251" s="6"/>
      <c r="J251" s="6"/>
      <c r="K251" s="7">
        <v>41094</v>
      </c>
      <c r="L251" s="30">
        <v>2591250</v>
      </c>
      <c r="M251" s="30">
        <v>2461691</v>
      </c>
      <c r="N251" s="6" t="s">
        <v>30</v>
      </c>
      <c r="O251" s="31">
        <v>43103</v>
      </c>
      <c r="P251" s="32" t="e">
        <f>VLOOKUP(Table311[[#This Row],[UNIT NO.]],[1]!Table35711[[#Headers],[#Data],[Unit '#]:[Application/Sold/ Unsold]],7,0)</f>
        <v>#REF!</v>
      </c>
      <c r="S251" s="64"/>
    </row>
    <row r="252" spans="2:19" ht="26.25" x14ac:dyDescent="0.25">
      <c r="B252" s="5">
        <f t="shared" si="3"/>
        <v>249</v>
      </c>
      <c r="C252" s="29" t="s">
        <v>1391</v>
      </c>
      <c r="D252" s="6" t="s">
        <v>902</v>
      </c>
      <c r="E252" s="29" t="s">
        <v>1392</v>
      </c>
      <c r="F252" s="6">
        <v>1000</v>
      </c>
      <c r="G252" s="6" t="s">
        <v>26</v>
      </c>
      <c r="H252" s="6"/>
      <c r="I252" s="6"/>
      <c r="J252" s="6"/>
      <c r="K252" s="7">
        <v>41057</v>
      </c>
      <c r="L252" s="30">
        <v>2575000</v>
      </c>
      <c r="M252" s="30">
        <v>2575000</v>
      </c>
      <c r="N252" s="6" t="s">
        <v>30</v>
      </c>
      <c r="O252" s="31">
        <v>43103</v>
      </c>
      <c r="P252" s="32" t="e">
        <f>VLOOKUP(Table311[[#This Row],[UNIT NO.]],[1]!Table35711[[#Headers],[#Data],[Unit '#]:[Application/Sold/ Unsold]],7,0)</f>
        <v>#REF!</v>
      </c>
      <c r="S252" s="64"/>
    </row>
    <row r="253" spans="2:19" ht="26.25" x14ac:dyDescent="0.25">
      <c r="B253" s="5">
        <f t="shared" si="3"/>
        <v>250</v>
      </c>
      <c r="C253" s="29" t="s">
        <v>428</v>
      </c>
      <c r="D253" s="6" t="s">
        <v>902</v>
      </c>
      <c r="E253" s="29" t="s">
        <v>1393</v>
      </c>
      <c r="F253" s="6">
        <v>1000</v>
      </c>
      <c r="G253" s="6" t="s">
        <v>26</v>
      </c>
      <c r="H253" s="6"/>
      <c r="I253" s="6"/>
      <c r="J253" s="6"/>
      <c r="K253" s="7">
        <v>41046</v>
      </c>
      <c r="L253" s="30">
        <v>2364125</v>
      </c>
      <c r="M253" s="30">
        <v>2364125</v>
      </c>
      <c r="N253" s="6" t="s">
        <v>27</v>
      </c>
      <c r="O253" s="31">
        <v>43103</v>
      </c>
      <c r="P253" s="32" t="e">
        <f>VLOOKUP(Table311[[#This Row],[UNIT NO.]],[1]!Table35711[[#Headers],[#Data],[Unit '#]:[Application/Sold/ Unsold]],7,0)</f>
        <v>#REF!</v>
      </c>
      <c r="S253" s="64"/>
    </row>
    <row r="254" spans="2:19" ht="26.25" x14ac:dyDescent="0.25">
      <c r="B254" s="5">
        <f t="shared" si="3"/>
        <v>251</v>
      </c>
      <c r="C254" s="29" t="s">
        <v>1394</v>
      </c>
      <c r="D254" s="6" t="s">
        <v>902</v>
      </c>
      <c r="E254" s="29" t="s">
        <v>1395</v>
      </c>
      <c r="F254" s="6">
        <v>1000</v>
      </c>
      <c r="G254" s="6" t="s">
        <v>26</v>
      </c>
      <c r="H254" s="6"/>
      <c r="I254" s="6"/>
      <c r="J254" s="6"/>
      <c r="K254" s="7">
        <v>41050</v>
      </c>
      <c r="L254" s="30">
        <v>2602875</v>
      </c>
      <c r="M254" s="30">
        <v>2471235</v>
      </c>
      <c r="N254" s="6" t="s">
        <v>30</v>
      </c>
      <c r="O254" s="31">
        <v>43103</v>
      </c>
      <c r="P254" s="32" t="e">
        <f>VLOOKUP(Table311[[#This Row],[UNIT NO.]],[1]!Table35711[[#Headers],[#Data],[Unit '#]:[Application/Sold/ Unsold]],7,0)</f>
        <v>#REF!</v>
      </c>
      <c r="S254" s="64"/>
    </row>
    <row r="255" spans="2:19" ht="26.25" x14ac:dyDescent="0.25">
      <c r="B255" s="5">
        <f t="shared" si="3"/>
        <v>252</v>
      </c>
      <c r="C255" s="29" t="s">
        <v>1396</v>
      </c>
      <c r="D255" s="6" t="s">
        <v>902</v>
      </c>
      <c r="E255" s="29" t="s">
        <v>1397</v>
      </c>
      <c r="F255" s="6">
        <v>1000</v>
      </c>
      <c r="G255" s="6" t="s">
        <v>26</v>
      </c>
      <c r="H255" s="6"/>
      <c r="I255" s="6"/>
      <c r="J255" s="6"/>
      <c r="K255" s="7">
        <v>41057</v>
      </c>
      <c r="L255" s="30">
        <v>2550000</v>
      </c>
      <c r="M255" s="30">
        <v>2431938</v>
      </c>
      <c r="N255" s="6" t="s">
        <v>30</v>
      </c>
      <c r="O255" s="31">
        <v>43103</v>
      </c>
      <c r="P255" s="32" t="e">
        <f>VLOOKUP(Table311[[#This Row],[UNIT NO.]],[1]!Table35711[[#Headers],[#Data],[Unit '#]:[Application/Sold/ Unsold]],7,0)</f>
        <v>#REF!</v>
      </c>
      <c r="S255" s="64"/>
    </row>
    <row r="256" spans="2:19" x14ac:dyDescent="0.25">
      <c r="B256" s="5">
        <f t="shared" si="3"/>
        <v>253</v>
      </c>
      <c r="C256" s="29" t="s">
        <v>1398</v>
      </c>
      <c r="D256" s="6" t="s">
        <v>902</v>
      </c>
      <c r="E256" s="29" t="s">
        <v>1399</v>
      </c>
      <c r="F256" s="6">
        <v>1000</v>
      </c>
      <c r="G256" s="6" t="s">
        <v>26</v>
      </c>
      <c r="H256" s="6"/>
      <c r="I256" s="6"/>
      <c r="J256" s="6"/>
      <c r="K256" s="7">
        <v>41046</v>
      </c>
      <c r="L256" s="30">
        <v>2441625</v>
      </c>
      <c r="M256" s="30">
        <v>2318890</v>
      </c>
      <c r="N256" s="6" t="s">
        <v>1400</v>
      </c>
      <c r="O256" s="31">
        <v>43103</v>
      </c>
      <c r="P256" s="32" t="e">
        <f>VLOOKUP(Table311[[#This Row],[UNIT NO.]],[1]!Table35711[[#Headers],[#Data],[Unit '#]:[Application/Sold/ Unsold]],7,0)</f>
        <v>#REF!</v>
      </c>
      <c r="S256" s="64"/>
    </row>
    <row r="257" spans="2:19" ht="51.75" x14ac:dyDescent="0.25">
      <c r="B257" s="5">
        <f t="shared" si="3"/>
        <v>254</v>
      </c>
      <c r="C257" s="29" t="s">
        <v>1401</v>
      </c>
      <c r="D257" s="6" t="s">
        <v>902</v>
      </c>
      <c r="E257" s="29" t="s">
        <v>1402</v>
      </c>
      <c r="F257" s="6">
        <v>1000</v>
      </c>
      <c r="G257" s="6" t="s">
        <v>26</v>
      </c>
      <c r="H257" s="6"/>
      <c r="I257" s="6"/>
      <c r="J257" s="6"/>
      <c r="K257" s="7">
        <v>40999</v>
      </c>
      <c r="L257" s="30">
        <v>2353750</v>
      </c>
      <c r="M257" s="30">
        <v>2097096</v>
      </c>
      <c r="N257" s="6" t="s">
        <v>30</v>
      </c>
      <c r="O257" s="31">
        <v>43103</v>
      </c>
      <c r="P257" s="32" t="e">
        <f>VLOOKUP(Table311[[#This Row],[UNIT NO.]],[1]!Table35711[[#Headers],[#Data],[Unit '#]:[Application/Sold/ Unsold]],7,0)</f>
        <v>#REF!</v>
      </c>
      <c r="S257" s="64"/>
    </row>
    <row r="258" spans="2:19" ht="26.25" x14ac:dyDescent="0.25">
      <c r="B258" s="5">
        <f t="shared" si="3"/>
        <v>255</v>
      </c>
      <c r="C258" s="29" t="s">
        <v>78</v>
      </c>
      <c r="D258" s="6" t="s">
        <v>902</v>
      </c>
      <c r="E258" s="29" t="s">
        <v>1403</v>
      </c>
      <c r="F258" s="6">
        <v>1000</v>
      </c>
      <c r="G258" s="6" t="s">
        <v>26</v>
      </c>
      <c r="H258" s="6"/>
      <c r="I258" s="6"/>
      <c r="J258" s="6"/>
      <c r="K258" s="7">
        <v>41046</v>
      </c>
      <c r="L258" s="30">
        <v>2400000</v>
      </c>
      <c r="M258" s="30">
        <v>2279349</v>
      </c>
      <c r="N258" s="6" t="s">
        <v>30</v>
      </c>
      <c r="O258" s="31">
        <v>43103</v>
      </c>
      <c r="P258" s="32" t="e">
        <f>VLOOKUP(Table311[[#This Row],[UNIT NO.]],[1]!Table35711[[#Headers],[#Data],[Unit '#]:[Application/Sold/ Unsold]],7,0)</f>
        <v>#REF!</v>
      </c>
      <c r="S258" s="64"/>
    </row>
    <row r="259" spans="2:19" ht="26.25" x14ac:dyDescent="0.25">
      <c r="B259" s="5">
        <f t="shared" si="3"/>
        <v>256</v>
      </c>
      <c r="C259" s="29" t="s">
        <v>1404</v>
      </c>
      <c r="D259" s="6" t="s">
        <v>902</v>
      </c>
      <c r="E259" s="29" t="s">
        <v>1405</v>
      </c>
      <c r="F259" s="6">
        <v>1000</v>
      </c>
      <c r="G259" s="6" t="s">
        <v>26</v>
      </c>
      <c r="H259" s="6"/>
      <c r="I259" s="6"/>
      <c r="J259" s="6"/>
      <c r="K259" s="7">
        <v>41028</v>
      </c>
      <c r="L259" s="30">
        <v>2440000</v>
      </c>
      <c r="M259" s="30">
        <v>2317766</v>
      </c>
      <c r="N259" s="6" t="s">
        <v>46</v>
      </c>
      <c r="O259" s="31">
        <v>43103</v>
      </c>
      <c r="P259" s="32" t="e">
        <f>VLOOKUP(Table311[[#This Row],[UNIT NO.]],[1]!Table35711[[#Headers],[#Data],[Unit '#]:[Application/Sold/ Unsold]],7,0)</f>
        <v>#REF!</v>
      </c>
      <c r="S259" s="64"/>
    </row>
    <row r="260" spans="2:19" ht="39" x14ac:dyDescent="0.25">
      <c r="B260" s="5">
        <f t="shared" si="3"/>
        <v>257</v>
      </c>
      <c r="C260" s="29" t="s">
        <v>1406</v>
      </c>
      <c r="D260" s="6" t="s">
        <v>902</v>
      </c>
      <c r="E260" s="29" t="s">
        <v>1407</v>
      </c>
      <c r="F260" s="6">
        <v>1000</v>
      </c>
      <c r="G260" s="6" t="s">
        <v>26</v>
      </c>
      <c r="H260" s="6"/>
      <c r="I260" s="6"/>
      <c r="J260" s="6"/>
      <c r="K260" s="7">
        <v>40984</v>
      </c>
      <c r="L260" s="30">
        <v>2375000</v>
      </c>
      <c r="M260" s="30">
        <v>2255917</v>
      </c>
      <c r="N260" s="6" t="s">
        <v>30</v>
      </c>
      <c r="O260" s="31">
        <v>43103</v>
      </c>
      <c r="P260" s="32" t="e">
        <f>VLOOKUP(Table311[[#This Row],[UNIT NO.]],[1]!Table35711[[#Headers],[#Data],[Unit '#]:[Application/Sold/ Unsold]],7,0)</f>
        <v>#REF!</v>
      </c>
      <c r="S260" s="64"/>
    </row>
    <row r="261" spans="2:19" ht="39" x14ac:dyDescent="0.25">
      <c r="B261" s="5">
        <f t="shared" si="3"/>
        <v>258</v>
      </c>
      <c r="C261" s="29" t="s">
        <v>1408</v>
      </c>
      <c r="D261" s="6" t="s">
        <v>902</v>
      </c>
      <c r="E261" s="29" t="s">
        <v>1409</v>
      </c>
      <c r="F261" s="6">
        <v>1000</v>
      </c>
      <c r="G261" s="6" t="s">
        <v>26</v>
      </c>
      <c r="H261" s="6"/>
      <c r="I261" s="6"/>
      <c r="J261" s="6"/>
      <c r="K261" s="7">
        <v>41045</v>
      </c>
      <c r="L261" s="30">
        <v>2341625</v>
      </c>
      <c r="M261" s="30">
        <v>2084314</v>
      </c>
      <c r="N261" s="6" t="s">
        <v>27</v>
      </c>
      <c r="O261" s="31">
        <v>43103</v>
      </c>
      <c r="P261" s="32" t="e">
        <f>VLOOKUP(Table311[[#This Row],[UNIT NO.]],[1]!Table35711[[#Headers],[#Data],[Unit '#]:[Application/Sold/ Unsold]],7,0)</f>
        <v>#REF!</v>
      </c>
      <c r="S261" s="64"/>
    </row>
    <row r="262" spans="2:19" ht="39" x14ac:dyDescent="0.25">
      <c r="B262" s="5">
        <f t="shared" ref="B262:B325" si="4">B261+1</f>
        <v>259</v>
      </c>
      <c r="C262" s="29" t="s">
        <v>1410</v>
      </c>
      <c r="D262" s="6" t="s">
        <v>902</v>
      </c>
      <c r="E262" s="29" t="s">
        <v>1411</v>
      </c>
      <c r="F262" s="6">
        <v>1000</v>
      </c>
      <c r="G262" s="6" t="s">
        <v>26</v>
      </c>
      <c r="H262" s="6"/>
      <c r="I262" s="6"/>
      <c r="J262" s="6"/>
      <c r="K262" s="7">
        <v>41063</v>
      </c>
      <c r="L262" s="30">
        <v>2400000</v>
      </c>
      <c r="M262" s="30">
        <v>2279349</v>
      </c>
      <c r="N262" s="6" t="s">
        <v>30</v>
      </c>
      <c r="O262" s="31">
        <v>43103</v>
      </c>
      <c r="P262" s="32" t="e">
        <f>VLOOKUP(Table311[[#This Row],[UNIT NO.]],[1]!Table35711[[#Headers],[#Data],[Unit '#]:[Application/Sold/ Unsold]],7,0)</f>
        <v>#REF!</v>
      </c>
      <c r="S262" s="64"/>
    </row>
    <row r="263" spans="2:19" ht="26.25" x14ac:dyDescent="0.25">
      <c r="B263" s="5">
        <f t="shared" si="4"/>
        <v>260</v>
      </c>
      <c r="C263" s="29" t="s">
        <v>1412</v>
      </c>
      <c r="D263" s="6" t="s">
        <v>902</v>
      </c>
      <c r="E263" s="29" t="s">
        <v>1413</v>
      </c>
      <c r="F263" s="6">
        <v>1000</v>
      </c>
      <c r="G263" s="6" t="s">
        <v>26</v>
      </c>
      <c r="H263" s="6"/>
      <c r="I263" s="6"/>
      <c r="J263" s="6"/>
      <c r="K263" s="7">
        <v>41046</v>
      </c>
      <c r="L263" s="30">
        <v>2416625</v>
      </c>
      <c r="M263" s="30">
        <v>2294973</v>
      </c>
      <c r="N263" s="6" t="s">
        <v>30</v>
      </c>
      <c r="O263" s="31">
        <v>43103</v>
      </c>
      <c r="P263" s="32" t="e">
        <f>VLOOKUP(Table311[[#This Row],[UNIT NO.]],[1]!Table35711[[#Headers],[#Data],[Unit '#]:[Application/Sold/ Unsold]],7,0)</f>
        <v>#REF!</v>
      </c>
      <c r="S263" s="64"/>
    </row>
    <row r="264" spans="2:19" ht="26.25" x14ac:dyDescent="0.25">
      <c r="B264" s="5">
        <f t="shared" si="4"/>
        <v>261</v>
      </c>
      <c r="C264" s="29" t="s">
        <v>1414</v>
      </c>
      <c r="D264" s="6" t="s">
        <v>902</v>
      </c>
      <c r="E264" s="29" t="s">
        <v>1415</v>
      </c>
      <c r="F264" s="6">
        <v>1000</v>
      </c>
      <c r="G264" s="6" t="s">
        <v>26</v>
      </c>
      <c r="H264" s="6"/>
      <c r="I264" s="6"/>
      <c r="J264" s="6"/>
      <c r="K264" s="7">
        <v>40984</v>
      </c>
      <c r="L264" s="30">
        <v>2199875</v>
      </c>
      <c r="M264" s="30">
        <v>2088839</v>
      </c>
      <c r="N264" s="6" t="s">
        <v>30</v>
      </c>
      <c r="O264" s="31">
        <v>43103</v>
      </c>
      <c r="P264" s="32" t="e">
        <f>VLOOKUP(Table311[[#This Row],[UNIT NO.]],[1]!Table35711[[#Headers],[#Data],[Unit '#]:[Application/Sold/ Unsold]],7,0)</f>
        <v>#REF!</v>
      </c>
      <c r="S264" s="64"/>
    </row>
    <row r="265" spans="2:19" ht="26.25" x14ac:dyDescent="0.25">
      <c r="B265" s="5">
        <f t="shared" si="4"/>
        <v>262</v>
      </c>
      <c r="C265" s="29" t="s">
        <v>1416</v>
      </c>
      <c r="D265" s="6" t="s">
        <v>902</v>
      </c>
      <c r="E265" s="29" t="s">
        <v>1417</v>
      </c>
      <c r="F265" s="6">
        <v>1000</v>
      </c>
      <c r="G265" s="6" t="s">
        <v>26</v>
      </c>
      <c r="H265" s="6"/>
      <c r="I265" s="6"/>
      <c r="J265" s="6"/>
      <c r="K265" s="7">
        <v>40992</v>
      </c>
      <c r="L265" s="30">
        <v>2189000</v>
      </c>
      <c r="M265" s="30">
        <v>1884000</v>
      </c>
      <c r="N265" s="6" t="s">
        <v>30</v>
      </c>
      <c r="O265" s="31">
        <v>43103</v>
      </c>
      <c r="P265" s="32" t="e">
        <f>VLOOKUP(Table311[[#This Row],[UNIT NO.]],[1]!Table35711[[#Headers],[#Data],[Unit '#]:[Application/Sold/ Unsold]],7,0)</f>
        <v>#REF!</v>
      </c>
      <c r="S265" s="64"/>
    </row>
    <row r="266" spans="2:19" ht="26.25" x14ac:dyDescent="0.25">
      <c r="B266" s="5">
        <f t="shared" si="4"/>
        <v>263</v>
      </c>
      <c r="C266" s="29" t="s">
        <v>1418</v>
      </c>
      <c r="D266" s="6" t="s">
        <v>902</v>
      </c>
      <c r="E266" s="29" t="s">
        <v>1419</v>
      </c>
      <c r="F266" s="6">
        <v>1000</v>
      </c>
      <c r="G266" s="6" t="s">
        <v>26</v>
      </c>
      <c r="H266" s="6"/>
      <c r="I266" s="6"/>
      <c r="J266" s="6"/>
      <c r="K266" s="7">
        <v>40985</v>
      </c>
      <c r="L266" s="30">
        <v>2334000</v>
      </c>
      <c r="M266" s="30">
        <v>2217409</v>
      </c>
      <c r="N266" s="6" t="s">
        <v>27</v>
      </c>
      <c r="O266" s="31">
        <v>43103</v>
      </c>
      <c r="P266" s="32" t="e">
        <f>VLOOKUP(Table311[[#This Row],[UNIT NO.]],[1]!Table35711[[#Headers],[#Data],[Unit '#]:[Application/Sold/ Unsold]],7,0)</f>
        <v>#REF!</v>
      </c>
      <c r="S266" s="64"/>
    </row>
    <row r="267" spans="2:19" ht="26.25" x14ac:dyDescent="0.25">
      <c r="B267" s="5">
        <f t="shared" si="4"/>
        <v>264</v>
      </c>
      <c r="C267" s="29" t="s">
        <v>1420</v>
      </c>
      <c r="D267" s="6" t="s">
        <v>902</v>
      </c>
      <c r="E267" s="29" t="s">
        <v>1421</v>
      </c>
      <c r="F267" s="6">
        <v>1000</v>
      </c>
      <c r="G267" s="6" t="s">
        <v>26</v>
      </c>
      <c r="H267" s="6"/>
      <c r="I267" s="6"/>
      <c r="J267" s="6"/>
      <c r="K267" s="7">
        <v>41008</v>
      </c>
      <c r="L267" s="30">
        <v>2384375</v>
      </c>
      <c r="M267" s="30">
        <v>2263976</v>
      </c>
      <c r="N267" s="6" t="s">
        <v>27</v>
      </c>
      <c r="O267" s="31">
        <v>43103</v>
      </c>
      <c r="P267" s="32" t="e">
        <f>VLOOKUP(Table311[[#This Row],[UNIT NO.]],[1]!Table35711[[#Headers],[#Data],[Unit '#]:[Application/Sold/ Unsold]],7,0)</f>
        <v>#REF!</v>
      </c>
      <c r="S267" s="64"/>
    </row>
    <row r="268" spans="2:19" ht="26.25" x14ac:dyDescent="0.25">
      <c r="B268" s="5">
        <f t="shared" si="4"/>
        <v>265</v>
      </c>
      <c r="C268" s="29" t="s">
        <v>1422</v>
      </c>
      <c r="D268" s="6" t="s">
        <v>902</v>
      </c>
      <c r="E268" s="29" t="s">
        <v>1423</v>
      </c>
      <c r="F268" s="6">
        <v>1000</v>
      </c>
      <c r="G268" s="6" t="s">
        <v>26</v>
      </c>
      <c r="H268" s="6"/>
      <c r="I268" s="6"/>
      <c r="J268" s="6"/>
      <c r="K268" s="7">
        <v>41046</v>
      </c>
      <c r="L268" s="30">
        <v>2394375</v>
      </c>
      <c r="M268" s="30">
        <v>2394375</v>
      </c>
      <c r="N268" s="6" t="s">
        <v>30</v>
      </c>
      <c r="O268" s="31">
        <v>43103</v>
      </c>
      <c r="P268" s="32" t="e">
        <f>VLOOKUP(Table311[[#This Row],[UNIT NO.]],[1]!Table35711[[#Headers],[#Data],[Unit '#]:[Application/Sold/ Unsold]],7,0)</f>
        <v>#REF!</v>
      </c>
      <c r="S268" s="64"/>
    </row>
    <row r="269" spans="2:19" ht="26.25" x14ac:dyDescent="0.25">
      <c r="B269" s="5">
        <f t="shared" si="4"/>
        <v>266</v>
      </c>
      <c r="C269" s="29" t="s">
        <v>1424</v>
      </c>
      <c r="D269" s="6" t="s">
        <v>902</v>
      </c>
      <c r="E269" s="29" t="s">
        <v>1425</v>
      </c>
      <c r="F269" s="6">
        <v>1000</v>
      </c>
      <c r="G269" s="6" t="s">
        <v>26</v>
      </c>
      <c r="H269" s="6"/>
      <c r="I269" s="6"/>
      <c r="J269" s="6"/>
      <c r="K269" s="7">
        <v>41046</v>
      </c>
      <c r="L269" s="30">
        <v>2384375</v>
      </c>
      <c r="M269" s="30">
        <v>2264472</v>
      </c>
      <c r="N269" s="6" t="s">
        <v>27</v>
      </c>
      <c r="O269" s="31">
        <v>43103</v>
      </c>
      <c r="P269" s="32" t="e">
        <f>VLOOKUP(Table311[[#This Row],[UNIT NO.]],[1]!Table35711[[#Headers],[#Data],[Unit '#]:[Application/Sold/ Unsold]],7,0)</f>
        <v>#REF!</v>
      </c>
      <c r="S269" s="64"/>
    </row>
    <row r="270" spans="2:19" ht="26.25" x14ac:dyDescent="0.25">
      <c r="B270" s="5">
        <f t="shared" si="4"/>
        <v>267</v>
      </c>
      <c r="C270" s="29" t="s">
        <v>1426</v>
      </c>
      <c r="D270" s="6" t="s">
        <v>902</v>
      </c>
      <c r="E270" s="29" t="s">
        <v>1427</v>
      </c>
      <c r="F270" s="6">
        <v>1000</v>
      </c>
      <c r="G270" s="6" t="s">
        <v>26</v>
      </c>
      <c r="H270" s="6"/>
      <c r="I270" s="6"/>
      <c r="J270" s="6"/>
      <c r="K270" s="7">
        <v>41046</v>
      </c>
      <c r="L270" s="30">
        <v>2394375</v>
      </c>
      <c r="M270" s="30">
        <v>2394375</v>
      </c>
      <c r="N270" s="6" t="s">
        <v>30</v>
      </c>
      <c r="O270" s="31">
        <v>43103</v>
      </c>
      <c r="P270" s="32" t="e">
        <f>VLOOKUP(Table311[[#This Row],[UNIT NO.]],[1]!Table35711[[#Headers],[#Data],[Unit '#]:[Application/Sold/ Unsold]],7,0)</f>
        <v>#REF!</v>
      </c>
      <c r="S270" s="64"/>
    </row>
    <row r="271" spans="2:19" ht="26.25" x14ac:dyDescent="0.25">
      <c r="B271" s="5">
        <f t="shared" si="4"/>
        <v>268</v>
      </c>
      <c r="C271" s="29" t="s">
        <v>1428</v>
      </c>
      <c r="D271" s="6" t="s">
        <v>902</v>
      </c>
      <c r="E271" s="29" t="s">
        <v>1429</v>
      </c>
      <c r="F271" s="6">
        <v>1000</v>
      </c>
      <c r="G271" s="6" t="s">
        <v>26</v>
      </c>
      <c r="H271" s="6"/>
      <c r="I271" s="6"/>
      <c r="J271" s="6"/>
      <c r="K271" s="7">
        <v>41089</v>
      </c>
      <c r="L271" s="30">
        <v>2575000</v>
      </c>
      <c r="M271" s="30">
        <v>2157911.5</v>
      </c>
      <c r="N271" s="6" t="s">
        <v>1085</v>
      </c>
      <c r="O271" s="31">
        <v>43103</v>
      </c>
      <c r="P271" s="32" t="e">
        <f>VLOOKUP(Table311[[#This Row],[UNIT NO.]],[1]!Table35711[[#Headers],[#Data],[Unit '#]:[Application/Sold/ Unsold]],7,0)</f>
        <v>#REF!</v>
      </c>
      <c r="S271" s="64"/>
    </row>
    <row r="272" spans="2:19" ht="26.25" x14ac:dyDescent="0.25">
      <c r="B272" s="5">
        <f t="shared" si="4"/>
        <v>269</v>
      </c>
      <c r="C272" s="29" t="s">
        <v>1430</v>
      </c>
      <c r="D272" s="6" t="s">
        <v>902</v>
      </c>
      <c r="E272" s="29" t="s">
        <v>1431</v>
      </c>
      <c r="F272" s="6">
        <v>1000</v>
      </c>
      <c r="G272" s="6" t="s">
        <v>26</v>
      </c>
      <c r="H272" s="6"/>
      <c r="I272" s="6"/>
      <c r="J272" s="6"/>
      <c r="K272" s="7">
        <v>40984</v>
      </c>
      <c r="L272" s="30">
        <v>2152625</v>
      </c>
      <c r="M272" s="30">
        <v>2044796</v>
      </c>
      <c r="N272" s="6" t="s">
        <v>39</v>
      </c>
      <c r="O272" s="31">
        <v>43103</v>
      </c>
      <c r="P272" s="32" t="e">
        <f>VLOOKUP(Table311[[#This Row],[UNIT NO.]],[1]!Table35711[[#Headers],[#Data],[Unit '#]:[Application/Sold/ Unsold]],7,0)</f>
        <v>#REF!</v>
      </c>
      <c r="S272" s="64"/>
    </row>
    <row r="273" spans="2:19" ht="26.25" x14ac:dyDescent="0.25">
      <c r="B273" s="5">
        <f t="shared" si="4"/>
        <v>270</v>
      </c>
      <c r="C273" s="29" t="s">
        <v>1432</v>
      </c>
      <c r="D273" s="6" t="s">
        <v>902</v>
      </c>
      <c r="E273" s="29" t="s">
        <v>1433</v>
      </c>
      <c r="F273" s="6">
        <v>1000</v>
      </c>
      <c r="G273" s="6" t="s">
        <v>26</v>
      </c>
      <c r="H273" s="6"/>
      <c r="I273" s="6"/>
      <c r="J273" s="6"/>
      <c r="K273" s="7">
        <v>41008</v>
      </c>
      <c r="L273" s="30">
        <v>2337125</v>
      </c>
      <c r="M273" s="30">
        <v>2213515</v>
      </c>
      <c r="N273" s="6" t="s">
        <v>27</v>
      </c>
      <c r="O273" s="31">
        <v>43103</v>
      </c>
      <c r="P273" s="32" t="e">
        <f>VLOOKUP(Table311[[#This Row],[UNIT NO.]],[1]!Table35711[[#Headers],[#Data],[Unit '#]:[Application/Sold/ Unsold]],7,0)</f>
        <v>#REF!</v>
      </c>
      <c r="S273" s="64"/>
    </row>
    <row r="274" spans="2:19" ht="26.25" x14ac:dyDescent="0.25">
      <c r="B274" s="5">
        <f t="shared" si="4"/>
        <v>271</v>
      </c>
      <c r="C274" s="29" t="s">
        <v>1434</v>
      </c>
      <c r="D274" s="6" t="s">
        <v>902</v>
      </c>
      <c r="E274" s="29" t="s">
        <v>1435</v>
      </c>
      <c r="F274" s="6">
        <v>1000</v>
      </c>
      <c r="G274" s="6" t="s">
        <v>26</v>
      </c>
      <c r="H274" s="6"/>
      <c r="I274" s="6"/>
      <c r="J274" s="6"/>
      <c r="K274" s="7">
        <v>41007</v>
      </c>
      <c r="L274" s="30">
        <v>2266313</v>
      </c>
      <c r="M274" s="30">
        <v>1891095</v>
      </c>
      <c r="N274" s="6" t="s">
        <v>27</v>
      </c>
      <c r="O274" s="31">
        <v>43103</v>
      </c>
      <c r="P274" s="32" t="e">
        <f>VLOOKUP(Table311[[#This Row],[UNIT NO.]],[1]!Table35711[[#Headers],[#Data],[Unit '#]:[Application/Sold/ Unsold]],7,0)</f>
        <v>#REF!</v>
      </c>
      <c r="S274" s="64"/>
    </row>
    <row r="275" spans="2:19" ht="26.25" x14ac:dyDescent="0.25">
      <c r="B275" s="5">
        <f t="shared" si="4"/>
        <v>272</v>
      </c>
      <c r="C275" s="29" t="s">
        <v>1432</v>
      </c>
      <c r="D275" s="6" t="s">
        <v>902</v>
      </c>
      <c r="E275" s="29" t="s">
        <v>1436</v>
      </c>
      <c r="F275" s="6">
        <v>1000</v>
      </c>
      <c r="G275" s="6" t="s">
        <v>26</v>
      </c>
      <c r="H275" s="6"/>
      <c r="I275" s="6"/>
      <c r="J275" s="6"/>
      <c r="K275" s="7">
        <v>41007</v>
      </c>
      <c r="L275" s="30">
        <v>2337125</v>
      </c>
      <c r="M275" s="30">
        <v>2217126</v>
      </c>
      <c r="N275" s="6" t="s">
        <v>27</v>
      </c>
      <c r="O275" s="31">
        <v>43103</v>
      </c>
      <c r="P275" s="32" t="e">
        <f>VLOOKUP(Table311[[#This Row],[UNIT NO.]],[1]!Table35711[[#Headers],[#Data],[Unit '#]:[Application/Sold/ Unsold]],7,0)</f>
        <v>#REF!</v>
      </c>
      <c r="S275" s="64"/>
    </row>
    <row r="276" spans="2:19" ht="39" x14ac:dyDescent="0.25">
      <c r="B276" s="5">
        <f t="shared" si="4"/>
        <v>273</v>
      </c>
      <c r="C276" s="29" t="s">
        <v>1437</v>
      </c>
      <c r="D276" s="6" t="s">
        <v>902</v>
      </c>
      <c r="E276" s="29" t="s">
        <v>1438</v>
      </c>
      <c r="F276" s="6">
        <v>1000</v>
      </c>
      <c r="G276" s="6" t="s">
        <v>26</v>
      </c>
      <c r="H276" s="6"/>
      <c r="I276" s="6"/>
      <c r="J276" s="6"/>
      <c r="K276" s="7">
        <v>41080</v>
      </c>
      <c r="L276" s="30">
        <v>2395000</v>
      </c>
      <c r="M276" s="30">
        <v>2324598.9300000002</v>
      </c>
      <c r="N276" s="6" t="s">
        <v>165</v>
      </c>
      <c r="O276" s="31">
        <v>43103</v>
      </c>
      <c r="P276" s="32" t="e">
        <f>VLOOKUP(Table311[[#This Row],[UNIT NO.]],[1]!Table35711[[#Headers],[#Data],[Unit '#]:[Application/Sold/ Unsold]],7,0)</f>
        <v>#REF!</v>
      </c>
      <c r="S276" s="64"/>
    </row>
    <row r="277" spans="2:19" ht="39" x14ac:dyDescent="0.25">
      <c r="B277" s="5">
        <f t="shared" si="4"/>
        <v>274</v>
      </c>
      <c r="C277" s="29" t="s">
        <v>1439</v>
      </c>
      <c r="D277" s="6" t="s">
        <v>902</v>
      </c>
      <c r="E277" s="29" t="s">
        <v>1440</v>
      </c>
      <c r="F277" s="6">
        <v>1000</v>
      </c>
      <c r="G277" s="6" t="s">
        <v>26</v>
      </c>
      <c r="H277" s="6"/>
      <c r="I277" s="6"/>
      <c r="J277" s="6"/>
      <c r="K277" s="7">
        <v>41022</v>
      </c>
      <c r="L277" s="30">
        <v>2255000</v>
      </c>
      <c r="M277" s="30">
        <v>2007127</v>
      </c>
      <c r="N277" s="6" t="s">
        <v>27</v>
      </c>
      <c r="O277" s="31">
        <v>43103</v>
      </c>
      <c r="P277" s="32" t="e">
        <f>VLOOKUP(Table311[[#This Row],[UNIT NO.]],[1]!Table35711[[#Headers],[#Data],[Unit '#]:[Application/Sold/ Unsold]],7,0)</f>
        <v>#REF!</v>
      </c>
      <c r="S277" s="64"/>
    </row>
    <row r="278" spans="2:19" ht="26.25" x14ac:dyDescent="0.25">
      <c r="B278" s="5">
        <f t="shared" si="4"/>
        <v>275</v>
      </c>
      <c r="C278" s="29" t="s">
        <v>1441</v>
      </c>
      <c r="D278" s="6" t="s">
        <v>902</v>
      </c>
      <c r="E278" s="29" t="s">
        <v>1442</v>
      </c>
      <c r="F278" s="6">
        <v>1000</v>
      </c>
      <c r="G278" s="6" t="s">
        <v>26</v>
      </c>
      <c r="H278" s="6"/>
      <c r="I278" s="6"/>
      <c r="J278" s="6"/>
      <c r="K278" s="7">
        <v>41141</v>
      </c>
      <c r="L278" s="30">
        <v>2720000</v>
      </c>
      <c r="M278" s="30">
        <v>2720000</v>
      </c>
      <c r="N278" s="6" t="s">
        <v>46</v>
      </c>
      <c r="O278" s="31">
        <v>43103</v>
      </c>
      <c r="P278" s="32" t="e">
        <f>VLOOKUP(Table311[[#This Row],[UNIT NO.]],[1]!Table35711[[#Headers],[#Data],[Unit '#]:[Application/Sold/ Unsold]],7,0)</f>
        <v>#REF!</v>
      </c>
      <c r="S278" s="64"/>
    </row>
    <row r="279" spans="2:19" ht="26.25" x14ac:dyDescent="0.25">
      <c r="B279" s="5">
        <f t="shared" si="4"/>
        <v>276</v>
      </c>
      <c r="C279" s="29" t="s">
        <v>1443</v>
      </c>
      <c r="D279" s="6" t="s">
        <v>902</v>
      </c>
      <c r="E279" s="29" t="s">
        <v>1444</v>
      </c>
      <c r="F279" s="6">
        <v>1000</v>
      </c>
      <c r="G279" s="6" t="s">
        <v>26</v>
      </c>
      <c r="H279" s="6"/>
      <c r="I279" s="6"/>
      <c r="J279" s="6"/>
      <c r="K279" s="7">
        <v>41038</v>
      </c>
      <c r="L279" s="30">
        <v>2258750</v>
      </c>
      <c r="M279" s="30">
        <v>2258750</v>
      </c>
      <c r="N279" s="6" t="s">
        <v>27</v>
      </c>
      <c r="O279" s="31">
        <v>43103</v>
      </c>
      <c r="P279" s="32" t="e">
        <f>VLOOKUP(Table311[[#This Row],[UNIT NO.]],[1]!Table35711[[#Headers],[#Data],[Unit '#]:[Application/Sold/ Unsold]],7,0)</f>
        <v>#REF!</v>
      </c>
      <c r="S279" s="64"/>
    </row>
    <row r="280" spans="2:19" ht="39" x14ac:dyDescent="0.25">
      <c r="B280" s="5">
        <f t="shared" si="4"/>
        <v>277</v>
      </c>
      <c r="C280" s="29" t="s">
        <v>1445</v>
      </c>
      <c r="D280" s="6" t="s">
        <v>902</v>
      </c>
      <c r="E280" s="29" t="s">
        <v>1446</v>
      </c>
      <c r="F280" s="6">
        <v>1000</v>
      </c>
      <c r="G280" s="6" t="s">
        <v>26</v>
      </c>
      <c r="H280" s="6"/>
      <c r="I280" s="6"/>
      <c r="J280" s="6"/>
      <c r="K280" s="7">
        <v>40985</v>
      </c>
      <c r="L280" s="30">
        <v>2105375</v>
      </c>
      <c r="M280" s="30">
        <v>1999904.5</v>
      </c>
      <c r="N280" s="6" t="s">
        <v>30</v>
      </c>
      <c r="O280" s="31">
        <v>43103</v>
      </c>
      <c r="P280" s="32" t="e">
        <f>VLOOKUP(Table311[[#This Row],[UNIT NO.]],[1]!Table35711[[#Headers],[#Data],[Unit '#]:[Application/Sold/ Unsold]],7,0)</f>
        <v>#REF!</v>
      </c>
      <c r="S280" s="64"/>
    </row>
    <row r="281" spans="2:19" ht="26.25" x14ac:dyDescent="0.25">
      <c r="B281" s="5">
        <f t="shared" si="4"/>
        <v>278</v>
      </c>
      <c r="C281" s="29" t="s">
        <v>1447</v>
      </c>
      <c r="D281" s="6" t="s">
        <v>902</v>
      </c>
      <c r="E281" s="29" t="s">
        <v>1448</v>
      </c>
      <c r="F281" s="6">
        <v>1000</v>
      </c>
      <c r="G281" s="6" t="s">
        <v>26</v>
      </c>
      <c r="H281" s="6"/>
      <c r="I281" s="6"/>
      <c r="J281" s="6"/>
      <c r="K281" s="7">
        <v>41026</v>
      </c>
      <c r="L281" s="30">
        <v>2324000</v>
      </c>
      <c r="M281" s="30">
        <v>2206626</v>
      </c>
      <c r="N281" s="6" t="s">
        <v>39</v>
      </c>
      <c r="O281" s="31">
        <v>43103</v>
      </c>
      <c r="P281" s="32" t="e">
        <f>VLOOKUP(Table311[[#This Row],[UNIT NO.]],[1]!Table35711[[#Headers],[#Data],[Unit '#]:[Application/Sold/ Unsold]],7,0)</f>
        <v>#REF!</v>
      </c>
      <c r="S281" s="64"/>
    </row>
    <row r="282" spans="2:19" ht="26.25" x14ac:dyDescent="0.25">
      <c r="B282" s="5">
        <f t="shared" si="4"/>
        <v>279</v>
      </c>
      <c r="C282" s="29" t="s">
        <v>1449</v>
      </c>
      <c r="D282" s="6" t="s">
        <v>902</v>
      </c>
      <c r="E282" s="29" t="s">
        <v>1450</v>
      </c>
      <c r="F282" s="6">
        <v>1000</v>
      </c>
      <c r="G282" s="6" t="s">
        <v>26</v>
      </c>
      <c r="H282" s="6"/>
      <c r="I282" s="6"/>
      <c r="J282" s="6"/>
      <c r="K282" s="7">
        <v>40985</v>
      </c>
      <c r="L282" s="30">
        <v>2141250</v>
      </c>
      <c r="M282" s="30">
        <v>1993482</v>
      </c>
      <c r="N282" s="6" t="s">
        <v>39</v>
      </c>
      <c r="O282" s="31">
        <v>43103</v>
      </c>
      <c r="P282" s="32" t="e">
        <f>VLOOKUP(Table311[[#This Row],[UNIT NO.]],[1]!Table35711[[#Headers],[#Data],[Unit '#]:[Application/Sold/ Unsold]],7,0)</f>
        <v>#REF!</v>
      </c>
      <c r="S282" s="64"/>
    </row>
    <row r="283" spans="2:19" ht="26.25" x14ac:dyDescent="0.25">
      <c r="B283" s="5">
        <f t="shared" si="4"/>
        <v>280</v>
      </c>
      <c r="C283" s="29" t="s">
        <v>1451</v>
      </c>
      <c r="D283" s="6" t="s">
        <v>902</v>
      </c>
      <c r="E283" s="29" t="s">
        <v>1452</v>
      </c>
      <c r="F283" s="6">
        <v>1000</v>
      </c>
      <c r="G283" s="6" t="s">
        <v>26</v>
      </c>
      <c r="H283" s="6"/>
      <c r="I283" s="6"/>
      <c r="J283" s="6"/>
      <c r="K283" s="7">
        <v>40984</v>
      </c>
      <c r="L283" s="30">
        <v>2228000</v>
      </c>
      <c r="M283" s="30">
        <v>2116619</v>
      </c>
      <c r="N283" s="6" t="s">
        <v>27</v>
      </c>
      <c r="O283" s="31">
        <v>43103</v>
      </c>
      <c r="P283" s="32" t="e">
        <f>VLOOKUP(Table311[[#This Row],[UNIT NO.]],[1]!Table35711[[#Headers],[#Data],[Unit '#]:[Application/Sold/ Unsold]],7,0)</f>
        <v>#REF!</v>
      </c>
      <c r="S283" s="64"/>
    </row>
    <row r="284" spans="2:19" ht="39" x14ac:dyDescent="0.25">
      <c r="B284" s="5">
        <f t="shared" si="4"/>
        <v>281</v>
      </c>
      <c r="C284" s="29" t="s">
        <v>1453</v>
      </c>
      <c r="D284" s="6" t="s">
        <v>902</v>
      </c>
      <c r="E284" s="29" t="s">
        <v>1454</v>
      </c>
      <c r="F284" s="6">
        <v>1000</v>
      </c>
      <c r="G284" s="6" t="s">
        <v>26</v>
      </c>
      <c r="H284" s="6"/>
      <c r="I284" s="6"/>
      <c r="J284" s="6"/>
      <c r="K284" s="7">
        <v>41045</v>
      </c>
      <c r="L284" s="30">
        <v>2236250</v>
      </c>
      <c r="M284" s="30">
        <v>2123133</v>
      </c>
      <c r="N284" s="6" t="s">
        <v>27</v>
      </c>
      <c r="O284" s="31">
        <v>43103</v>
      </c>
      <c r="P284" s="32" t="e">
        <f>VLOOKUP(Table311[[#This Row],[UNIT NO.]],[1]!Table35711[[#Headers],[#Data],[Unit '#]:[Application/Sold/ Unsold]],7,0)</f>
        <v>#REF!</v>
      </c>
      <c r="S284" s="64"/>
    </row>
    <row r="285" spans="2:19" ht="26.25" x14ac:dyDescent="0.25">
      <c r="B285" s="5">
        <f t="shared" si="4"/>
        <v>282</v>
      </c>
      <c r="C285" s="29" t="s">
        <v>1455</v>
      </c>
      <c r="D285" s="6" t="s">
        <v>902</v>
      </c>
      <c r="E285" s="29" t="s">
        <v>1456</v>
      </c>
      <c r="F285" s="6">
        <v>1000</v>
      </c>
      <c r="G285" s="6" t="s">
        <v>26</v>
      </c>
      <c r="H285" s="6"/>
      <c r="I285" s="6"/>
      <c r="J285" s="6"/>
      <c r="K285" s="7">
        <v>41026</v>
      </c>
      <c r="L285" s="30">
        <v>2211250</v>
      </c>
      <c r="M285" s="30">
        <v>2037291</v>
      </c>
      <c r="N285" s="6" t="s">
        <v>30</v>
      </c>
      <c r="O285" s="31">
        <v>43103</v>
      </c>
      <c r="P285" s="32" t="e">
        <f>VLOOKUP(Table311[[#This Row],[UNIT NO.]],[1]!Table35711[[#Headers],[#Data],[Unit '#]:[Application/Sold/ Unsold]],7,0)</f>
        <v>#REF!</v>
      </c>
      <c r="S285" s="64"/>
    </row>
    <row r="286" spans="2:19" ht="26.25" x14ac:dyDescent="0.25">
      <c r="B286" s="5">
        <f t="shared" si="4"/>
        <v>283</v>
      </c>
      <c r="C286" s="29" t="s">
        <v>1457</v>
      </c>
      <c r="D286" s="6" t="s">
        <v>902</v>
      </c>
      <c r="E286" s="29" t="s">
        <v>1458</v>
      </c>
      <c r="F286" s="6">
        <v>1000</v>
      </c>
      <c r="G286" s="6" t="s">
        <v>26</v>
      </c>
      <c r="H286" s="6"/>
      <c r="I286" s="6"/>
      <c r="J286" s="6"/>
      <c r="K286" s="7">
        <v>41090</v>
      </c>
      <c r="L286" s="30">
        <v>2351000</v>
      </c>
      <c r="M286" s="30">
        <v>2233450</v>
      </c>
      <c r="N286" s="6" t="s">
        <v>30</v>
      </c>
      <c r="O286" s="31">
        <v>43103</v>
      </c>
      <c r="P286" s="32" t="e">
        <f>VLOOKUP(Table311[[#This Row],[UNIT NO.]],[1]!Table35711[[#Headers],[#Data],[Unit '#]:[Application/Sold/ Unsold]],7,0)</f>
        <v>#REF!</v>
      </c>
      <c r="S286" s="64"/>
    </row>
    <row r="287" spans="2:19" ht="26.25" x14ac:dyDescent="0.25">
      <c r="B287" s="5">
        <f t="shared" si="4"/>
        <v>284</v>
      </c>
      <c r="C287" s="29" t="s">
        <v>1459</v>
      </c>
      <c r="D287" s="6" t="s">
        <v>902</v>
      </c>
      <c r="E287" s="29" t="s">
        <v>1460</v>
      </c>
      <c r="F287" s="6">
        <v>1000</v>
      </c>
      <c r="G287" s="6" t="s">
        <v>26</v>
      </c>
      <c r="H287" s="6"/>
      <c r="I287" s="6"/>
      <c r="J287" s="6"/>
      <c r="K287" s="7">
        <v>41057</v>
      </c>
      <c r="L287" s="30">
        <v>2290000</v>
      </c>
      <c r="M287" s="30">
        <v>2174850</v>
      </c>
      <c r="N287" s="6" t="s">
        <v>30</v>
      </c>
      <c r="O287" s="31">
        <v>43103</v>
      </c>
      <c r="P287" s="32" t="e">
        <f>VLOOKUP(Table311[[#This Row],[UNIT NO.]],[1]!Table35711[[#Headers],[#Data],[Unit '#]:[Application/Sold/ Unsold]],7,0)</f>
        <v>#REF!</v>
      </c>
      <c r="S287" s="64"/>
    </row>
    <row r="288" spans="2:19" ht="39" x14ac:dyDescent="0.25">
      <c r="B288" s="5">
        <f t="shared" si="4"/>
        <v>285</v>
      </c>
      <c r="C288" s="29" t="s">
        <v>1461</v>
      </c>
      <c r="D288" s="6" t="s">
        <v>902</v>
      </c>
      <c r="E288" s="29" t="s">
        <v>1462</v>
      </c>
      <c r="F288" s="6">
        <v>1000</v>
      </c>
      <c r="G288" s="6" t="s">
        <v>26</v>
      </c>
      <c r="H288" s="6"/>
      <c r="I288" s="6"/>
      <c r="J288" s="6"/>
      <c r="K288" s="7">
        <v>41026</v>
      </c>
      <c r="L288" s="30">
        <v>2167625</v>
      </c>
      <c r="M288" s="30">
        <v>2058079</v>
      </c>
      <c r="N288" s="6" t="s">
        <v>46</v>
      </c>
      <c r="O288" s="31">
        <v>43103</v>
      </c>
      <c r="P288" s="32" t="e">
        <f>VLOOKUP(Table311[[#This Row],[UNIT NO.]],[1]!Table35711[[#Headers],[#Data],[Unit '#]:[Application/Sold/ Unsold]],7,0)</f>
        <v>#REF!</v>
      </c>
      <c r="S288" s="64"/>
    </row>
    <row r="289" spans="2:19" ht="26.25" x14ac:dyDescent="0.25">
      <c r="B289" s="5">
        <f t="shared" si="4"/>
        <v>286</v>
      </c>
      <c r="C289" s="29" t="s">
        <v>1463</v>
      </c>
      <c r="D289" s="6" t="s">
        <v>902</v>
      </c>
      <c r="E289" s="29" t="s">
        <v>1464</v>
      </c>
      <c r="F289" s="6">
        <v>1000</v>
      </c>
      <c r="G289" s="6" t="s">
        <v>26</v>
      </c>
      <c r="H289" s="6"/>
      <c r="I289" s="6"/>
      <c r="J289" s="6"/>
      <c r="K289" s="7">
        <v>41084</v>
      </c>
      <c r="L289" s="30">
        <v>2258750</v>
      </c>
      <c r="M289" s="30">
        <v>2245362</v>
      </c>
      <c r="N289" s="6" t="s">
        <v>30</v>
      </c>
      <c r="O289" s="31">
        <v>43103</v>
      </c>
      <c r="P289" s="32" t="e">
        <f>VLOOKUP(Table311[[#This Row],[UNIT NO.]],[1]!Table35711[[#Headers],[#Data],[Unit '#]:[Application/Sold/ Unsold]],7,0)</f>
        <v>#REF!</v>
      </c>
      <c r="S289" s="64"/>
    </row>
    <row r="290" spans="2:19" ht="26.25" x14ac:dyDescent="0.25">
      <c r="B290" s="5">
        <f t="shared" si="4"/>
        <v>287</v>
      </c>
      <c r="C290" s="29" t="s">
        <v>647</v>
      </c>
      <c r="D290" s="6" t="s">
        <v>902</v>
      </c>
      <c r="E290" s="29" t="s">
        <v>1465</v>
      </c>
      <c r="F290" s="6">
        <v>1000</v>
      </c>
      <c r="G290" s="6" t="s">
        <v>26</v>
      </c>
      <c r="H290" s="6"/>
      <c r="I290" s="6"/>
      <c r="J290" s="6"/>
      <c r="K290" s="7">
        <v>41040</v>
      </c>
      <c r="L290" s="30">
        <v>2188750</v>
      </c>
      <c r="M290" s="30">
        <v>2078324</v>
      </c>
      <c r="N290" s="6" t="s">
        <v>39</v>
      </c>
      <c r="O290" s="31">
        <v>43103</v>
      </c>
      <c r="P290" s="32" t="e">
        <f>VLOOKUP(Table311[[#This Row],[UNIT NO.]],[1]!Table35711[[#Headers],[#Data],[Unit '#]:[Application/Sold/ Unsold]],7,0)</f>
        <v>#REF!</v>
      </c>
      <c r="S290" s="64"/>
    </row>
    <row r="291" spans="2:19" x14ac:dyDescent="0.25">
      <c r="B291" s="5">
        <f t="shared" si="4"/>
        <v>288</v>
      </c>
      <c r="C291" s="29" t="s">
        <v>1466</v>
      </c>
      <c r="D291" s="6" t="s">
        <v>902</v>
      </c>
      <c r="E291" s="29" t="s">
        <v>1467</v>
      </c>
      <c r="F291" s="6">
        <v>1000</v>
      </c>
      <c r="G291" s="6" t="s">
        <v>26</v>
      </c>
      <c r="H291" s="6"/>
      <c r="I291" s="6"/>
      <c r="J291" s="6"/>
      <c r="K291" s="7">
        <v>41089</v>
      </c>
      <c r="L291" s="30">
        <v>2224875</v>
      </c>
      <c r="M291" s="30">
        <v>2112816</v>
      </c>
      <c r="N291" s="6" t="s">
        <v>165</v>
      </c>
      <c r="O291" s="31">
        <v>43103</v>
      </c>
      <c r="P291" s="32" t="e">
        <f>VLOOKUP(Table311[[#This Row],[UNIT NO.]],[1]!Table35711[[#Headers],[#Data],[Unit '#]:[Application/Sold/ Unsold]],7,0)</f>
        <v>#REF!</v>
      </c>
      <c r="S291" s="64"/>
    </row>
    <row r="292" spans="2:19" ht="26.25" x14ac:dyDescent="0.25">
      <c r="B292" s="5">
        <f t="shared" si="4"/>
        <v>289</v>
      </c>
      <c r="C292" s="29" t="s">
        <v>1468</v>
      </c>
      <c r="D292" s="6" t="s">
        <v>902</v>
      </c>
      <c r="E292" s="29" t="s">
        <v>1469</v>
      </c>
      <c r="F292" s="6">
        <v>1000</v>
      </c>
      <c r="G292" s="6" t="s">
        <v>26</v>
      </c>
      <c r="H292" s="6"/>
      <c r="I292" s="6"/>
      <c r="J292" s="6"/>
      <c r="K292" s="7">
        <v>41076</v>
      </c>
      <c r="L292" s="30">
        <v>2199875</v>
      </c>
      <c r="M292" s="30">
        <v>1813413</v>
      </c>
      <c r="N292" s="6" t="s">
        <v>27</v>
      </c>
      <c r="O292" s="31">
        <v>43103</v>
      </c>
      <c r="P292" s="32" t="e">
        <f>VLOOKUP(Table311[[#This Row],[UNIT NO.]],[1]!Table35711[[#Headers],[#Data],[Unit '#]:[Application/Sold/ Unsold]],7,0)</f>
        <v>#REF!</v>
      </c>
      <c r="S292" s="64"/>
    </row>
    <row r="293" spans="2:19" ht="26.25" x14ac:dyDescent="0.25">
      <c r="B293" s="5">
        <f t="shared" si="4"/>
        <v>290</v>
      </c>
      <c r="C293" s="29" t="s">
        <v>1470</v>
      </c>
      <c r="D293" s="6" t="s">
        <v>902</v>
      </c>
      <c r="E293" s="29" t="s">
        <v>1471</v>
      </c>
      <c r="F293" s="6">
        <v>1000</v>
      </c>
      <c r="G293" s="6" t="s">
        <v>26</v>
      </c>
      <c r="H293" s="6"/>
      <c r="I293" s="6"/>
      <c r="J293" s="6"/>
      <c r="K293" s="7">
        <v>41045</v>
      </c>
      <c r="L293" s="30">
        <v>2228000</v>
      </c>
      <c r="M293" s="30">
        <v>2115414</v>
      </c>
      <c r="N293" s="6" t="s">
        <v>30</v>
      </c>
      <c r="O293" s="31">
        <v>43103</v>
      </c>
      <c r="P293" s="32" t="e">
        <f>VLOOKUP(Table311[[#This Row],[UNIT NO.]],[1]!Table35711[[#Headers],[#Data],[Unit '#]:[Application/Sold/ Unsold]],7,0)</f>
        <v>#REF!</v>
      </c>
      <c r="S293" s="64"/>
    </row>
    <row r="294" spans="2:19" ht="26.25" x14ac:dyDescent="0.25">
      <c r="B294" s="5">
        <f t="shared" si="4"/>
        <v>291</v>
      </c>
      <c r="C294" s="29" t="s">
        <v>1472</v>
      </c>
      <c r="D294" s="6" t="s">
        <v>902</v>
      </c>
      <c r="E294" s="29" t="s">
        <v>1473</v>
      </c>
      <c r="F294" s="6">
        <v>1000</v>
      </c>
      <c r="G294" s="6" t="s">
        <v>26</v>
      </c>
      <c r="H294" s="6"/>
      <c r="I294" s="6"/>
      <c r="J294" s="6"/>
      <c r="K294" s="7">
        <v>41427</v>
      </c>
      <c r="L294" s="30">
        <v>2900000</v>
      </c>
      <c r="M294" s="30">
        <v>2900000</v>
      </c>
      <c r="N294" s="6" t="s">
        <v>46</v>
      </c>
      <c r="O294" s="31">
        <v>43103</v>
      </c>
      <c r="P294" s="32" t="e">
        <f>VLOOKUP(Table311[[#This Row],[UNIT NO.]],[1]!Table35711[[#Headers],[#Data],[Unit '#]:[Application/Sold/ Unsold]],7,0)</f>
        <v>#REF!</v>
      </c>
      <c r="S294" s="64"/>
    </row>
    <row r="295" spans="2:19" ht="51.75" x14ac:dyDescent="0.25">
      <c r="B295" s="5">
        <f t="shared" si="4"/>
        <v>292</v>
      </c>
      <c r="C295" s="29" t="s">
        <v>1474</v>
      </c>
      <c r="D295" s="6" t="s">
        <v>902</v>
      </c>
      <c r="E295" s="29" t="s">
        <v>1475</v>
      </c>
      <c r="F295" s="6">
        <v>1000</v>
      </c>
      <c r="G295" s="6" t="s">
        <v>26</v>
      </c>
      <c r="H295" s="6"/>
      <c r="I295" s="6"/>
      <c r="J295" s="6"/>
      <c r="K295" s="7">
        <v>41080</v>
      </c>
      <c r="L295" s="30">
        <v>2180000</v>
      </c>
      <c r="M295" s="30">
        <v>2064149</v>
      </c>
      <c r="N295" s="6" t="s">
        <v>30</v>
      </c>
      <c r="O295" s="31">
        <v>43103</v>
      </c>
      <c r="P295" s="32" t="e">
        <f>VLOOKUP(Table311[[#This Row],[UNIT NO.]],[1]!Table35711[[#Headers],[#Data],[Unit '#]:[Application/Sold/ Unsold]],7,0)</f>
        <v>#REF!</v>
      </c>
      <c r="S295" s="64"/>
    </row>
    <row r="296" spans="2:19" ht="26.25" x14ac:dyDescent="0.25">
      <c r="B296" s="5">
        <f t="shared" si="4"/>
        <v>293</v>
      </c>
      <c r="C296" s="29" t="s">
        <v>1476</v>
      </c>
      <c r="D296" s="6" t="s">
        <v>902</v>
      </c>
      <c r="E296" s="29" t="s">
        <v>1477</v>
      </c>
      <c r="F296" s="6">
        <v>1000</v>
      </c>
      <c r="G296" s="6" t="s">
        <v>26</v>
      </c>
      <c r="H296" s="6"/>
      <c r="I296" s="6"/>
      <c r="J296" s="6"/>
      <c r="K296" s="7">
        <v>41071</v>
      </c>
      <c r="L296" s="30">
        <v>2199875</v>
      </c>
      <c r="M296" s="30">
        <v>2089488</v>
      </c>
      <c r="N296" s="6" t="s">
        <v>144</v>
      </c>
      <c r="O296" s="31">
        <v>43103</v>
      </c>
      <c r="P296" s="32" t="e">
        <f>VLOOKUP(Table311[[#This Row],[UNIT NO.]],[1]!Table35711[[#Headers],[#Data],[Unit '#]:[Application/Sold/ Unsold]],7,0)</f>
        <v>#REF!</v>
      </c>
      <c r="S296" s="64"/>
    </row>
    <row r="297" spans="2:19" ht="26.25" x14ac:dyDescent="0.25">
      <c r="B297" s="5">
        <f t="shared" si="4"/>
        <v>294</v>
      </c>
      <c r="C297" s="29" t="s">
        <v>1478</v>
      </c>
      <c r="D297" s="6" t="s">
        <v>902</v>
      </c>
      <c r="E297" s="29" t="s">
        <v>1479</v>
      </c>
      <c r="F297" s="6">
        <v>1000</v>
      </c>
      <c r="G297" s="6" t="s">
        <v>26</v>
      </c>
      <c r="H297" s="6"/>
      <c r="I297" s="6"/>
      <c r="J297" s="6"/>
      <c r="K297" s="7">
        <v>41097</v>
      </c>
      <c r="L297" s="30">
        <v>2428500</v>
      </c>
      <c r="M297" s="30">
        <v>1877655.13</v>
      </c>
      <c r="N297" s="6" t="s">
        <v>39</v>
      </c>
      <c r="O297" s="31">
        <v>43103</v>
      </c>
      <c r="P297" s="32" t="e">
        <f>VLOOKUP(Table311[[#This Row],[UNIT NO.]],[1]!Table35711[[#Headers],[#Data],[Unit '#]:[Application/Sold/ Unsold]],7,0)</f>
        <v>#REF!</v>
      </c>
      <c r="S297" s="64"/>
    </row>
    <row r="298" spans="2:19" ht="26.25" x14ac:dyDescent="0.25">
      <c r="B298" s="5">
        <f t="shared" si="4"/>
        <v>295</v>
      </c>
      <c r="C298" s="29" t="s">
        <v>1480</v>
      </c>
      <c r="D298" s="6" t="s">
        <v>902</v>
      </c>
      <c r="E298" s="29" t="s">
        <v>1481</v>
      </c>
      <c r="F298" s="6">
        <v>1000</v>
      </c>
      <c r="G298" s="6" t="s">
        <v>26</v>
      </c>
      <c r="H298" s="6"/>
      <c r="I298" s="6"/>
      <c r="J298" s="6"/>
      <c r="K298" s="7">
        <v>41045</v>
      </c>
      <c r="L298" s="30">
        <v>2090000</v>
      </c>
      <c r="M298" s="30">
        <v>1985063</v>
      </c>
      <c r="N298" s="6" t="s">
        <v>30</v>
      </c>
      <c r="O298" s="31">
        <v>43103</v>
      </c>
      <c r="P298" s="32" t="e">
        <f>VLOOKUP(Table311[[#This Row],[UNIT NO.]],[1]!Table35711[[#Headers],[#Data],[Unit '#]:[Application/Sold/ Unsold]],7,0)</f>
        <v>#REF!</v>
      </c>
      <c r="S298" s="64"/>
    </row>
    <row r="299" spans="2:19" ht="26.25" x14ac:dyDescent="0.25">
      <c r="B299" s="5">
        <f t="shared" si="4"/>
        <v>296</v>
      </c>
      <c r="C299" s="29" t="s">
        <v>1482</v>
      </c>
      <c r="D299" s="6" t="s">
        <v>902</v>
      </c>
      <c r="E299" s="29" t="s">
        <v>1483</v>
      </c>
      <c r="F299" s="6">
        <v>1000</v>
      </c>
      <c r="G299" s="6" t="s">
        <v>26</v>
      </c>
      <c r="H299" s="6"/>
      <c r="I299" s="6"/>
      <c r="J299" s="6"/>
      <c r="K299" s="7">
        <v>41017</v>
      </c>
      <c r="L299" s="30">
        <v>2068750</v>
      </c>
      <c r="M299" s="30">
        <v>1964416</v>
      </c>
      <c r="N299" s="6" t="s">
        <v>39</v>
      </c>
      <c r="O299" s="31">
        <v>43103</v>
      </c>
      <c r="P299" s="32" t="e">
        <f>VLOOKUP(Table311[[#This Row],[UNIT NO.]],[1]!Table35711[[#Headers],[#Data],[Unit '#]:[Application/Sold/ Unsold]],7,0)</f>
        <v>#REF!</v>
      </c>
      <c r="S299" s="64"/>
    </row>
    <row r="300" spans="2:19" x14ac:dyDescent="0.25">
      <c r="B300" s="5">
        <f t="shared" si="4"/>
        <v>297</v>
      </c>
      <c r="C300" s="33" t="s">
        <v>1484</v>
      </c>
      <c r="D300" s="6" t="s">
        <v>902</v>
      </c>
      <c r="E300" s="33" t="s">
        <v>1485</v>
      </c>
      <c r="F300" s="34">
        <v>1000</v>
      </c>
      <c r="G300" s="6" t="s">
        <v>26</v>
      </c>
      <c r="H300" s="6"/>
      <c r="I300" s="6"/>
      <c r="J300" s="6"/>
      <c r="K300" s="35">
        <v>42946</v>
      </c>
      <c r="L300" s="36">
        <v>2430000</v>
      </c>
      <c r="M300" s="30">
        <v>280000</v>
      </c>
      <c r="N300" s="6" t="s">
        <v>30</v>
      </c>
      <c r="O300" s="31">
        <v>43103</v>
      </c>
      <c r="P300" s="32" t="e">
        <f>VLOOKUP(Table311[[#This Row],[UNIT NO.]],[1]!Table35711[[#Headers],[#Data],[Unit '#]:[Application/Sold/ Unsold]],7,0)</f>
        <v>#REF!</v>
      </c>
      <c r="S300" s="64"/>
    </row>
    <row r="301" spans="2:19" ht="26.25" x14ac:dyDescent="0.25">
      <c r="B301" s="5">
        <f t="shared" si="4"/>
        <v>298</v>
      </c>
      <c r="C301" s="29" t="s">
        <v>1486</v>
      </c>
      <c r="D301" s="6" t="s">
        <v>902</v>
      </c>
      <c r="E301" s="29" t="s">
        <v>1487</v>
      </c>
      <c r="F301" s="6">
        <v>1000</v>
      </c>
      <c r="G301" s="6" t="s">
        <v>26</v>
      </c>
      <c r="H301" s="6"/>
      <c r="I301" s="6"/>
      <c r="J301" s="6"/>
      <c r="K301" s="7">
        <v>41046</v>
      </c>
      <c r="L301" s="30">
        <v>2092500</v>
      </c>
      <c r="M301" s="30">
        <v>1987050.39</v>
      </c>
      <c r="N301" s="6" t="s">
        <v>30</v>
      </c>
      <c r="O301" s="31">
        <v>43103</v>
      </c>
      <c r="P301" s="32" t="e">
        <f>VLOOKUP(Table311[[#This Row],[UNIT NO.]],[1]!Table35711[[#Headers],[#Data],[Unit '#]:[Application/Sold/ Unsold]],7,0)</f>
        <v>#REF!</v>
      </c>
      <c r="S301" s="64"/>
    </row>
    <row r="302" spans="2:19" ht="26.25" x14ac:dyDescent="0.25">
      <c r="B302" s="5">
        <f t="shared" si="4"/>
        <v>299</v>
      </c>
      <c r="C302" s="29" t="s">
        <v>1488</v>
      </c>
      <c r="D302" s="6" t="s">
        <v>902</v>
      </c>
      <c r="E302" s="29" t="s">
        <v>1489</v>
      </c>
      <c r="F302" s="6">
        <v>1000</v>
      </c>
      <c r="G302" s="6" t="s">
        <v>26</v>
      </c>
      <c r="H302" s="6"/>
      <c r="I302" s="6"/>
      <c r="J302" s="6"/>
      <c r="K302" s="7">
        <v>41050</v>
      </c>
      <c r="L302" s="30">
        <v>2050000</v>
      </c>
      <c r="M302" s="30">
        <v>1951604</v>
      </c>
      <c r="N302" s="6" t="s">
        <v>39</v>
      </c>
      <c r="O302" s="31">
        <v>43103</v>
      </c>
      <c r="P302" s="32" t="e">
        <f>VLOOKUP(Table311[[#This Row],[UNIT NO.]],[1]!Table35711[[#Headers],[#Data],[Unit '#]:[Application/Sold/ Unsold]],7,0)</f>
        <v>#REF!</v>
      </c>
      <c r="S302" s="64"/>
    </row>
    <row r="303" spans="2:19" ht="26.25" x14ac:dyDescent="0.25">
      <c r="B303" s="5">
        <f t="shared" si="4"/>
        <v>300</v>
      </c>
      <c r="C303" s="29" t="s">
        <v>1490</v>
      </c>
      <c r="D303" s="6" t="s">
        <v>902</v>
      </c>
      <c r="E303" s="29" t="s">
        <v>1491</v>
      </c>
      <c r="F303" s="6">
        <v>1000</v>
      </c>
      <c r="G303" s="6" t="s">
        <v>26</v>
      </c>
      <c r="H303" s="6"/>
      <c r="I303" s="6"/>
      <c r="J303" s="6"/>
      <c r="K303" s="7">
        <v>41031</v>
      </c>
      <c r="L303" s="30">
        <v>2136250</v>
      </c>
      <c r="M303" s="30">
        <v>2022247</v>
      </c>
      <c r="N303" s="6" t="s">
        <v>1492</v>
      </c>
      <c r="O303" s="31">
        <v>43103</v>
      </c>
      <c r="P303" s="32" t="e">
        <f>VLOOKUP(Table311[[#This Row],[UNIT NO.]],[1]!Table35711[[#Headers],[#Data],[Unit '#]:[Application/Sold/ Unsold]],7,0)</f>
        <v>#REF!</v>
      </c>
      <c r="S303" s="64"/>
    </row>
    <row r="304" spans="2:19" ht="26.25" x14ac:dyDescent="0.25">
      <c r="B304" s="5">
        <f t="shared" si="4"/>
        <v>301</v>
      </c>
      <c r="C304" s="29" t="s">
        <v>1493</v>
      </c>
      <c r="D304" s="6" t="s">
        <v>902</v>
      </c>
      <c r="E304" s="29" t="s">
        <v>1494</v>
      </c>
      <c r="F304" s="6">
        <v>1000</v>
      </c>
      <c r="G304" s="6" t="s">
        <v>26</v>
      </c>
      <c r="H304" s="6"/>
      <c r="I304" s="6"/>
      <c r="J304" s="6"/>
      <c r="K304" s="7">
        <v>41005</v>
      </c>
      <c r="L304" s="30">
        <v>1971250</v>
      </c>
      <c r="M304" s="30">
        <v>1872689.08</v>
      </c>
      <c r="N304" s="6" t="s">
        <v>30</v>
      </c>
      <c r="O304" s="31">
        <v>43103</v>
      </c>
      <c r="P304" s="32" t="e">
        <f>VLOOKUP(Table311[[#This Row],[UNIT NO.]],[1]!Table35711[[#Headers],[#Data],[Unit '#]:[Application/Sold/ Unsold]],7,0)</f>
        <v>#REF!</v>
      </c>
      <c r="S304" s="64"/>
    </row>
    <row r="305" spans="2:19" ht="26.25" x14ac:dyDescent="0.25">
      <c r="B305" s="5">
        <f t="shared" si="4"/>
        <v>302</v>
      </c>
      <c r="C305" s="29" t="s">
        <v>1495</v>
      </c>
      <c r="D305" s="6" t="s">
        <v>902</v>
      </c>
      <c r="E305" s="29" t="s">
        <v>1496</v>
      </c>
      <c r="F305" s="6">
        <v>1000</v>
      </c>
      <c r="G305" s="6" t="s">
        <v>26</v>
      </c>
      <c r="H305" s="6"/>
      <c r="I305" s="6"/>
      <c r="J305" s="6"/>
      <c r="K305" s="7">
        <v>41015</v>
      </c>
      <c r="L305" s="30">
        <v>1971250</v>
      </c>
      <c r="M305" s="30">
        <v>1872687</v>
      </c>
      <c r="N305" s="6" t="s">
        <v>27</v>
      </c>
      <c r="O305" s="31">
        <v>43103</v>
      </c>
      <c r="P305" s="32" t="e">
        <f>VLOOKUP(Table311[[#This Row],[UNIT NO.]],[1]!Table35711[[#Headers],[#Data],[Unit '#]:[Application/Sold/ Unsold]],7,0)</f>
        <v>#REF!</v>
      </c>
      <c r="S305" s="64"/>
    </row>
    <row r="306" spans="2:19" ht="26.25" x14ac:dyDescent="0.25">
      <c r="B306" s="5">
        <f t="shared" si="4"/>
        <v>303</v>
      </c>
      <c r="C306" s="29" t="s">
        <v>1497</v>
      </c>
      <c r="D306" s="6" t="s">
        <v>902</v>
      </c>
      <c r="E306" s="29" t="s">
        <v>1498</v>
      </c>
      <c r="F306" s="6">
        <v>1000</v>
      </c>
      <c r="G306" s="6" t="s">
        <v>26</v>
      </c>
      <c r="H306" s="6"/>
      <c r="I306" s="6"/>
      <c r="J306" s="6"/>
      <c r="K306" s="7">
        <v>41099</v>
      </c>
      <c r="L306" s="30">
        <v>2225000</v>
      </c>
      <c r="M306" s="30">
        <v>2113752</v>
      </c>
      <c r="N306" s="6" t="s">
        <v>1499</v>
      </c>
      <c r="O306" s="31">
        <v>43103</v>
      </c>
      <c r="P306" s="32" t="e">
        <f>VLOOKUP(Table311[[#This Row],[UNIT NO.]],[1]!Table35711[[#Headers],[#Data],[Unit '#]:[Application/Sold/ Unsold]],7,0)</f>
        <v>#REF!</v>
      </c>
      <c r="S306" s="64"/>
    </row>
    <row r="307" spans="2:19" ht="26.25" x14ac:dyDescent="0.25">
      <c r="B307" s="5">
        <f t="shared" si="4"/>
        <v>304</v>
      </c>
      <c r="C307" s="29" t="s">
        <v>1500</v>
      </c>
      <c r="D307" s="6" t="s">
        <v>902</v>
      </c>
      <c r="E307" s="29" t="s">
        <v>1501</v>
      </c>
      <c r="F307" s="6">
        <v>1000</v>
      </c>
      <c r="G307" s="6" t="s">
        <v>26</v>
      </c>
      <c r="H307" s="6"/>
      <c r="I307" s="6"/>
      <c r="J307" s="6"/>
      <c r="K307" s="7">
        <v>41041</v>
      </c>
      <c r="L307" s="30">
        <v>1969000</v>
      </c>
      <c r="M307" s="30">
        <v>1673651</v>
      </c>
      <c r="N307" s="6" t="s">
        <v>39</v>
      </c>
      <c r="O307" s="31">
        <v>43103</v>
      </c>
      <c r="P307" s="32" t="e">
        <f>VLOOKUP(Table311[[#This Row],[UNIT NO.]],[1]!Table35711[[#Headers],[#Data],[Unit '#]:[Application/Sold/ Unsold]],7,0)</f>
        <v>#REF!</v>
      </c>
      <c r="S307" s="64"/>
    </row>
    <row r="308" spans="2:19" ht="39" x14ac:dyDescent="0.25">
      <c r="B308" s="5">
        <f t="shared" si="4"/>
        <v>305</v>
      </c>
      <c r="C308" s="29" t="s">
        <v>1502</v>
      </c>
      <c r="D308" s="6" t="s">
        <v>902</v>
      </c>
      <c r="E308" s="29" t="s">
        <v>1503</v>
      </c>
      <c r="F308" s="6">
        <v>1000</v>
      </c>
      <c r="G308" s="6" t="s">
        <v>26</v>
      </c>
      <c r="H308" s="6"/>
      <c r="I308" s="6"/>
      <c r="J308" s="6"/>
      <c r="K308" s="7">
        <v>41022</v>
      </c>
      <c r="L308" s="30">
        <v>2090000</v>
      </c>
      <c r="M308" s="30">
        <v>1985218</v>
      </c>
      <c r="N308" s="6" t="s">
        <v>30</v>
      </c>
      <c r="O308" s="31">
        <v>43103</v>
      </c>
      <c r="P308" s="32" t="e">
        <f>VLOOKUP(Table311[[#This Row],[UNIT NO.]],[1]!Table35711[[#Headers],[#Data],[Unit '#]:[Application/Sold/ Unsold]],7,0)</f>
        <v>#REF!</v>
      </c>
      <c r="S308" s="64"/>
    </row>
    <row r="309" spans="2:19" ht="26.25" x14ac:dyDescent="0.25">
      <c r="B309" s="5">
        <f t="shared" si="4"/>
        <v>306</v>
      </c>
      <c r="C309" s="29" t="s">
        <v>1504</v>
      </c>
      <c r="D309" s="6" t="s">
        <v>902</v>
      </c>
      <c r="E309" s="29" t="s">
        <v>1505</v>
      </c>
      <c r="F309" s="6">
        <v>800</v>
      </c>
      <c r="G309" s="6" t="s">
        <v>26</v>
      </c>
      <c r="H309" s="6"/>
      <c r="I309" s="6"/>
      <c r="J309" s="6"/>
      <c r="K309" s="7">
        <v>41090</v>
      </c>
      <c r="L309" s="30">
        <v>2175000</v>
      </c>
      <c r="M309" s="30">
        <v>2059731</v>
      </c>
      <c r="N309" s="6" t="s">
        <v>27</v>
      </c>
      <c r="O309" s="31">
        <v>43103</v>
      </c>
      <c r="P309" s="32" t="e">
        <f>VLOOKUP(Table311[[#This Row],[UNIT NO.]],[1]!Table35711[[#Headers],[#Data],[Unit '#]:[Application/Sold/ Unsold]],7,0)</f>
        <v>#REF!</v>
      </c>
      <c r="S309" s="64"/>
    </row>
    <row r="310" spans="2:19" ht="26.25" x14ac:dyDescent="0.25">
      <c r="B310" s="5">
        <f t="shared" si="4"/>
        <v>307</v>
      </c>
      <c r="C310" s="29" t="s">
        <v>480</v>
      </c>
      <c r="D310" s="6" t="s">
        <v>902</v>
      </c>
      <c r="E310" s="29" t="s">
        <v>1506</v>
      </c>
      <c r="F310" s="6">
        <v>800</v>
      </c>
      <c r="G310" s="6" t="s">
        <v>26</v>
      </c>
      <c r="H310" s="6"/>
      <c r="I310" s="6"/>
      <c r="J310" s="6"/>
      <c r="K310" s="7">
        <v>40984</v>
      </c>
      <c r="L310" s="30">
        <v>2035000</v>
      </c>
      <c r="M310" s="30">
        <v>1902161.53</v>
      </c>
      <c r="N310" s="6" t="s">
        <v>27</v>
      </c>
      <c r="O310" s="31">
        <v>43103</v>
      </c>
      <c r="P310" s="32" t="e">
        <f>VLOOKUP(Table311[[#This Row],[UNIT NO.]],[1]!Table35711[[#Headers],[#Data],[Unit '#]:[Application/Sold/ Unsold]],7,0)</f>
        <v>#REF!</v>
      </c>
      <c r="S310" s="64"/>
    </row>
    <row r="311" spans="2:19" ht="26.25" x14ac:dyDescent="0.25">
      <c r="B311" s="5">
        <f t="shared" si="4"/>
        <v>308</v>
      </c>
      <c r="C311" s="29" t="s">
        <v>1507</v>
      </c>
      <c r="D311" s="6" t="s">
        <v>902</v>
      </c>
      <c r="E311" s="29" t="s">
        <v>1508</v>
      </c>
      <c r="F311" s="6">
        <v>800</v>
      </c>
      <c r="G311" s="6" t="s">
        <v>26</v>
      </c>
      <c r="H311" s="6"/>
      <c r="I311" s="6"/>
      <c r="J311" s="6"/>
      <c r="K311" s="7">
        <v>41068</v>
      </c>
      <c r="L311" s="30">
        <v>2205000</v>
      </c>
      <c r="M311" s="30">
        <v>2094230</v>
      </c>
      <c r="N311" s="6" t="s">
        <v>27</v>
      </c>
      <c r="O311" s="31">
        <v>43103</v>
      </c>
      <c r="P311" s="32" t="e">
        <f>VLOOKUP(Table311[[#This Row],[UNIT NO.]],[1]!Table35711[[#Headers],[#Data],[Unit '#]:[Application/Sold/ Unsold]],7,0)</f>
        <v>#REF!</v>
      </c>
      <c r="S311" s="64"/>
    </row>
    <row r="312" spans="2:19" ht="26.25" x14ac:dyDescent="0.25">
      <c r="B312" s="5">
        <f t="shared" si="4"/>
        <v>309</v>
      </c>
      <c r="C312" s="29" t="s">
        <v>1509</v>
      </c>
      <c r="D312" s="6" t="s">
        <v>902</v>
      </c>
      <c r="E312" s="29" t="s">
        <v>1510</v>
      </c>
      <c r="F312" s="6">
        <v>800</v>
      </c>
      <c r="G312" s="6" t="s">
        <v>26</v>
      </c>
      <c r="H312" s="6"/>
      <c r="I312" s="6"/>
      <c r="J312" s="6"/>
      <c r="K312" s="7">
        <v>41068</v>
      </c>
      <c r="L312" s="30">
        <v>2185000</v>
      </c>
      <c r="M312" s="30">
        <v>1933783</v>
      </c>
      <c r="N312" s="6" t="s">
        <v>30</v>
      </c>
      <c r="O312" s="31">
        <v>43103</v>
      </c>
      <c r="P312" s="32" t="e">
        <f>VLOOKUP(Table311[[#This Row],[UNIT NO.]],[1]!Table35711[[#Headers],[#Data],[Unit '#]:[Application/Sold/ Unsold]],7,0)</f>
        <v>#REF!</v>
      </c>
      <c r="S312" s="64"/>
    </row>
    <row r="313" spans="2:19" ht="26.25" x14ac:dyDescent="0.25">
      <c r="B313" s="5">
        <f t="shared" si="4"/>
        <v>310</v>
      </c>
      <c r="C313" s="29" t="s">
        <v>1511</v>
      </c>
      <c r="D313" s="6" t="s">
        <v>902</v>
      </c>
      <c r="E313" s="29" t="s">
        <v>1512</v>
      </c>
      <c r="F313" s="6">
        <v>800</v>
      </c>
      <c r="G313" s="6" t="s">
        <v>26</v>
      </c>
      <c r="H313" s="6"/>
      <c r="I313" s="6"/>
      <c r="J313" s="6"/>
      <c r="K313" s="7">
        <v>41819</v>
      </c>
      <c r="L313" s="30">
        <v>2983750</v>
      </c>
      <c r="M313" s="30">
        <v>2644563</v>
      </c>
      <c r="N313" s="6" t="s">
        <v>1499</v>
      </c>
      <c r="O313" s="31">
        <v>43103</v>
      </c>
      <c r="P313" s="32" t="e">
        <f>VLOOKUP(Table311[[#This Row],[UNIT NO.]],[1]!Table35711[[#Headers],[#Data],[Unit '#]:[Application/Sold/ Unsold]],7,0)</f>
        <v>#REF!</v>
      </c>
      <c r="S313" s="64"/>
    </row>
    <row r="314" spans="2:19" ht="39" x14ac:dyDescent="0.25">
      <c r="B314" s="5">
        <f t="shared" si="4"/>
        <v>311</v>
      </c>
      <c r="C314" s="29" t="s">
        <v>1513</v>
      </c>
      <c r="D314" s="6" t="s">
        <v>902</v>
      </c>
      <c r="E314" s="29" t="s">
        <v>1514</v>
      </c>
      <c r="F314" s="6">
        <v>800</v>
      </c>
      <c r="G314" s="6" t="s">
        <v>26</v>
      </c>
      <c r="H314" s="6"/>
      <c r="I314" s="6"/>
      <c r="J314" s="6"/>
      <c r="K314" s="7">
        <v>41071</v>
      </c>
      <c r="L314" s="30">
        <v>2087025</v>
      </c>
      <c r="M314" s="30">
        <v>1963388</v>
      </c>
      <c r="N314" s="6" t="s">
        <v>27</v>
      </c>
      <c r="O314" s="31">
        <v>43103</v>
      </c>
      <c r="P314" s="32" t="e">
        <f>VLOOKUP(Table311[[#This Row],[UNIT NO.]],[1]!Table35711[[#Headers],[#Data],[Unit '#]:[Application/Sold/ Unsold]],7,0)</f>
        <v>#REF!</v>
      </c>
      <c r="S314" s="64"/>
    </row>
    <row r="315" spans="2:19" ht="26.25" x14ac:dyDescent="0.25">
      <c r="B315" s="5">
        <f t="shared" si="4"/>
        <v>312</v>
      </c>
      <c r="C315" s="29" t="s">
        <v>1515</v>
      </c>
      <c r="D315" s="6" t="s">
        <v>902</v>
      </c>
      <c r="E315" s="29" t="s">
        <v>1516</v>
      </c>
      <c r="F315" s="6">
        <v>800</v>
      </c>
      <c r="G315" s="6" t="s">
        <v>26</v>
      </c>
      <c r="H315" s="6"/>
      <c r="I315" s="6"/>
      <c r="J315" s="6"/>
      <c r="K315" s="7">
        <v>41038</v>
      </c>
      <c r="L315" s="30">
        <v>1991425</v>
      </c>
      <c r="M315" s="30">
        <v>1889877</v>
      </c>
      <c r="N315" s="6" t="s">
        <v>30</v>
      </c>
      <c r="O315" s="31">
        <v>43103</v>
      </c>
      <c r="P315" s="32" t="e">
        <f>VLOOKUP(Table311[[#This Row],[UNIT NO.]],[1]!Table35711[[#Headers],[#Data],[Unit '#]:[Application/Sold/ Unsold]],7,0)</f>
        <v>#REF!</v>
      </c>
      <c r="S315" s="64"/>
    </row>
    <row r="316" spans="2:19" x14ac:dyDescent="0.25">
      <c r="B316" s="5">
        <f t="shared" si="4"/>
        <v>313</v>
      </c>
      <c r="C316" s="33" t="s">
        <v>1517</v>
      </c>
      <c r="D316" s="6" t="s">
        <v>902</v>
      </c>
      <c r="E316" s="33" t="s">
        <v>1518</v>
      </c>
      <c r="F316" s="34">
        <v>800</v>
      </c>
      <c r="G316" s="6" t="s">
        <v>26</v>
      </c>
      <c r="H316" s="6"/>
      <c r="I316" s="6"/>
      <c r="J316" s="6"/>
      <c r="K316" s="35">
        <v>42926</v>
      </c>
      <c r="L316" s="36">
        <v>2100000</v>
      </c>
      <c r="M316" s="30">
        <v>2100000</v>
      </c>
      <c r="N316" s="6" t="s">
        <v>30</v>
      </c>
      <c r="O316" s="31">
        <v>43103</v>
      </c>
      <c r="P316" s="32" t="e">
        <f>VLOOKUP(Table311[[#This Row],[UNIT NO.]],[1]!Table35711[[#Headers],[#Data],[Unit '#]:[Application/Sold/ Unsold]],7,0)</f>
        <v>#REF!</v>
      </c>
      <c r="S316" s="64"/>
    </row>
    <row r="317" spans="2:19" ht="26.25" x14ac:dyDescent="0.25">
      <c r="B317" s="5">
        <f t="shared" si="4"/>
        <v>314</v>
      </c>
      <c r="C317" s="29" t="s">
        <v>590</v>
      </c>
      <c r="D317" s="6" t="s">
        <v>902</v>
      </c>
      <c r="E317" s="29" t="s">
        <v>1519</v>
      </c>
      <c r="F317" s="6">
        <v>800</v>
      </c>
      <c r="G317" s="6" t="s">
        <v>26</v>
      </c>
      <c r="H317" s="6"/>
      <c r="I317" s="6"/>
      <c r="J317" s="6"/>
      <c r="K317" s="7">
        <v>41076</v>
      </c>
      <c r="L317" s="30">
        <v>2099200</v>
      </c>
      <c r="M317" s="30">
        <v>1993889</v>
      </c>
      <c r="N317" s="6" t="s">
        <v>30</v>
      </c>
      <c r="O317" s="31">
        <v>43103</v>
      </c>
      <c r="P317" s="32" t="e">
        <f>VLOOKUP(Table311[[#This Row],[UNIT NO.]],[1]!Table35711[[#Headers],[#Data],[Unit '#]:[Application/Sold/ Unsold]],7,0)</f>
        <v>#REF!</v>
      </c>
      <c r="S317" s="64"/>
    </row>
    <row r="318" spans="2:19" ht="26.25" x14ac:dyDescent="0.25">
      <c r="B318" s="5">
        <f t="shared" si="4"/>
        <v>315</v>
      </c>
      <c r="C318" s="29" t="s">
        <v>1520</v>
      </c>
      <c r="D318" s="6" t="s">
        <v>902</v>
      </c>
      <c r="E318" s="29" t="s">
        <v>1521</v>
      </c>
      <c r="F318" s="6">
        <v>800</v>
      </c>
      <c r="G318" s="6" t="s">
        <v>26</v>
      </c>
      <c r="H318" s="6"/>
      <c r="I318" s="6"/>
      <c r="J318" s="6"/>
      <c r="K318" s="7">
        <v>41132</v>
      </c>
      <c r="L318" s="30">
        <v>2360000</v>
      </c>
      <c r="M318" s="30">
        <v>2241844</v>
      </c>
      <c r="N318" s="6" t="s">
        <v>30</v>
      </c>
      <c r="O318" s="31">
        <v>43103</v>
      </c>
      <c r="P318" s="32" t="e">
        <f>VLOOKUP(Table311[[#This Row],[UNIT NO.]],[1]!Table35711[[#Headers],[#Data],[Unit '#]:[Application/Sold/ Unsold]],7,0)</f>
        <v>#REF!</v>
      </c>
      <c r="S318" s="64"/>
    </row>
    <row r="319" spans="2:19" x14ac:dyDescent="0.25">
      <c r="B319" s="5">
        <f t="shared" si="4"/>
        <v>316</v>
      </c>
      <c r="C319" s="29" t="s">
        <v>1522</v>
      </c>
      <c r="D319" s="6" t="s">
        <v>902</v>
      </c>
      <c r="E319" s="29" t="s">
        <v>1523</v>
      </c>
      <c r="F319" s="6">
        <v>800</v>
      </c>
      <c r="G319" s="6" t="s">
        <v>26</v>
      </c>
      <c r="H319" s="6"/>
      <c r="I319" s="6"/>
      <c r="J319" s="6"/>
      <c r="K319" s="7">
        <v>40984</v>
      </c>
      <c r="L319" s="30">
        <v>1907750</v>
      </c>
      <c r="M319" s="30">
        <v>1812335</v>
      </c>
      <c r="N319" s="6" t="s">
        <v>30</v>
      </c>
      <c r="O319" s="31">
        <v>43103</v>
      </c>
      <c r="P319" s="32" t="e">
        <f>VLOOKUP(Table311[[#This Row],[UNIT NO.]],[1]!Table35711[[#Headers],[#Data],[Unit '#]:[Application/Sold/ Unsold]],7,0)</f>
        <v>#REF!</v>
      </c>
      <c r="S319" s="64"/>
    </row>
    <row r="320" spans="2:19" ht="26.25" x14ac:dyDescent="0.25">
      <c r="B320" s="5">
        <f t="shared" si="4"/>
        <v>317</v>
      </c>
      <c r="C320" s="29" t="s">
        <v>1524</v>
      </c>
      <c r="D320" s="6" t="s">
        <v>902</v>
      </c>
      <c r="E320" s="29" t="s">
        <v>1525</v>
      </c>
      <c r="F320" s="6">
        <v>800</v>
      </c>
      <c r="G320" s="6" t="s">
        <v>26</v>
      </c>
      <c r="H320" s="6"/>
      <c r="I320" s="6"/>
      <c r="J320" s="6"/>
      <c r="K320" s="7">
        <v>41046</v>
      </c>
      <c r="L320" s="30">
        <v>1953625</v>
      </c>
      <c r="M320" s="30">
        <v>1826548</v>
      </c>
      <c r="N320" s="6" t="s">
        <v>30</v>
      </c>
      <c r="O320" s="31">
        <v>43103</v>
      </c>
      <c r="P320" s="32" t="e">
        <f>VLOOKUP(Table311[[#This Row],[UNIT NO.]],[1]!Table35711[[#Headers],[#Data],[Unit '#]:[Application/Sold/ Unsold]],7,0)</f>
        <v>#REF!</v>
      </c>
      <c r="S320" s="64"/>
    </row>
    <row r="321" spans="2:19" ht="39" x14ac:dyDescent="0.25">
      <c r="B321" s="5">
        <f t="shared" si="4"/>
        <v>318</v>
      </c>
      <c r="C321" s="29" t="s">
        <v>1526</v>
      </c>
      <c r="D321" s="6" t="s">
        <v>902</v>
      </c>
      <c r="E321" s="29" t="s">
        <v>1527</v>
      </c>
      <c r="F321" s="6">
        <v>800</v>
      </c>
      <c r="G321" s="6" t="s">
        <v>26</v>
      </c>
      <c r="H321" s="6"/>
      <c r="I321" s="6"/>
      <c r="J321" s="6"/>
      <c r="K321" s="7">
        <v>41054</v>
      </c>
      <c r="L321" s="30">
        <v>2048625</v>
      </c>
      <c r="M321" s="30">
        <v>2048625</v>
      </c>
      <c r="N321" s="6" t="s">
        <v>30</v>
      </c>
      <c r="O321" s="31">
        <v>43103</v>
      </c>
      <c r="P321" s="32" t="e">
        <f>VLOOKUP(Table311[[#This Row],[UNIT NO.]],[1]!Table35711[[#Headers],[#Data],[Unit '#]:[Application/Sold/ Unsold]],7,0)</f>
        <v>#REF!</v>
      </c>
      <c r="S321" s="64"/>
    </row>
    <row r="322" spans="2:19" ht="39" x14ac:dyDescent="0.25">
      <c r="B322" s="5">
        <f t="shared" si="4"/>
        <v>319</v>
      </c>
      <c r="C322" s="29" t="s">
        <v>1528</v>
      </c>
      <c r="D322" s="6" t="s">
        <v>902</v>
      </c>
      <c r="E322" s="29" t="s">
        <v>1529</v>
      </c>
      <c r="F322" s="6">
        <v>800</v>
      </c>
      <c r="G322" s="6" t="s">
        <v>26</v>
      </c>
      <c r="H322" s="6"/>
      <c r="I322" s="6"/>
      <c r="J322" s="6"/>
      <c r="K322" s="7">
        <v>41026</v>
      </c>
      <c r="L322" s="30">
        <v>2043625</v>
      </c>
      <c r="M322" s="30">
        <v>1940443</v>
      </c>
      <c r="N322" s="6" t="s">
        <v>27</v>
      </c>
      <c r="O322" s="31">
        <v>43103</v>
      </c>
      <c r="P322" s="32" t="e">
        <f>VLOOKUP(Table311[[#This Row],[UNIT NO.]],[1]!Table35711[[#Headers],[#Data],[Unit '#]:[Application/Sold/ Unsold]],7,0)</f>
        <v>#REF!</v>
      </c>
      <c r="S322" s="64"/>
    </row>
    <row r="323" spans="2:19" x14ac:dyDescent="0.25">
      <c r="B323" s="5">
        <f t="shared" si="4"/>
        <v>320</v>
      </c>
      <c r="C323" s="29" t="s">
        <v>1530</v>
      </c>
      <c r="D323" s="6" t="s">
        <v>902</v>
      </c>
      <c r="E323" s="29" t="s">
        <v>1531</v>
      </c>
      <c r="F323" s="6">
        <v>800</v>
      </c>
      <c r="G323" s="6" t="s">
        <v>26</v>
      </c>
      <c r="H323" s="6"/>
      <c r="I323" s="6"/>
      <c r="J323" s="6"/>
      <c r="K323" s="7">
        <v>41085</v>
      </c>
      <c r="L323" s="30">
        <v>2216850</v>
      </c>
      <c r="M323" s="30">
        <v>2105806.25</v>
      </c>
      <c r="N323" s="6" t="s">
        <v>30</v>
      </c>
      <c r="O323" s="31">
        <v>43103</v>
      </c>
      <c r="P323" s="32" t="e">
        <f>VLOOKUP(Table311[[#This Row],[UNIT NO.]],[1]!Table35711[[#Headers],[#Data],[Unit '#]:[Application/Sold/ Unsold]],7,0)</f>
        <v>#REF!</v>
      </c>
      <c r="S323" s="64"/>
    </row>
    <row r="324" spans="2:19" x14ac:dyDescent="0.25">
      <c r="B324" s="5">
        <f t="shared" si="4"/>
        <v>321</v>
      </c>
      <c r="C324" s="29" t="s">
        <v>1532</v>
      </c>
      <c r="D324" s="6" t="s">
        <v>902</v>
      </c>
      <c r="E324" s="29" t="s">
        <v>1533</v>
      </c>
      <c r="F324" s="6">
        <v>800</v>
      </c>
      <c r="G324" s="6" t="s">
        <v>26</v>
      </c>
      <c r="H324" s="6"/>
      <c r="I324" s="6"/>
      <c r="J324" s="6"/>
      <c r="K324" s="7">
        <v>41045</v>
      </c>
      <c r="L324" s="30">
        <v>1995000</v>
      </c>
      <c r="M324" s="30">
        <v>1894527</v>
      </c>
      <c r="N324" s="6" t="s">
        <v>39</v>
      </c>
      <c r="O324" s="31">
        <v>43103</v>
      </c>
      <c r="P324" s="32" t="e">
        <f>VLOOKUP(Table311[[#This Row],[UNIT NO.]],[1]!Table35711[[#Headers],[#Data],[Unit '#]:[Application/Sold/ Unsold]],7,0)</f>
        <v>#REF!</v>
      </c>
      <c r="S324" s="64"/>
    </row>
    <row r="325" spans="2:19" ht="26.25" x14ac:dyDescent="0.25">
      <c r="B325" s="5">
        <f t="shared" si="4"/>
        <v>322</v>
      </c>
      <c r="C325" s="29" t="s">
        <v>1534</v>
      </c>
      <c r="D325" s="6" t="s">
        <v>902</v>
      </c>
      <c r="E325" s="29" t="s">
        <v>1535</v>
      </c>
      <c r="F325" s="6">
        <v>800</v>
      </c>
      <c r="G325" s="6" t="s">
        <v>26</v>
      </c>
      <c r="H325" s="6"/>
      <c r="I325" s="6"/>
      <c r="J325" s="6"/>
      <c r="K325" s="7">
        <v>41022</v>
      </c>
      <c r="L325" s="30">
        <v>1953625</v>
      </c>
      <c r="M325" s="30">
        <v>1825962</v>
      </c>
      <c r="N325" s="6" t="s">
        <v>27</v>
      </c>
      <c r="O325" s="31">
        <v>43103</v>
      </c>
      <c r="P325" s="32" t="e">
        <f>VLOOKUP(Table311[[#This Row],[UNIT NO.]],[1]!Table35711[[#Headers],[#Data],[Unit '#]:[Application/Sold/ Unsold]],7,0)</f>
        <v>#REF!</v>
      </c>
      <c r="S325" s="64"/>
    </row>
    <row r="326" spans="2:19" x14ac:dyDescent="0.25">
      <c r="B326" s="5">
        <f t="shared" ref="B326:B389" si="5">B325+1</f>
        <v>323</v>
      </c>
      <c r="C326" s="29" t="s">
        <v>529</v>
      </c>
      <c r="D326" s="6" t="s">
        <v>902</v>
      </c>
      <c r="E326" s="29" t="s">
        <v>1536</v>
      </c>
      <c r="F326" s="6">
        <v>800</v>
      </c>
      <c r="G326" s="6" t="s">
        <v>26</v>
      </c>
      <c r="H326" s="6"/>
      <c r="I326" s="6"/>
      <c r="J326" s="6"/>
      <c r="K326" s="7">
        <v>41045</v>
      </c>
      <c r="L326" s="30">
        <v>1995000</v>
      </c>
      <c r="M326" s="30">
        <v>1894202</v>
      </c>
      <c r="N326" s="6" t="s">
        <v>30</v>
      </c>
      <c r="O326" s="31">
        <v>43103</v>
      </c>
      <c r="P326" s="32" t="e">
        <f>VLOOKUP(Table311[[#This Row],[UNIT NO.]],[1]!Table35711[[#Headers],[#Data],[Unit '#]:[Application/Sold/ Unsold]],7,0)</f>
        <v>#REF!</v>
      </c>
      <c r="S326" s="64"/>
    </row>
    <row r="327" spans="2:19" ht="26.25" x14ac:dyDescent="0.25">
      <c r="B327" s="5">
        <f t="shared" si="5"/>
        <v>324</v>
      </c>
      <c r="C327" s="29" t="s">
        <v>1537</v>
      </c>
      <c r="D327" s="6" t="s">
        <v>902</v>
      </c>
      <c r="E327" s="29" t="s">
        <v>1538</v>
      </c>
      <c r="F327" s="6">
        <v>800</v>
      </c>
      <c r="G327" s="6" t="s">
        <v>26</v>
      </c>
      <c r="H327" s="6"/>
      <c r="I327" s="6"/>
      <c r="J327" s="6"/>
      <c r="K327" s="7">
        <v>40997</v>
      </c>
      <c r="L327" s="30">
        <v>1943500</v>
      </c>
      <c r="M327" s="30">
        <v>1943500</v>
      </c>
      <c r="N327" s="6" t="s">
        <v>165</v>
      </c>
      <c r="O327" s="31">
        <v>43103</v>
      </c>
      <c r="P327" s="32" t="e">
        <f>VLOOKUP(Table311[[#This Row],[UNIT NO.]],[1]!Table35711[[#Headers],[#Data],[Unit '#]:[Application/Sold/ Unsold]],7,0)</f>
        <v>#REF!</v>
      </c>
      <c r="S327" s="64"/>
    </row>
    <row r="328" spans="2:19" ht="39" x14ac:dyDescent="0.25">
      <c r="B328" s="5">
        <f t="shared" si="5"/>
        <v>325</v>
      </c>
      <c r="C328" s="29" t="s">
        <v>1539</v>
      </c>
      <c r="D328" s="6" t="s">
        <v>902</v>
      </c>
      <c r="E328" s="29" t="s">
        <v>1540</v>
      </c>
      <c r="F328" s="6">
        <v>800</v>
      </c>
      <c r="G328" s="6" t="s">
        <v>26</v>
      </c>
      <c r="H328" s="6"/>
      <c r="I328" s="6"/>
      <c r="J328" s="6"/>
      <c r="K328" s="7">
        <v>41090</v>
      </c>
      <c r="L328" s="30">
        <v>2141850</v>
      </c>
      <c r="M328" s="30">
        <v>1863165</v>
      </c>
      <c r="N328" s="6" t="s">
        <v>27</v>
      </c>
      <c r="O328" s="31">
        <v>43103</v>
      </c>
      <c r="P328" s="32" t="e">
        <f>VLOOKUP(Table311[[#This Row],[UNIT NO.]],[1]!Table35711[[#Headers],[#Data],[Unit '#]:[Application/Sold/ Unsold]],7,0)</f>
        <v>#REF!</v>
      </c>
      <c r="S328" s="64"/>
    </row>
    <row r="329" spans="2:19" ht="26.25" x14ac:dyDescent="0.25">
      <c r="B329" s="5">
        <f t="shared" si="5"/>
        <v>326</v>
      </c>
      <c r="C329" s="29" t="s">
        <v>1541</v>
      </c>
      <c r="D329" s="6" t="s">
        <v>902</v>
      </c>
      <c r="E329" s="29" t="s">
        <v>1542</v>
      </c>
      <c r="F329" s="6">
        <v>800</v>
      </c>
      <c r="G329" s="6" t="s">
        <v>26</v>
      </c>
      <c r="H329" s="6"/>
      <c r="I329" s="6"/>
      <c r="J329" s="6"/>
      <c r="K329" s="7">
        <v>40985</v>
      </c>
      <c r="L329" s="30">
        <v>1840225</v>
      </c>
      <c r="M329" s="30">
        <v>1748120</v>
      </c>
      <c r="N329" s="6" t="s">
        <v>39</v>
      </c>
      <c r="O329" s="31">
        <v>43103</v>
      </c>
      <c r="P329" s="32" t="e">
        <f>VLOOKUP(Table311[[#This Row],[UNIT NO.]],[1]!Table35711[[#Headers],[#Data],[Unit '#]:[Application/Sold/ Unsold]],7,0)</f>
        <v>#REF!</v>
      </c>
      <c r="S329" s="64"/>
    </row>
    <row r="330" spans="2:19" ht="39" x14ac:dyDescent="0.25">
      <c r="B330" s="5">
        <f t="shared" si="5"/>
        <v>327</v>
      </c>
      <c r="C330" s="29" t="s">
        <v>1543</v>
      </c>
      <c r="D330" s="6" t="s">
        <v>902</v>
      </c>
      <c r="E330" s="29" t="s">
        <v>1544</v>
      </c>
      <c r="F330" s="6">
        <v>800</v>
      </c>
      <c r="G330" s="6" t="s">
        <v>26</v>
      </c>
      <c r="H330" s="6"/>
      <c r="I330" s="6"/>
      <c r="J330" s="6"/>
      <c r="K330" s="7">
        <v>41005</v>
      </c>
      <c r="L330" s="30">
        <v>1905900</v>
      </c>
      <c r="M330" s="30">
        <v>1809911</v>
      </c>
      <c r="N330" s="6" t="s">
        <v>46</v>
      </c>
      <c r="O330" s="31">
        <v>43103</v>
      </c>
      <c r="P330" s="32" t="e">
        <f>VLOOKUP(Table311[[#This Row],[UNIT NO.]],[1]!Table35711[[#Headers],[#Data],[Unit '#]:[Application/Sold/ Unsold]],7,0)</f>
        <v>#REF!</v>
      </c>
      <c r="S330" s="64"/>
    </row>
    <row r="331" spans="2:19" ht="26.25" x14ac:dyDescent="0.25">
      <c r="B331" s="5">
        <f t="shared" si="5"/>
        <v>328</v>
      </c>
      <c r="C331" s="29" t="s">
        <v>1545</v>
      </c>
      <c r="D331" s="6" t="s">
        <v>902</v>
      </c>
      <c r="E331" s="29" t="s">
        <v>1546</v>
      </c>
      <c r="F331" s="6">
        <v>800</v>
      </c>
      <c r="G331" s="6" t="s">
        <v>26</v>
      </c>
      <c r="H331" s="6"/>
      <c r="I331" s="6"/>
      <c r="J331" s="6"/>
      <c r="K331" s="7">
        <v>41028</v>
      </c>
      <c r="L331" s="30">
        <v>1915975</v>
      </c>
      <c r="M331" s="30">
        <v>1819104</v>
      </c>
      <c r="N331" s="6" t="s">
        <v>30</v>
      </c>
      <c r="O331" s="31">
        <v>43103</v>
      </c>
      <c r="P331" s="32" t="e">
        <f>VLOOKUP(Table311[[#This Row],[UNIT NO.]],[1]!Table35711[[#Headers],[#Data],[Unit '#]:[Application/Sold/ Unsold]],7,0)</f>
        <v>#REF!</v>
      </c>
      <c r="S331" s="64"/>
    </row>
    <row r="332" spans="2:19" x14ac:dyDescent="0.25">
      <c r="B332" s="5">
        <f t="shared" si="5"/>
        <v>329</v>
      </c>
      <c r="C332" s="29" t="s">
        <v>1547</v>
      </c>
      <c r="D332" s="6" t="s">
        <v>902</v>
      </c>
      <c r="E332" s="29" t="s">
        <v>1548</v>
      </c>
      <c r="F332" s="6">
        <v>800</v>
      </c>
      <c r="G332" s="6" t="s">
        <v>26</v>
      </c>
      <c r="H332" s="6"/>
      <c r="I332" s="6"/>
      <c r="J332" s="6"/>
      <c r="K332" s="7">
        <v>40992</v>
      </c>
      <c r="L332" s="30">
        <v>1905900</v>
      </c>
      <c r="M332" s="30">
        <v>1905900</v>
      </c>
      <c r="N332" s="6" t="s">
        <v>27</v>
      </c>
      <c r="O332" s="31">
        <v>43103</v>
      </c>
      <c r="P332" s="32" t="e">
        <f>VLOOKUP(Table311[[#This Row],[UNIT NO.]],[1]!Table35711[[#Headers],[#Data],[Unit '#]:[Application/Sold/ Unsold]],7,0)</f>
        <v>#REF!</v>
      </c>
      <c r="S332" s="64"/>
    </row>
    <row r="333" spans="2:19" ht="26.25" x14ac:dyDescent="0.25">
      <c r="B333" s="5">
        <f t="shared" si="5"/>
        <v>330</v>
      </c>
      <c r="C333" s="29" t="s">
        <v>600</v>
      </c>
      <c r="D333" s="6" t="s">
        <v>902</v>
      </c>
      <c r="E333" s="29" t="s">
        <v>1549</v>
      </c>
      <c r="F333" s="6">
        <v>800</v>
      </c>
      <c r="G333" s="6" t="s">
        <v>26</v>
      </c>
      <c r="H333" s="6"/>
      <c r="I333" s="6"/>
      <c r="J333" s="6"/>
      <c r="K333" s="7">
        <v>41084</v>
      </c>
      <c r="L333" s="30">
        <v>2061750</v>
      </c>
      <c r="M333" s="30">
        <v>1888791</v>
      </c>
      <c r="N333" s="6" t="s">
        <v>30</v>
      </c>
      <c r="O333" s="31">
        <v>43103</v>
      </c>
      <c r="P333" s="32" t="e">
        <f>VLOOKUP(Table311[[#This Row],[UNIT NO.]],[1]!Table35711[[#Headers],[#Data],[Unit '#]:[Application/Sold/ Unsold]],7,0)</f>
        <v>#REF!</v>
      </c>
      <c r="S333" s="64"/>
    </row>
    <row r="334" spans="2:19" ht="26.25" x14ac:dyDescent="0.25">
      <c r="B334" s="5">
        <f t="shared" si="5"/>
        <v>331</v>
      </c>
      <c r="C334" s="29" t="s">
        <v>1550</v>
      </c>
      <c r="D334" s="6" t="s">
        <v>902</v>
      </c>
      <c r="E334" s="29" t="s">
        <v>1551</v>
      </c>
      <c r="F334" s="6">
        <v>800</v>
      </c>
      <c r="G334" s="6" t="s">
        <v>26</v>
      </c>
      <c r="H334" s="6"/>
      <c r="I334" s="6"/>
      <c r="J334" s="6"/>
      <c r="K334" s="7">
        <v>41046</v>
      </c>
      <c r="L334" s="30">
        <v>2010825</v>
      </c>
      <c r="M334" s="30">
        <v>1909234</v>
      </c>
      <c r="N334" s="6" t="s">
        <v>27</v>
      </c>
      <c r="O334" s="31">
        <v>43103</v>
      </c>
      <c r="P334" s="32" t="e">
        <f>VLOOKUP(Table311[[#This Row],[UNIT NO.]],[1]!Table35711[[#Headers],[#Data],[Unit '#]:[Application/Sold/ Unsold]],7,0)</f>
        <v>#REF!</v>
      </c>
      <c r="S334" s="64"/>
    </row>
    <row r="335" spans="2:19" ht="26.25" x14ac:dyDescent="0.25">
      <c r="B335" s="5">
        <f t="shared" si="5"/>
        <v>332</v>
      </c>
      <c r="C335" s="29" t="s">
        <v>1552</v>
      </c>
      <c r="D335" s="6" t="s">
        <v>902</v>
      </c>
      <c r="E335" s="29" t="s">
        <v>1553</v>
      </c>
      <c r="F335" s="6">
        <v>800</v>
      </c>
      <c r="G335" s="6" t="s">
        <v>26</v>
      </c>
      <c r="H335" s="6"/>
      <c r="I335" s="6"/>
      <c r="J335" s="6"/>
      <c r="K335" s="7">
        <v>41005</v>
      </c>
      <c r="L335" s="30">
        <v>1905900</v>
      </c>
      <c r="M335" s="30">
        <v>1810264</v>
      </c>
      <c r="N335" s="6" t="s">
        <v>27</v>
      </c>
      <c r="O335" s="31">
        <v>43103</v>
      </c>
      <c r="P335" s="32" t="e">
        <f>VLOOKUP(Table311[[#This Row],[UNIT NO.]],[1]!Table35711[[#Headers],[#Data],[Unit '#]:[Application/Sold/ Unsold]],7,0)</f>
        <v>#REF!</v>
      </c>
      <c r="S335" s="64"/>
    </row>
    <row r="336" spans="2:19" ht="26.25" x14ac:dyDescent="0.25">
      <c r="B336" s="5">
        <f t="shared" si="5"/>
        <v>333</v>
      </c>
      <c r="C336" s="29" t="s">
        <v>686</v>
      </c>
      <c r="D336" s="6" t="s">
        <v>902</v>
      </c>
      <c r="E336" s="29" t="s">
        <v>1554</v>
      </c>
      <c r="F336" s="6">
        <v>800</v>
      </c>
      <c r="G336" s="6" t="s">
        <v>26</v>
      </c>
      <c r="H336" s="6"/>
      <c r="I336" s="6"/>
      <c r="J336" s="6"/>
      <c r="K336" s="7">
        <v>41049</v>
      </c>
      <c r="L336" s="30">
        <v>1915825</v>
      </c>
      <c r="M336" s="30">
        <v>1818958</v>
      </c>
      <c r="N336" s="6" t="s">
        <v>30</v>
      </c>
      <c r="O336" s="31">
        <v>43103</v>
      </c>
      <c r="P336" s="32" t="e">
        <f>VLOOKUP(Table311[[#This Row],[UNIT NO.]],[1]!Table35711[[#Headers],[#Data],[Unit '#]:[Application/Sold/ Unsold]],7,0)</f>
        <v>#REF!</v>
      </c>
      <c r="S336" s="64"/>
    </row>
    <row r="337" spans="2:19" ht="26.25" x14ac:dyDescent="0.25">
      <c r="B337" s="5">
        <f t="shared" si="5"/>
        <v>334</v>
      </c>
      <c r="C337" s="29" t="s">
        <v>1555</v>
      </c>
      <c r="D337" s="6" t="s">
        <v>902</v>
      </c>
      <c r="E337" s="29" t="s">
        <v>1556</v>
      </c>
      <c r="F337" s="6">
        <v>800</v>
      </c>
      <c r="G337" s="6" t="s">
        <v>26</v>
      </c>
      <c r="H337" s="6"/>
      <c r="I337" s="6"/>
      <c r="J337" s="6"/>
      <c r="K337" s="7">
        <v>41038</v>
      </c>
      <c r="L337" s="30">
        <v>1915825</v>
      </c>
      <c r="M337" s="30">
        <v>1819318</v>
      </c>
      <c r="N337" s="6" t="s">
        <v>27</v>
      </c>
      <c r="O337" s="31">
        <v>43103</v>
      </c>
      <c r="P337" s="32" t="e">
        <f>VLOOKUP(Table311[[#This Row],[UNIT NO.]],[1]!Table35711[[#Headers],[#Data],[Unit '#]:[Application/Sold/ Unsold]],7,0)</f>
        <v>#REF!</v>
      </c>
      <c r="S337" s="64"/>
    </row>
    <row r="338" spans="2:19" ht="26.25" x14ac:dyDescent="0.25">
      <c r="B338" s="5">
        <f t="shared" si="5"/>
        <v>335</v>
      </c>
      <c r="C338" s="29" t="s">
        <v>1557</v>
      </c>
      <c r="D338" s="6" t="s">
        <v>902</v>
      </c>
      <c r="E338" s="29" t="s">
        <v>1558</v>
      </c>
      <c r="F338" s="6">
        <v>800</v>
      </c>
      <c r="G338" s="6" t="s">
        <v>26</v>
      </c>
      <c r="H338" s="6"/>
      <c r="I338" s="6"/>
      <c r="J338" s="6"/>
      <c r="K338" s="7">
        <v>41133</v>
      </c>
      <c r="L338" s="30">
        <v>2279750</v>
      </c>
      <c r="M338" s="30">
        <v>2165765</v>
      </c>
      <c r="N338" s="6" t="s">
        <v>30</v>
      </c>
      <c r="O338" s="31">
        <v>43103</v>
      </c>
      <c r="P338" s="32" t="e">
        <f>VLOOKUP(Table311[[#This Row],[UNIT NO.]],[1]!Table35711[[#Headers],[#Data],[Unit '#]:[Application/Sold/ Unsold]],7,0)</f>
        <v>#REF!</v>
      </c>
      <c r="S338" s="64"/>
    </row>
    <row r="339" spans="2:19" ht="26.25" x14ac:dyDescent="0.25">
      <c r="B339" s="5">
        <f t="shared" si="5"/>
        <v>336</v>
      </c>
      <c r="C339" s="29" t="s">
        <v>1559</v>
      </c>
      <c r="D339" s="6" t="s">
        <v>902</v>
      </c>
      <c r="E339" s="29" t="s">
        <v>1560</v>
      </c>
      <c r="F339" s="6">
        <v>800</v>
      </c>
      <c r="G339" s="6" t="s">
        <v>26</v>
      </c>
      <c r="H339" s="6"/>
      <c r="I339" s="6"/>
      <c r="J339" s="6"/>
      <c r="K339" s="7">
        <v>40985</v>
      </c>
      <c r="L339" s="30">
        <v>1802425</v>
      </c>
      <c r="M339" s="30">
        <v>1712199</v>
      </c>
      <c r="N339" s="6" t="s">
        <v>39</v>
      </c>
      <c r="O339" s="31">
        <v>43103</v>
      </c>
      <c r="P339" s="32" t="e">
        <f>VLOOKUP(Table311[[#This Row],[UNIT NO.]],[1]!Table35711[[#Headers],[#Data],[Unit '#]:[Application/Sold/ Unsold]],7,0)</f>
        <v>#REF!</v>
      </c>
      <c r="S339" s="64"/>
    </row>
    <row r="340" spans="2:19" ht="39" x14ac:dyDescent="0.25">
      <c r="B340" s="5">
        <f t="shared" si="5"/>
        <v>337</v>
      </c>
      <c r="C340" s="29" t="s">
        <v>1561</v>
      </c>
      <c r="D340" s="6" t="s">
        <v>902</v>
      </c>
      <c r="E340" s="29" t="s">
        <v>1562</v>
      </c>
      <c r="F340" s="6">
        <v>800</v>
      </c>
      <c r="G340" s="6" t="s">
        <v>26</v>
      </c>
      <c r="H340" s="6"/>
      <c r="I340" s="6"/>
      <c r="J340" s="6"/>
      <c r="K340" s="7">
        <v>41005</v>
      </c>
      <c r="L340" s="30">
        <v>1868300</v>
      </c>
      <c r="M340" s="30">
        <v>1868300</v>
      </c>
      <c r="N340" s="6" t="s">
        <v>27</v>
      </c>
      <c r="O340" s="31">
        <v>43103</v>
      </c>
      <c r="P340" s="32" t="e">
        <f>VLOOKUP(Table311[[#This Row],[UNIT NO.]],[1]!Table35711[[#Headers],[#Data],[Unit '#]:[Application/Sold/ Unsold]],7,0)</f>
        <v>#REF!</v>
      </c>
      <c r="S340" s="64"/>
    </row>
    <row r="341" spans="2:19" ht="26.25" x14ac:dyDescent="0.25">
      <c r="B341" s="5">
        <f t="shared" si="5"/>
        <v>338</v>
      </c>
      <c r="C341" s="29" t="s">
        <v>1563</v>
      </c>
      <c r="D341" s="6" t="s">
        <v>902</v>
      </c>
      <c r="E341" s="29" t="s">
        <v>1564</v>
      </c>
      <c r="F341" s="6">
        <v>800</v>
      </c>
      <c r="G341" s="6" t="s">
        <v>26</v>
      </c>
      <c r="H341" s="6"/>
      <c r="I341" s="6"/>
      <c r="J341" s="6"/>
      <c r="K341" s="7">
        <v>41057</v>
      </c>
      <c r="L341" s="30">
        <v>1953375</v>
      </c>
      <c r="M341" s="30">
        <v>1908189</v>
      </c>
      <c r="N341" s="6" t="s">
        <v>30</v>
      </c>
      <c r="O341" s="31">
        <v>43103</v>
      </c>
      <c r="P341" s="32" t="e">
        <f>VLOOKUP(Table311[[#This Row],[UNIT NO.]],[1]!Table35711[[#Headers],[#Data],[Unit '#]:[Application/Sold/ Unsold]],7,0)</f>
        <v>#REF!</v>
      </c>
      <c r="S341" s="64"/>
    </row>
    <row r="342" spans="2:19" ht="26.25" x14ac:dyDescent="0.25">
      <c r="B342" s="5">
        <f t="shared" si="5"/>
        <v>339</v>
      </c>
      <c r="C342" s="29" t="s">
        <v>1565</v>
      </c>
      <c r="D342" s="6" t="s">
        <v>902</v>
      </c>
      <c r="E342" s="29" t="s">
        <v>1566</v>
      </c>
      <c r="F342" s="6">
        <v>800</v>
      </c>
      <c r="G342" s="6" t="s">
        <v>26</v>
      </c>
      <c r="H342" s="6"/>
      <c r="I342" s="6"/>
      <c r="J342" s="6"/>
      <c r="K342" s="7">
        <v>40999</v>
      </c>
      <c r="L342" s="30">
        <v>1868300</v>
      </c>
      <c r="M342" s="30">
        <v>1784545</v>
      </c>
      <c r="N342" s="6" t="s">
        <v>27</v>
      </c>
      <c r="O342" s="31">
        <v>43103</v>
      </c>
      <c r="P342" s="32" t="e">
        <f>VLOOKUP(Table311[[#This Row],[UNIT NO.]],[1]!Table35711[[#Headers],[#Data],[Unit '#]:[Application/Sold/ Unsold]],7,0)</f>
        <v>#REF!</v>
      </c>
      <c r="S342" s="64"/>
    </row>
    <row r="343" spans="2:19" ht="26.25" x14ac:dyDescent="0.25">
      <c r="B343" s="5">
        <f t="shared" si="5"/>
        <v>340</v>
      </c>
      <c r="C343" s="29" t="s">
        <v>1567</v>
      </c>
      <c r="D343" s="6" t="s">
        <v>902</v>
      </c>
      <c r="E343" s="29" t="s">
        <v>1568</v>
      </c>
      <c r="F343" s="6">
        <v>800</v>
      </c>
      <c r="G343" s="6" t="s">
        <v>26</v>
      </c>
      <c r="H343" s="6"/>
      <c r="I343" s="6"/>
      <c r="J343" s="6"/>
      <c r="K343" s="7">
        <v>41102</v>
      </c>
      <c r="L343" s="30">
        <v>2179225</v>
      </c>
      <c r="M343" s="30">
        <v>2070235</v>
      </c>
      <c r="N343" s="6" t="s">
        <v>30</v>
      </c>
      <c r="O343" s="31">
        <v>43103</v>
      </c>
      <c r="P343" s="32" t="e">
        <f>VLOOKUP(Table311[[#This Row],[UNIT NO.]],[1]!Table35711[[#Headers],[#Data],[Unit '#]:[Application/Sold/ Unsold]],7,0)</f>
        <v>#REF!</v>
      </c>
      <c r="S343" s="64"/>
    </row>
    <row r="344" spans="2:19" ht="39" x14ac:dyDescent="0.25">
      <c r="B344" s="5">
        <f t="shared" si="5"/>
        <v>341</v>
      </c>
      <c r="C344" s="29" t="s">
        <v>1569</v>
      </c>
      <c r="D344" s="6" t="s">
        <v>902</v>
      </c>
      <c r="E344" s="29" t="s">
        <v>1570</v>
      </c>
      <c r="F344" s="6">
        <v>800</v>
      </c>
      <c r="G344" s="6" t="s">
        <v>26</v>
      </c>
      <c r="H344" s="6"/>
      <c r="I344" s="6"/>
      <c r="J344" s="6"/>
      <c r="K344" s="7">
        <v>40985</v>
      </c>
      <c r="L344" s="30">
        <v>1802425</v>
      </c>
      <c r="M344" s="30">
        <v>1712063</v>
      </c>
      <c r="N344" s="6" t="s">
        <v>27</v>
      </c>
      <c r="O344" s="31">
        <v>43103</v>
      </c>
      <c r="P344" s="32" t="e">
        <f>VLOOKUP(Table311[[#This Row],[UNIT NO.]],[1]!Table35711[[#Headers],[#Data],[Unit '#]:[Application/Sold/ Unsold]],7,0)</f>
        <v>#REF!</v>
      </c>
      <c r="S344" s="64"/>
    </row>
    <row r="345" spans="2:19" ht="26.25" x14ac:dyDescent="0.25">
      <c r="B345" s="5">
        <f t="shared" si="5"/>
        <v>342</v>
      </c>
      <c r="C345" s="29" t="s">
        <v>1571</v>
      </c>
      <c r="D345" s="6" t="s">
        <v>902</v>
      </c>
      <c r="E345" s="29" t="s">
        <v>1572</v>
      </c>
      <c r="F345" s="6">
        <v>800</v>
      </c>
      <c r="G345" s="6" t="s">
        <v>26</v>
      </c>
      <c r="H345" s="6"/>
      <c r="I345" s="6"/>
      <c r="J345" s="6"/>
      <c r="K345" s="7">
        <v>41133</v>
      </c>
      <c r="L345" s="30">
        <v>2180425</v>
      </c>
      <c r="M345" s="30">
        <v>1974289</v>
      </c>
      <c r="N345" s="6" t="s">
        <v>30</v>
      </c>
      <c r="O345" s="31">
        <v>43103</v>
      </c>
      <c r="P345" s="32" t="e">
        <f>VLOOKUP(Table311[[#This Row],[UNIT NO.]],[1]!Table35711[[#Headers],[#Data],[Unit '#]:[Application/Sold/ Unsold]],7,0)</f>
        <v>#REF!</v>
      </c>
      <c r="S345" s="64"/>
    </row>
    <row r="346" spans="2:19" ht="26.25" x14ac:dyDescent="0.25">
      <c r="B346" s="5">
        <f t="shared" si="5"/>
        <v>343</v>
      </c>
      <c r="C346" s="29" t="s">
        <v>1573</v>
      </c>
      <c r="D346" s="6" t="s">
        <v>902</v>
      </c>
      <c r="E346" s="29" t="s">
        <v>1574</v>
      </c>
      <c r="F346" s="6">
        <v>800</v>
      </c>
      <c r="G346" s="6" t="s">
        <v>26</v>
      </c>
      <c r="H346" s="6"/>
      <c r="I346" s="6"/>
      <c r="J346" s="6"/>
      <c r="K346" s="7">
        <v>40985</v>
      </c>
      <c r="L346" s="30">
        <v>1802425</v>
      </c>
      <c r="M346" s="30">
        <v>1711903</v>
      </c>
      <c r="N346" s="6" t="s">
        <v>27</v>
      </c>
      <c r="O346" s="31">
        <v>43103</v>
      </c>
      <c r="P346" s="32" t="e">
        <f>VLOOKUP(Table311[[#This Row],[UNIT NO.]],[1]!Table35711[[#Headers],[#Data],[Unit '#]:[Application/Sold/ Unsold]],7,0)</f>
        <v>#REF!</v>
      </c>
      <c r="S346" s="64"/>
    </row>
    <row r="347" spans="2:19" ht="39" x14ac:dyDescent="0.25">
      <c r="B347" s="5">
        <f t="shared" si="5"/>
        <v>344</v>
      </c>
      <c r="C347" s="29" t="s">
        <v>1575</v>
      </c>
      <c r="D347" s="6" t="s">
        <v>902</v>
      </c>
      <c r="E347" s="29" t="s">
        <v>1576</v>
      </c>
      <c r="F347" s="6">
        <v>800</v>
      </c>
      <c r="G347" s="6" t="s">
        <v>26</v>
      </c>
      <c r="H347" s="6"/>
      <c r="I347" s="6"/>
      <c r="J347" s="6"/>
      <c r="K347" s="7">
        <v>41005</v>
      </c>
      <c r="L347" s="30">
        <v>1926650</v>
      </c>
      <c r="M347" s="30">
        <v>1926650</v>
      </c>
      <c r="N347" s="6" t="s">
        <v>30</v>
      </c>
      <c r="O347" s="31">
        <v>43103</v>
      </c>
      <c r="P347" s="32" t="e">
        <f>VLOOKUP(Table311[[#This Row],[UNIT NO.]],[1]!Table35711[[#Headers],[#Data],[Unit '#]:[Application/Sold/ Unsold]],7,0)</f>
        <v>#REF!</v>
      </c>
      <c r="S347" s="64"/>
    </row>
    <row r="348" spans="2:19" ht="26.25" x14ac:dyDescent="0.25">
      <c r="B348" s="5">
        <f t="shared" si="5"/>
        <v>345</v>
      </c>
      <c r="C348" s="29" t="s">
        <v>1577</v>
      </c>
      <c r="D348" s="6" t="s">
        <v>902</v>
      </c>
      <c r="E348" s="29" t="s">
        <v>1578</v>
      </c>
      <c r="F348" s="6">
        <v>800</v>
      </c>
      <c r="G348" s="6" t="s">
        <v>26</v>
      </c>
      <c r="H348" s="6"/>
      <c r="I348" s="6"/>
      <c r="J348" s="6"/>
      <c r="K348" s="7">
        <v>41096</v>
      </c>
      <c r="L348" s="30">
        <v>2055000</v>
      </c>
      <c r="M348" s="30">
        <v>2055000</v>
      </c>
      <c r="N348" s="6" t="s">
        <v>30</v>
      </c>
      <c r="O348" s="31">
        <v>43103</v>
      </c>
      <c r="P348" s="32" t="e">
        <f>VLOOKUP(Table311[[#This Row],[UNIT NO.]],[1]!Table35711[[#Headers],[#Data],[Unit '#]:[Application/Sold/ Unsold]],7,0)</f>
        <v>#REF!</v>
      </c>
      <c r="S348" s="64"/>
    </row>
    <row r="349" spans="2:19" ht="39" x14ac:dyDescent="0.25">
      <c r="B349" s="5">
        <f t="shared" si="5"/>
        <v>346</v>
      </c>
      <c r="C349" s="29" t="s">
        <v>1579</v>
      </c>
      <c r="D349" s="6" t="s">
        <v>902</v>
      </c>
      <c r="E349" s="29" t="s">
        <v>1580</v>
      </c>
      <c r="F349" s="6">
        <v>800</v>
      </c>
      <c r="G349" s="6" t="s">
        <v>26</v>
      </c>
      <c r="H349" s="6"/>
      <c r="I349" s="6"/>
      <c r="J349" s="6"/>
      <c r="K349" s="7">
        <v>40985</v>
      </c>
      <c r="L349" s="30">
        <v>1764625</v>
      </c>
      <c r="M349" s="30">
        <v>1676258.5</v>
      </c>
      <c r="N349" s="6" t="s">
        <v>30</v>
      </c>
      <c r="O349" s="31">
        <v>43103</v>
      </c>
      <c r="P349" s="32" t="e">
        <f>VLOOKUP(Table311[[#This Row],[UNIT NO.]],[1]!Table35711[[#Headers],[#Data],[Unit '#]:[Application/Sold/ Unsold]],7,0)</f>
        <v>#REF!</v>
      </c>
      <c r="S349" s="64"/>
    </row>
    <row r="350" spans="2:19" ht="26.25" x14ac:dyDescent="0.25">
      <c r="B350" s="5">
        <f t="shared" si="5"/>
        <v>347</v>
      </c>
      <c r="C350" s="29" t="s">
        <v>1581</v>
      </c>
      <c r="D350" s="6" t="s">
        <v>902</v>
      </c>
      <c r="E350" s="29" t="s">
        <v>1582</v>
      </c>
      <c r="F350" s="6">
        <v>800</v>
      </c>
      <c r="G350" s="6" t="s">
        <v>26</v>
      </c>
      <c r="H350" s="6"/>
      <c r="I350" s="6"/>
      <c r="J350" s="6"/>
      <c r="K350" s="7">
        <v>40993</v>
      </c>
      <c r="L350" s="30">
        <v>1905000</v>
      </c>
      <c r="M350" s="30">
        <f>1905000-95808</f>
        <v>1809192</v>
      </c>
      <c r="N350" s="6" t="s">
        <v>27</v>
      </c>
      <c r="O350" s="31">
        <v>43103</v>
      </c>
      <c r="P350" s="32" t="e">
        <f>VLOOKUP(Table311[[#This Row],[UNIT NO.]],[1]!Table35711[[#Headers],[#Data],[Unit '#]:[Application/Sold/ Unsold]],7,0)</f>
        <v>#REF!</v>
      </c>
      <c r="S350" s="64"/>
    </row>
    <row r="351" spans="2:19" ht="39" x14ac:dyDescent="0.25">
      <c r="B351" s="5">
        <f t="shared" si="5"/>
        <v>348</v>
      </c>
      <c r="C351" s="29" t="s">
        <v>1583</v>
      </c>
      <c r="D351" s="6" t="s">
        <v>902</v>
      </c>
      <c r="E351" s="29" t="s">
        <v>1584</v>
      </c>
      <c r="F351" s="6">
        <v>800</v>
      </c>
      <c r="G351" s="6" t="s">
        <v>26</v>
      </c>
      <c r="H351" s="6"/>
      <c r="I351" s="6"/>
      <c r="J351" s="6"/>
      <c r="K351" s="7">
        <v>41022</v>
      </c>
      <c r="L351" s="30">
        <v>1950225</v>
      </c>
      <c r="M351" s="30">
        <v>1851353</v>
      </c>
      <c r="N351" s="6" t="s">
        <v>27</v>
      </c>
      <c r="O351" s="31">
        <v>43103</v>
      </c>
      <c r="P351" s="32" t="e">
        <f>VLOOKUP(Table311[[#This Row],[UNIT NO.]],[1]!Table35711[[#Headers],[#Data],[Unit '#]:[Application/Sold/ Unsold]],7,0)</f>
        <v>#REF!</v>
      </c>
      <c r="S351" s="64"/>
    </row>
    <row r="352" spans="2:19" ht="26.25" x14ac:dyDescent="0.25">
      <c r="B352" s="5">
        <f t="shared" si="5"/>
        <v>349</v>
      </c>
      <c r="C352" s="29" t="s">
        <v>1585</v>
      </c>
      <c r="D352" s="6" t="s">
        <v>902</v>
      </c>
      <c r="E352" s="29" t="s">
        <v>1586</v>
      </c>
      <c r="F352" s="6">
        <v>800</v>
      </c>
      <c r="G352" s="6" t="s">
        <v>26</v>
      </c>
      <c r="H352" s="6"/>
      <c r="I352" s="6"/>
      <c r="J352" s="6"/>
      <c r="K352" s="7">
        <v>41005</v>
      </c>
      <c r="L352" s="30">
        <v>1887850</v>
      </c>
      <c r="M352" s="30">
        <v>1792741</v>
      </c>
      <c r="N352" s="6" t="s">
        <v>27</v>
      </c>
      <c r="O352" s="31">
        <v>43103</v>
      </c>
      <c r="P352" s="32" t="e">
        <f>VLOOKUP(Table311[[#This Row],[UNIT NO.]],[1]!Table35711[[#Headers],[#Data],[Unit '#]:[Application/Sold/ Unsold]],7,0)</f>
        <v>#REF!</v>
      </c>
      <c r="S352" s="64"/>
    </row>
    <row r="353" spans="2:19" ht="26.25" x14ac:dyDescent="0.25">
      <c r="B353" s="5">
        <f t="shared" si="5"/>
        <v>350</v>
      </c>
      <c r="C353" s="29" t="s">
        <v>1587</v>
      </c>
      <c r="D353" s="6" t="s">
        <v>902</v>
      </c>
      <c r="E353" s="29" t="s">
        <v>1588</v>
      </c>
      <c r="F353" s="6">
        <v>800</v>
      </c>
      <c r="G353" s="6" t="s">
        <v>26</v>
      </c>
      <c r="H353" s="6"/>
      <c r="I353" s="6"/>
      <c r="J353" s="6"/>
      <c r="K353" s="7">
        <v>41022</v>
      </c>
      <c r="L353" s="30">
        <v>1909750</v>
      </c>
      <c r="M353" s="30">
        <v>1812496</v>
      </c>
      <c r="N353" s="6" t="s">
        <v>30</v>
      </c>
      <c r="O353" s="31">
        <v>43103</v>
      </c>
      <c r="P353" s="32" t="e">
        <f>VLOOKUP(Table311[[#This Row],[UNIT NO.]],[1]!Table35711[[#Headers],[#Data],[Unit '#]:[Application/Sold/ Unsold]],7,0)</f>
        <v>#REF!</v>
      </c>
      <c r="S353" s="64"/>
    </row>
    <row r="354" spans="2:19" ht="39" x14ac:dyDescent="0.25">
      <c r="B354" s="5">
        <f t="shared" si="5"/>
        <v>351</v>
      </c>
      <c r="C354" s="29" t="s">
        <v>1589</v>
      </c>
      <c r="D354" s="6" t="s">
        <v>902</v>
      </c>
      <c r="E354" s="29" t="s">
        <v>1590</v>
      </c>
      <c r="F354" s="6">
        <v>800</v>
      </c>
      <c r="G354" s="6" t="s">
        <v>26</v>
      </c>
      <c r="H354" s="6"/>
      <c r="I354" s="6"/>
      <c r="J354" s="6"/>
      <c r="K354" s="7">
        <v>41022</v>
      </c>
      <c r="L354" s="30">
        <v>1847000</v>
      </c>
      <c r="M354" s="30">
        <v>1651882</v>
      </c>
      <c r="N354" s="6" t="s">
        <v>955</v>
      </c>
      <c r="O354" s="31">
        <v>43103</v>
      </c>
      <c r="P354" s="32" t="e">
        <f>VLOOKUP(Table311[[#This Row],[UNIT NO.]],[1]!Table35711[[#Headers],[#Data],[Unit '#]:[Application/Sold/ Unsold]],7,0)</f>
        <v>#REF!</v>
      </c>
      <c r="S354" s="64"/>
    </row>
    <row r="355" spans="2:19" ht="26.25" x14ac:dyDescent="0.25">
      <c r="B355" s="5">
        <f t="shared" si="5"/>
        <v>352</v>
      </c>
      <c r="C355" s="29" t="s">
        <v>1591</v>
      </c>
      <c r="D355" s="6" t="s">
        <v>902</v>
      </c>
      <c r="E355" s="29" t="s">
        <v>1592</v>
      </c>
      <c r="F355" s="6">
        <v>800</v>
      </c>
      <c r="G355" s="6" t="s">
        <v>26</v>
      </c>
      <c r="H355" s="6"/>
      <c r="I355" s="6"/>
      <c r="J355" s="6"/>
      <c r="K355" s="7">
        <v>41031</v>
      </c>
      <c r="L355" s="30">
        <v>1950225</v>
      </c>
      <c r="M355" s="30">
        <v>1851360</v>
      </c>
      <c r="N355" s="6" t="s">
        <v>27</v>
      </c>
      <c r="O355" s="31">
        <v>43103</v>
      </c>
      <c r="P355" s="32" t="e">
        <f>VLOOKUP(Table311[[#This Row],[UNIT NO.]],[1]!Table35711[[#Headers],[#Data],[Unit '#]:[Application/Sold/ Unsold]],7,0)</f>
        <v>#REF!</v>
      </c>
      <c r="S355" s="64"/>
    </row>
    <row r="356" spans="2:19" ht="26.25" x14ac:dyDescent="0.25">
      <c r="B356" s="5">
        <f t="shared" si="5"/>
        <v>353</v>
      </c>
      <c r="C356" s="29" t="s">
        <v>1593</v>
      </c>
      <c r="D356" s="6" t="s">
        <v>902</v>
      </c>
      <c r="E356" s="29" t="s">
        <v>1594</v>
      </c>
      <c r="F356" s="6">
        <v>800</v>
      </c>
      <c r="G356" s="6" t="s">
        <v>26</v>
      </c>
      <c r="H356" s="6"/>
      <c r="I356" s="6"/>
      <c r="J356" s="6"/>
      <c r="K356" s="7">
        <v>41046</v>
      </c>
      <c r="L356" s="30">
        <v>1845000</v>
      </c>
      <c r="M356" s="30">
        <v>1752025</v>
      </c>
      <c r="N356" s="6" t="s">
        <v>27</v>
      </c>
      <c r="O356" s="31">
        <v>43103</v>
      </c>
      <c r="P356" s="32" t="e">
        <f>VLOOKUP(Table311[[#This Row],[UNIT NO.]],[1]!Table35711[[#Headers],[#Data],[Unit '#]:[Application/Sold/ Unsold]],7,0)</f>
        <v>#REF!</v>
      </c>
      <c r="S356" s="64"/>
    </row>
    <row r="357" spans="2:19" ht="26.25" x14ac:dyDescent="0.25">
      <c r="B357" s="5">
        <f t="shared" si="5"/>
        <v>354</v>
      </c>
      <c r="C357" s="29" t="s">
        <v>1595</v>
      </c>
      <c r="D357" s="6" t="s">
        <v>902</v>
      </c>
      <c r="E357" s="29" t="s">
        <v>1596</v>
      </c>
      <c r="F357" s="6">
        <v>800</v>
      </c>
      <c r="G357" s="6" t="s">
        <v>26</v>
      </c>
      <c r="H357" s="6"/>
      <c r="I357" s="6"/>
      <c r="J357" s="6"/>
      <c r="K357" s="7">
        <v>41022</v>
      </c>
      <c r="L357" s="30">
        <v>1947850</v>
      </c>
      <c r="M357" s="30">
        <v>1848662</v>
      </c>
      <c r="N357" s="6" t="s">
        <v>30</v>
      </c>
      <c r="O357" s="31">
        <v>43103</v>
      </c>
      <c r="P357" s="32" t="e">
        <f>VLOOKUP(Table311[[#This Row],[UNIT NO.]],[1]!Table35711[[#Headers],[#Data],[Unit '#]:[Application/Sold/ Unsold]],7,0)</f>
        <v>#REF!</v>
      </c>
      <c r="S357" s="64"/>
    </row>
    <row r="358" spans="2:19" ht="39" x14ac:dyDescent="0.25">
      <c r="B358" s="5">
        <f t="shared" si="5"/>
        <v>355</v>
      </c>
      <c r="C358" s="29" t="s">
        <v>1597</v>
      </c>
      <c r="D358" s="6" t="s">
        <v>902</v>
      </c>
      <c r="E358" s="29" t="s">
        <v>1598</v>
      </c>
      <c r="F358" s="6">
        <v>800</v>
      </c>
      <c r="G358" s="6" t="s">
        <v>26</v>
      </c>
      <c r="H358" s="6"/>
      <c r="I358" s="6"/>
      <c r="J358" s="6"/>
      <c r="K358" s="7">
        <v>41026</v>
      </c>
      <c r="L358" s="30">
        <v>1920400</v>
      </c>
      <c r="M358" s="30">
        <v>1823408</v>
      </c>
      <c r="N358" s="6" t="s">
        <v>30</v>
      </c>
      <c r="O358" s="31">
        <v>43103</v>
      </c>
      <c r="P358" s="32" t="e">
        <f>VLOOKUP(Table311[[#This Row],[UNIT NO.]],[1]!Table35711[[#Headers],[#Data],[Unit '#]:[Application/Sold/ Unsold]],7,0)</f>
        <v>#REF!</v>
      </c>
      <c r="S358" s="64"/>
    </row>
    <row r="359" spans="2:19" ht="26.25" x14ac:dyDescent="0.25">
      <c r="B359" s="5">
        <f t="shared" si="5"/>
        <v>356</v>
      </c>
      <c r="C359" s="29" t="s">
        <v>1599</v>
      </c>
      <c r="D359" s="6" t="s">
        <v>902</v>
      </c>
      <c r="E359" s="29" t="s">
        <v>1600</v>
      </c>
      <c r="F359" s="6">
        <v>800</v>
      </c>
      <c r="G359" s="6" t="s">
        <v>26</v>
      </c>
      <c r="H359" s="6"/>
      <c r="I359" s="6"/>
      <c r="J359" s="6"/>
      <c r="K359" s="7">
        <v>41068</v>
      </c>
      <c r="L359" s="30">
        <v>1898025</v>
      </c>
      <c r="M359" s="30">
        <v>1802569</v>
      </c>
      <c r="N359" s="6" t="s">
        <v>30</v>
      </c>
      <c r="O359" s="31">
        <v>43103</v>
      </c>
      <c r="P359" s="32" t="e">
        <f>VLOOKUP(Table311[[#This Row],[UNIT NO.]],[1]!Table35711[[#Headers],[#Data],[Unit '#]:[Application/Sold/ Unsold]],7,0)</f>
        <v>#REF!</v>
      </c>
      <c r="S359" s="64"/>
    </row>
    <row r="360" spans="2:19" ht="39" x14ac:dyDescent="0.25">
      <c r="B360" s="5">
        <f t="shared" si="5"/>
        <v>357</v>
      </c>
      <c r="C360" s="29" t="s">
        <v>1601</v>
      </c>
      <c r="D360" s="6" t="s">
        <v>902</v>
      </c>
      <c r="E360" s="29" t="s">
        <v>1602</v>
      </c>
      <c r="F360" s="6">
        <v>800</v>
      </c>
      <c r="G360" s="6" t="s">
        <v>26</v>
      </c>
      <c r="H360" s="6"/>
      <c r="I360" s="6"/>
      <c r="J360" s="6"/>
      <c r="K360" s="7">
        <v>40999</v>
      </c>
      <c r="L360" s="30">
        <v>1821075</v>
      </c>
      <c r="M360" s="30">
        <v>1729891</v>
      </c>
      <c r="N360" s="6" t="s">
        <v>27</v>
      </c>
      <c r="O360" s="31">
        <v>43103</v>
      </c>
      <c r="P360" s="32" t="e">
        <f>VLOOKUP(Table311[[#This Row],[UNIT NO.]],[1]!Table35711[[#Headers],[#Data],[Unit '#]:[Application/Sold/ Unsold]],7,0)</f>
        <v>#REF!</v>
      </c>
      <c r="S360" s="64"/>
    </row>
    <row r="361" spans="2:19" ht="26.25" x14ac:dyDescent="0.25">
      <c r="B361" s="5">
        <f t="shared" si="5"/>
        <v>358</v>
      </c>
      <c r="C361" s="29" t="s">
        <v>1603</v>
      </c>
      <c r="D361" s="6" t="s">
        <v>902</v>
      </c>
      <c r="E361" s="29" t="s">
        <v>1604</v>
      </c>
      <c r="F361" s="6">
        <v>800</v>
      </c>
      <c r="G361" s="6" t="s">
        <v>26</v>
      </c>
      <c r="H361" s="6"/>
      <c r="I361" s="6"/>
      <c r="J361" s="6"/>
      <c r="K361" s="7">
        <v>41164</v>
      </c>
      <c r="L361" s="30">
        <v>2175750</v>
      </c>
      <c r="M361" s="30">
        <v>2175750</v>
      </c>
      <c r="N361" s="6" t="s">
        <v>27</v>
      </c>
      <c r="O361" s="31">
        <v>43103</v>
      </c>
      <c r="P361" s="32" t="e">
        <f>VLOOKUP(Table311[[#This Row],[UNIT NO.]],[1]!Table35711[[#Headers],[#Data],[Unit '#]:[Application/Sold/ Unsold]],7,0)</f>
        <v>#REF!</v>
      </c>
      <c r="S361" s="64"/>
    </row>
    <row r="362" spans="2:19" ht="26.25" x14ac:dyDescent="0.25">
      <c r="B362" s="5">
        <f t="shared" si="5"/>
        <v>359</v>
      </c>
      <c r="C362" s="29" t="s">
        <v>1605</v>
      </c>
      <c r="D362" s="6" t="s">
        <v>902</v>
      </c>
      <c r="E362" s="29" t="s">
        <v>1606</v>
      </c>
      <c r="F362" s="6">
        <v>800</v>
      </c>
      <c r="G362" s="6" t="s">
        <v>26</v>
      </c>
      <c r="H362" s="6"/>
      <c r="I362" s="6"/>
      <c r="J362" s="6"/>
      <c r="K362" s="7">
        <v>41371</v>
      </c>
      <c r="L362" s="30">
        <v>2206750</v>
      </c>
      <c r="M362" s="30">
        <v>2206750</v>
      </c>
      <c r="N362" s="6" t="s">
        <v>1492</v>
      </c>
      <c r="O362" s="31">
        <v>43103</v>
      </c>
      <c r="P362" s="32" t="e">
        <f>VLOOKUP(Table311[[#This Row],[UNIT NO.]],[1]!Table35711[[#Headers],[#Data],[Unit '#]:[Application/Sold/ Unsold]],7,0)</f>
        <v>#REF!</v>
      </c>
      <c r="S362" s="64"/>
    </row>
    <row r="363" spans="2:19" ht="26.25" x14ac:dyDescent="0.25">
      <c r="B363" s="5">
        <f t="shared" si="5"/>
        <v>360</v>
      </c>
      <c r="C363" s="29" t="s">
        <v>1607</v>
      </c>
      <c r="D363" s="6" t="s">
        <v>902</v>
      </c>
      <c r="E363" s="29" t="s">
        <v>1608</v>
      </c>
      <c r="F363" s="6">
        <v>800</v>
      </c>
      <c r="G363" s="6" t="s">
        <v>26</v>
      </c>
      <c r="H363" s="6"/>
      <c r="I363" s="6"/>
      <c r="J363" s="6"/>
      <c r="K363" s="7">
        <v>41181</v>
      </c>
      <c r="L363" s="30">
        <v>2021750</v>
      </c>
      <c r="M363" s="30">
        <v>1920662</v>
      </c>
      <c r="N363" s="6" t="s">
        <v>27</v>
      </c>
      <c r="O363" s="31">
        <v>43103</v>
      </c>
      <c r="P363" s="32" t="e">
        <f>VLOOKUP(Table311[[#This Row],[UNIT NO.]],[1]!Table35711[[#Headers],[#Data],[Unit '#]:[Application/Sold/ Unsold]],7,0)</f>
        <v>#REF!</v>
      </c>
      <c r="S363" s="64"/>
    </row>
    <row r="364" spans="2:19" ht="39" x14ac:dyDescent="0.25">
      <c r="B364" s="5">
        <f t="shared" si="5"/>
        <v>361</v>
      </c>
      <c r="C364" s="29" t="s">
        <v>1609</v>
      </c>
      <c r="D364" s="6" t="s">
        <v>902</v>
      </c>
      <c r="E364" s="29" t="s">
        <v>1610</v>
      </c>
      <c r="F364" s="6">
        <v>800</v>
      </c>
      <c r="G364" s="6" t="s">
        <v>26</v>
      </c>
      <c r="H364" s="6"/>
      <c r="I364" s="6"/>
      <c r="J364" s="6"/>
      <c r="K364" s="7">
        <v>41076</v>
      </c>
      <c r="L364" s="30">
        <v>1878025</v>
      </c>
      <c r="M364" s="30">
        <v>1878025</v>
      </c>
      <c r="N364" s="6" t="s">
        <v>30</v>
      </c>
      <c r="O364" s="31">
        <v>43103</v>
      </c>
      <c r="P364" s="32" t="e">
        <f>VLOOKUP(Table311[[#This Row],[UNIT NO.]],[1]!Table35711[[#Headers],[#Data],[Unit '#]:[Application/Sold/ Unsold]],7,0)</f>
        <v>#REF!</v>
      </c>
      <c r="S364" s="64"/>
    </row>
    <row r="365" spans="2:19" ht="26.25" x14ac:dyDescent="0.25">
      <c r="B365" s="5">
        <f t="shared" si="5"/>
        <v>362</v>
      </c>
      <c r="C365" s="29" t="s">
        <v>1611</v>
      </c>
      <c r="D365" s="6" t="s">
        <v>902</v>
      </c>
      <c r="E365" s="29" t="s">
        <v>1612</v>
      </c>
      <c r="F365" s="6">
        <v>800</v>
      </c>
      <c r="G365" s="6" t="s">
        <v>26</v>
      </c>
      <c r="H365" s="6"/>
      <c r="I365" s="6"/>
      <c r="J365" s="6"/>
      <c r="K365" s="7">
        <v>41164</v>
      </c>
      <c r="L365" s="30">
        <v>2375000</v>
      </c>
      <c r="M365" s="30">
        <v>2273291</v>
      </c>
      <c r="N365" s="6" t="s">
        <v>27</v>
      </c>
      <c r="O365" s="31">
        <v>43103</v>
      </c>
      <c r="P365" s="32" t="e">
        <f>VLOOKUP(Table311[[#This Row],[UNIT NO.]],[1]!Table35711[[#Headers],[#Data],[Unit '#]:[Application/Sold/ Unsold]],7,0)</f>
        <v>#REF!</v>
      </c>
      <c r="S365" s="64"/>
    </row>
    <row r="366" spans="2:19" ht="39" x14ac:dyDescent="0.25">
      <c r="B366" s="5">
        <f t="shared" si="5"/>
        <v>363</v>
      </c>
      <c r="C366" s="29" t="s">
        <v>1613</v>
      </c>
      <c r="D366" s="6" t="s">
        <v>902</v>
      </c>
      <c r="E366" s="29" t="s">
        <v>1614</v>
      </c>
      <c r="F366" s="6">
        <v>800</v>
      </c>
      <c r="G366" s="6" t="s">
        <v>26</v>
      </c>
      <c r="H366" s="6"/>
      <c r="I366" s="6"/>
      <c r="J366" s="6"/>
      <c r="K366" s="7">
        <v>41038</v>
      </c>
      <c r="L366" s="30">
        <v>1760100</v>
      </c>
      <c r="M366" s="30">
        <v>1760100</v>
      </c>
      <c r="N366" s="6" t="s">
        <v>27</v>
      </c>
      <c r="O366" s="31">
        <v>43103</v>
      </c>
      <c r="P366" s="32" t="e">
        <f>VLOOKUP(Table311[[#This Row],[UNIT NO.]],[1]!Table35711[[#Headers],[#Data],[Unit '#]:[Application/Sold/ Unsold]],7,0)</f>
        <v>#REF!</v>
      </c>
      <c r="S366" s="64"/>
    </row>
    <row r="367" spans="2:19" ht="26.25" x14ac:dyDescent="0.25">
      <c r="B367" s="5">
        <f t="shared" si="5"/>
        <v>364</v>
      </c>
      <c r="C367" s="29" t="s">
        <v>1615</v>
      </c>
      <c r="D367" s="6" t="s">
        <v>902</v>
      </c>
      <c r="E367" s="29" t="s">
        <v>1616</v>
      </c>
      <c r="F367" s="6">
        <v>800</v>
      </c>
      <c r="G367" s="6" t="s">
        <v>26</v>
      </c>
      <c r="H367" s="6"/>
      <c r="I367" s="6"/>
      <c r="J367" s="6"/>
      <c r="K367" s="7">
        <v>41068</v>
      </c>
      <c r="L367" s="30">
        <v>1860225</v>
      </c>
      <c r="M367" s="30">
        <v>1766695</v>
      </c>
      <c r="N367" s="6" t="s">
        <v>27</v>
      </c>
      <c r="O367" s="31">
        <v>43103</v>
      </c>
      <c r="P367" s="32" t="e">
        <f>VLOOKUP(Table311[[#This Row],[UNIT NO.]],[1]!Table35711[[#Headers],[#Data],[Unit '#]:[Application/Sold/ Unsold]],7,0)</f>
        <v>#REF!</v>
      </c>
      <c r="S367" s="64"/>
    </row>
    <row r="368" spans="2:19" ht="26.25" x14ac:dyDescent="0.25">
      <c r="B368" s="5">
        <f t="shared" si="5"/>
        <v>365</v>
      </c>
      <c r="C368" s="29" t="s">
        <v>1617</v>
      </c>
      <c r="D368" s="6" t="s">
        <v>902</v>
      </c>
      <c r="E368" s="29" t="s">
        <v>1618</v>
      </c>
      <c r="F368" s="6">
        <v>800</v>
      </c>
      <c r="G368" s="6" t="s">
        <v>26</v>
      </c>
      <c r="H368" s="6"/>
      <c r="I368" s="6"/>
      <c r="J368" s="6"/>
      <c r="K368" s="7">
        <v>41029</v>
      </c>
      <c r="L368" s="30">
        <v>1810250</v>
      </c>
      <c r="M368" s="30">
        <v>1718501</v>
      </c>
      <c r="N368" s="6" t="s">
        <v>27</v>
      </c>
      <c r="O368" s="31">
        <v>43103</v>
      </c>
      <c r="P368" s="32" t="e">
        <f>VLOOKUP(Table311[[#This Row],[UNIT NO.]],[1]!Table35711[[#Headers],[#Data],[Unit '#]:[Application/Sold/ Unsold]],7,0)</f>
        <v>#REF!</v>
      </c>
      <c r="S368" s="64"/>
    </row>
    <row r="369" spans="2:19" ht="26.25" x14ac:dyDescent="0.25">
      <c r="B369" s="5">
        <f t="shared" si="5"/>
        <v>366</v>
      </c>
      <c r="C369" s="29" t="s">
        <v>1619</v>
      </c>
      <c r="D369" s="6" t="s">
        <v>902</v>
      </c>
      <c r="E369" s="29" t="s">
        <v>1620</v>
      </c>
      <c r="F369" s="6">
        <v>800</v>
      </c>
      <c r="G369" s="6" t="s">
        <v>26</v>
      </c>
      <c r="H369" s="6"/>
      <c r="I369" s="6"/>
      <c r="J369" s="6"/>
      <c r="K369" s="7">
        <v>41022</v>
      </c>
      <c r="L369" s="30">
        <v>1870250</v>
      </c>
      <c r="M369" s="30">
        <v>1774939.77</v>
      </c>
      <c r="N369" s="6" t="s">
        <v>30</v>
      </c>
      <c r="O369" s="31">
        <v>43103</v>
      </c>
      <c r="P369" s="32" t="e">
        <f>VLOOKUP(Table311[[#This Row],[UNIT NO.]],[1]!Table35711[[#Headers],[#Data],[Unit '#]:[Application/Sold/ Unsold]],7,0)</f>
        <v>#REF!</v>
      </c>
      <c r="S369" s="64"/>
    </row>
    <row r="370" spans="2:19" ht="26.25" x14ac:dyDescent="0.25">
      <c r="B370" s="5">
        <f t="shared" si="5"/>
        <v>367</v>
      </c>
      <c r="C370" s="29" t="s">
        <v>1621</v>
      </c>
      <c r="D370" s="6" t="s">
        <v>902</v>
      </c>
      <c r="E370" s="29" t="s">
        <v>1622</v>
      </c>
      <c r="F370" s="6">
        <v>800</v>
      </c>
      <c r="G370" s="6" t="s">
        <v>26</v>
      </c>
      <c r="H370" s="6"/>
      <c r="I370" s="6"/>
      <c r="J370" s="6"/>
      <c r="K370" s="7">
        <v>41046</v>
      </c>
      <c r="L370" s="30">
        <v>1764625</v>
      </c>
      <c r="M370" s="30">
        <v>1728939</v>
      </c>
      <c r="N370" s="6" t="s">
        <v>27</v>
      </c>
      <c r="O370" s="31">
        <v>43103</v>
      </c>
      <c r="P370" s="32" t="e">
        <f>VLOOKUP(Table311[[#This Row],[UNIT NO.]],[1]!Table35711[[#Headers],[#Data],[Unit '#]:[Application/Sold/ Unsold]],7,0)</f>
        <v>#REF!</v>
      </c>
      <c r="S370" s="64"/>
    </row>
    <row r="371" spans="2:19" ht="26.25" x14ac:dyDescent="0.25">
      <c r="B371" s="5">
        <f t="shared" si="5"/>
        <v>368</v>
      </c>
      <c r="C371" s="29" t="s">
        <v>1623</v>
      </c>
      <c r="D371" s="6" t="s">
        <v>902</v>
      </c>
      <c r="E371" s="29" t="s">
        <v>1624</v>
      </c>
      <c r="F371" s="6">
        <v>800</v>
      </c>
      <c r="G371" s="6" t="s">
        <v>26</v>
      </c>
      <c r="H371" s="6"/>
      <c r="I371" s="6"/>
      <c r="J371" s="6"/>
      <c r="K371" s="7">
        <v>41144</v>
      </c>
      <c r="L371" s="30">
        <v>1984000</v>
      </c>
      <c r="M371" s="30">
        <v>1884797</v>
      </c>
      <c r="N371" s="6" t="s">
        <v>1625</v>
      </c>
      <c r="O371" s="31">
        <v>43103</v>
      </c>
      <c r="P371" s="32" t="e">
        <f>VLOOKUP(Table311[[#This Row],[UNIT NO.]],[1]!Table35711[[#Headers],[#Data],[Unit '#]:[Application/Sold/ Unsold]],7,0)</f>
        <v>#REF!</v>
      </c>
      <c r="S371" s="64"/>
    </row>
    <row r="372" spans="2:19" ht="39" x14ac:dyDescent="0.25">
      <c r="B372" s="5">
        <f t="shared" si="5"/>
        <v>369</v>
      </c>
      <c r="C372" s="29" t="s">
        <v>1626</v>
      </c>
      <c r="D372" s="6" t="s">
        <v>902</v>
      </c>
      <c r="E372" s="29" t="s">
        <v>1627</v>
      </c>
      <c r="F372" s="6">
        <v>800</v>
      </c>
      <c r="G372" s="6" t="s">
        <v>26</v>
      </c>
      <c r="H372" s="6"/>
      <c r="I372" s="6"/>
      <c r="J372" s="6"/>
      <c r="K372" s="7">
        <v>41045</v>
      </c>
      <c r="L372" s="30">
        <v>1915000</v>
      </c>
      <c r="M372" s="30">
        <v>1818768</v>
      </c>
      <c r="N372" s="6" t="s">
        <v>1628</v>
      </c>
      <c r="O372" s="31">
        <v>43103</v>
      </c>
      <c r="P372" s="32" t="e">
        <f>VLOOKUP(Table311[[#This Row],[UNIT NO.]],[1]!Table35711[[#Headers],[#Data],[Unit '#]:[Application/Sold/ Unsold]],7,0)</f>
        <v>#REF!</v>
      </c>
      <c r="S372" s="64"/>
    </row>
    <row r="373" spans="2:19" x14ac:dyDescent="0.25">
      <c r="B373" s="5">
        <f t="shared" si="5"/>
        <v>370</v>
      </c>
      <c r="C373" s="29" t="s">
        <v>306</v>
      </c>
      <c r="D373" s="6" t="s">
        <v>902</v>
      </c>
      <c r="E373" s="29" t="s">
        <v>1629</v>
      </c>
      <c r="F373" s="6">
        <v>800</v>
      </c>
      <c r="G373" s="6" t="s">
        <v>26</v>
      </c>
      <c r="H373" s="6"/>
      <c r="I373" s="6"/>
      <c r="J373" s="6"/>
      <c r="K373" s="7">
        <v>41198</v>
      </c>
      <c r="L373" s="30">
        <v>2125000</v>
      </c>
      <c r="M373" s="30">
        <v>1842308</v>
      </c>
      <c r="N373" s="6" t="s">
        <v>27</v>
      </c>
      <c r="O373" s="31">
        <v>43103</v>
      </c>
      <c r="P373" s="32" t="e">
        <f>VLOOKUP(Table311[[#This Row],[UNIT NO.]],[1]!Table35711[[#Headers],[#Data],[Unit '#]:[Application/Sold/ Unsold]],7,0)</f>
        <v>#REF!</v>
      </c>
      <c r="S373" s="64"/>
    </row>
    <row r="374" spans="2:19" ht="26.25" x14ac:dyDescent="0.25">
      <c r="B374" s="5">
        <f t="shared" si="5"/>
        <v>371</v>
      </c>
      <c r="C374" s="29" t="s">
        <v>1630</v>
      </c>
      <c r="D374" s="6" t="s">
        <v>902</v>
      </c>
      <c r="E374" s="29" t="s">
        <v>1631</v>
      </c>
      <c r="F374" s="6">
        <v>800</v>
      </c>
      <c r="G374" s="6" t="s">
        <v>26</v>
      </c>
      <c r="H374" s="6"/>
      <c r="I374" s="6"/>
      <c r="J374" s="6"/>
      <c r="K374" s="7">
        <v>41038</v>
      </c>
      <c r="L374" s="30">
        <v>1816825</v>
      </c>
      <c r="M374" s="30">
        <v>1724985</v>
      </c>
      <c r="N374" s="6" t="s">
        <v>30</v>
      </c>
      <c r="O374" s="31">
        <v>43103</v>
      </c>
      <c r="P374" s="32" t="e">
        <f>VLOOKUP(Table311[[#This Row],[UNIT NO.]],[1]!Table35711[[#Headers],[#Data],[Unit '#]:[Application/Sold/ Unsold]],7,0)</f>
        <v>#REF!</v>
      </c>
      <c r="S374" s="64"/>
    </row>
    <row r="375" spans="2:19" ht="26.25" x14ac:dyDescent="0.25">
      <c r="B375" s="5">
        <f t="shared" si="5"/>
        <v>372</v>
      </c>
      <c r="C375" s="29" t="s">
        <v>1632</v>
      </c>
      <c r="D375" s="6" t="s">
        <v>902</v>
      </c>
      <c r="E375" s="29" t="s">
        <v>1633</v>
      </c>
      <c r="F375" s="6">
        <v>800</v>
      </c>
      <c r="G375" s="6" t="s">
        <v>26</v>
      </c>
      <c r="H375" s="6"/>
      <c r="I375" s="6"/>
      <c r="J375" s="6"/>
      <c r="K375" s="7">
        <v>41092</v>
      </c>
      <c r="L375" s="30">
        <v>1898025</v>
      </c>
      <c r="M375" s="30">
        <v>1780372</v>
      </c>
      <c r="N375" s="6" t="s">
        <v>27</v>
      </c>
      <c r="O375" s="31">
        <v>43103</v>
      </c>
      <c r="P375" s="32" t="e">
        <f>VLOOKUP(Table311[[#This Row],[UNIT NO.]],[1]!Table35711[[#Headers],[#Data],[Unit '#]:[Application/Sold/ Unsold]],7,0)</f>
        <v>#REF!</v>
      </c>
      <c r="S375" s="64"/>
    </row>
    <row r="376" spans="2:19" ht="26.25" x14ac:dyDescent="0.25">
      <c r="B376" s="5">
        <f t="shared" si="5"/>
        <v>373</v>
      </c>
      <c r="C376" s="29" t="s">
        <v>1634</v>
      </c>
      <c r="D376" s="6" t="s">
        <v>902</v>
      </c>
      <c r="E376" s="29" t="s">
        <v>1635</v>
      </c>
      <c r="F376" s="6">
        <v>800</v>
      </c>
      <c r="G376" s="6" t="s">
        <v>26</v>
      </c>
      <c r="H376" s="6"/>
      <c r="I376" s="6"/>
      <c r="J376" s="6"/>
      <c r="K376" s="7">
        <v>40990</v>
      </c>
      <c r="L376" s="30">
        <v>1717900</v>
      </c>
      <c r="M376" s="30">
        <v>1632608</v>
      </c>
      <c r="N376" s="6" t="s">
        <v>27</v>
      </c>
      <c r="O376" s="31">
        <v>43103</v>
      </c>
      <c r="P376" s="32" t="e">
        <f>VLOOKUP(Table311[[#This Row],[UNIT NO.]],[1]!Table35711[[#Headers],[#Data],[Unit '#]:[Application/Sold/ Unsold]],7,0)</f>
        <v>#REF!</v>
      </c>
      <c r="S376" s="64"/>
    </row>
    <row r="377" spans="2:19" ht="26.25" x14ac:dyDescent="0.25">
      <c r="B377" s="5">
        <f t="shared" si="5"/>
        <v>374</v>
      </c>
      <c r="C377" s="29" t="s">
        <v>1636</v>
      </c>
      <c r="D377" s="6" t="s">
        <v>902</v>
      </c>
      <c r="E377" s="29" t="s">
        <v>1637</v>
      </c>
      <c r="F377" s="6">
        <v>800</v>
      </c>
      <c r="G377" s="6" t="s">
        <v>26</v>
      </c>
      <c r="H377" s="6"/>
      <c r="I377" s="6"/>
      <c r="J377" s="6"/>
      <c r="K377" s="7">
        <v>41092</v>
      </c>
      <c r="L377" s="30">
        <v>1938025</v>
      </c>
      <c r="M377" s="30">
        <v>1836551</v>
      </c>
      <c r="N377" s="6" t="s">
        <v>30</v>
      </c>
      <c r="O377" s="31">
        <v>43103</v>
      </c>
      <c r="P377" s="32" t="e">
        <f>VLOOKUP(Table311[[#This Row],[UNIT NO.]],[1]!Table35711[[#Headers],[#Data],[Unit '#]:[Application/Sold/ Unsold]],7,0)</f>
        <v>#REF!</v>
      </c>
      <c r="S377" s="64"/>
    </row>
    <row r="378" spans="2:19" ht="26.25" x14ac:dyDescent="0.25">
      <c r="B378" s="5">
        <f t="shared" si="5"/>
        <v>375</v>
      </c>
      <c r="C378" s="29" t="s">
        <v>486</v>
      </c>
      <c r="D378" s="6" t="s">
        <v>902</v>
      </c>
      <c r="E378" s="29" t="s">
        <v>1638</v>
      </c>
      <c r="F378" s="6">
        <v>800</v>
      </c>
      <c r="G378" s="6" t="s">
        <v>26</v>
      </c>
      <c r="H378" s="6"/>
      <c r="I378" s="6"/>
      <c r="J378" s="6"/>
      <c r="K378" s="7">
        <v>41046</v>
      </c>
      <c r="L378" s="30">
        <v>1735750</v>
      </c>
      <c r="M378" s="30">
        <v>1674899</v>
      </c>
      <c r="N378" s="6" t="s">
        <v>27</v>
      </c>
      <c r="O378" s="31">
        <v>43103</v>
      </c>
      <c r="P378" s="32" t="e">
        <f>VLOOKUP(Table311[[#This Row],[UNIT NO.]],[1]!Table35711[[#Headers],[#Data],[Unit '#]:[Application/Sold/ Unsold]],7,0)</f>
        <v>#REF!</v>
      </c>
      <c r="S378" s="64"/>
    </row>
    <row r="379" spans="2:19" ht="26.25" x14ac:dyDescent="0.25">
      <c r="B379" s="5">
        <f t="shared" si="5"/>
        <v>376</v>
      </c>
      <c r="C379" s="29" t="s">
        <v>1639</v>
      </c>
      <c r="D379" s="6" t="s">
        <v>902</v>
      </c>
      <c r="E379" s="29" t="s">
        <v>1640</v>
      </c>
      <c r="F379" s="6">
        <v>800</v>
      </c>
      <c r="G379" s="6" t="s">
        <v>26</v>
      </c>
      <c r="H379" s="6"/>
      <c r="I379" s="6"/>
      <c r="J379" s="6"/>
      <c r="K379" s="7">
        <v>41293</v>
      </c>
      <c r="L379" s="30">
        <v>2124825</v>
      </c>
      <c r="M379" s="30">
        <v>1957328</v>
      </c>
      <c r="N379" s="6" t="s">
        <v>144</v>
      </c>
      <c r="O379" s="31">
        <v>43103</v>
      </c>
      <c r="P379" s="32" t="e">
        <f>VLOOKUP(Table311[[#This Row],[UNIT NO.]],[1]!Table35711[[#Headers],[#Data],[Unit '#]:[Application/Sold/ Unsold]],7,0)</f>
        <v>#REF!</v>
      </c>
      <c r="S379" s="64"/>
    </row>
    <row r="380" spans="2:19" ht="39" x14ac:dyDescent="0.25">
      <c r="B380" s="5">
        <f t="shared" si="5"/>
        <v>377</v>
      </c>
      <c r="C380" s="29" t="s">
        <v>1641</v>
      </c>
      <c r="D380" s="6" t="s">
        <v>902</v>
      </c>
      <c r="E380" s="29" t="s">
        <v>1642</v>
      </c>
      <c r="F380" s="6">
        <v>800</v>
      </c>
      <c r="G380" s="6" t="s">
        <v>26</v>
      </c>
      <c r="H380" s="6"/>
      <c r="I380" s="6"/>
      <c r="J380" s="6"/>
      <c r="K380" s="7">
        <v>41162</v>
      </c>
      <c r="L380" s="30">
        <v>2089225</v>
      </c>
      <c r="M380" s="30">
        <v>405432</v>
      </c>
      <c r="N380" s="6" t="s">
        <v>30</v>
      </c>
      <c r="O380" s="31">
        <v>43103</v>
      </c>
      <c r="P380" s="32" t="e">
        <f>VLOOKUP(Table311[[#This Row],[UNIT NO.]],[1]!Table35711[[#Headers],[#Data],[Unit '#]:[Application/Sold/ Unsold]],7,0)</f>
        <v>#REF!</v>
      </c>
      <c r="S380" s="64"/>
    </row>
    <row r="381" spans="2:19" ht="26.25" x14ac:dyDescent="0.25">
      <c r="B381" s="5">
        <f t="shared" si="5"/>
        <v>378</v>
      </c>
      <c r="C381" s="29" t="s">
        <v>1643</v>
      </c>
      <c r="D381" s="6" t="s">
        <v>902</v>
      </c>
      <c r="E381" s="29" t="s">
        <v>1644</v>
      </c>
      <c r="F381" s="6">
        <v>800</v>
      </c>
      <c r="G381" s="6" t="s">
        <v>26</v>
      </c>
      <c r="H381" s="6"/>
      <c r="I381" s="6"/>
      <c r="J381" s="6"/>
      <c r="K381" s="7">
        <v>41230</v>
      </c>
      <c r="L381" s="30">
        <v>1950000</v>
      </c>
      <c r="M381" s="30">
        <v>1950000</v>
      </c>
      <c r="N381" s="6" t="s">
        <v>27</v>
      </c>
      <c r="O381" s="31">
        <v>43103</v>
      </c>
      <c r="P381" s="32" t="e">
        <f>VLOOKUP(Table311[[#This Row],[UNIT NO.]],[1]!Table35711[[#Headers],[#Data],[Unit '#]:[Application/Sold/ Unsold]],7,0)</f>
        <v>#REF!</v>
      </c>
      <c r="S381" s="64"/>
    </row>
    <row r="382" spans="2:19" ht="26.25" x14ac:dyDescent="0.25">
      <c r="B382" s="5">
        <f t="shared" si="5"/>
        <v>379</v>
      </c>
      <c r="C382" s="29" t="s">
        <v>1645</v>
      </c>
      <c r="D382" s="6" t="s">
        <v>902</v>
      </c>
      <c r="E382" s="29" t="s">
        <v>1646</v>
      </c>
      <c r="F382" s="6">
        <v>800</v>
      </c>
      <c r="G382" s="6" t="s">
        <v>26</v>
      </c>
      <c r="H382" s="6"/>
      <c r="I382" s="6"/>
      <c r="J382" s="6"/>
      <c r="K382" s="7">
        <v>41045</v>
      </c>
      <c r="L382" s="30">
        <v>1691575</v>
      </c>
      <c r="M382" s="30">
        <v>1606161</v>
      </c>
      <c r="N382" s="6" t="s">
        <v>27</v>
      </c>
      <c r="O382" s="31">
        <v>43103</v>
      </c>
      <c r="P382" s="32" t="e">
        <f>VLOOKUP(Table311[[#This Row],[UNIT NO.]],[1]!Table35711[[#Headers],[#Data],[Unit '#]:[Application/Sold/ Unsold]],7,0)</f>
        <v>#REF!</v>
      </c>
      <c r="S382" s="64"/>
    </row>
    <row r="383" spans="2:19" ht="26.25" x14ac:dyDescent="0.25">
      <c r="B383" s="5">
        <f t="shared" si="5"/>
        <v>380</v>
      </c>
      <c r="C383" s="29" t="s">
        <v>1647</v>
      </c>
      <c r="D383" s="6" t="s">
        <v>902</v>
      </c>
      <c r="E383" s="29" t="s">
        <v>1648</v>
      </c>
      <c r="F383" s="6">
        <v>800</v>
      </c>
      <c r="G383" s="6" t="s">
        <v>26</v>
      </c>
      <c r="H383" s="6"/>
      <c r="I383" s="6"/>
      <c r="J383" s="6"/>
      <c r="K383" s="7">
        <v>41054</v>
      </c>
      <c r="L383" s="30">
        <v>1733750</v>
      </c>
      <c r="M383" s="30">
        <v>1733749.52</v>
      </c>
      <c r="N383" s="6" t="s">
        <v>1492</v>
      </c>
      <c r="O383" s="31">
        <v>43103</v>
      </c>
      <c r="P383" s="32" t="e">
        <f>VLOOKUP(Table311[[#This Row],[UNIT NO.]],[1]!Table35711[[#Headers],[#Data],[Unit '#]:[Application/Sold/ Unsold]],7,0)</f>
        <v>#REF!</v>
      </c>
      <c r="S383" s="64"/>
    </row>
    <row r="384" spans="2:19" ht="26.25" x14ac:dyDescent="0.25">
      <c r="B384" s="5">
        <f t="shared" si="5"/>
        <v>381</v>
      </c>
      <c r="C384" s="29" t="s">
        <v>531</v>
      </c>
      <c r="D384" s="6" t="s">
        <v>902</v>
      </c>
      <c r="E384" s="29" t="s">
        <v>1649</v>
      </c>
      <c r="F384" s="6">
        <v>800</v>
      </c>
      <c r="G384" s="6" t="s">
        <v>26</v>
      </c>
      <c r="H384" s="6"/>
      <c r="I384" s="6"/>
      <c r="J384" s="6"/>
      <c r="K384" s="7">
        <v>41110</v>
      </c>
      <c r="L384" s="30">
        <v>2030000</v>
      </c>
      <c r="M384" s="30">
        <v>1886173</v>
      </c>
      <c r="N384" s="6" t="s">
        <v>27</v>
      </c>
      <c r="O384" s="31">
        <v>43103</v>
      </c>
      <c r="P384" s="32" t="e">
        <f>VLOOKUP(Table311[[#This Row],[UNIT NO.]],[1]!Table35711[[#Headers],[#Data],[Unit '#]:[Application/Sold/ Unsold]],7,0)</f>
        <v>#REF!</v>
      </c>
      <c r="S384" s="64"/>
    </row>
    <row r="385" spans="2:19" ht="26.25" x14ac:dyDescent="0.25">
      <c r="B385" s="5">
        <f t="shared" si="5"/>
        <v>382</v>
      </c>
      <c r="C385" s="29" t="s">
        <v>1650</v>
      </c>
      <c r="D385" s="6" t="s">
        <v>902</v>
      </c>
      <c r="E385" s="29" t="s">
        <v>1651</v>
      </c>
      <c r="F385" s="6">
        <v>800</v>
      </c>
      <c r="G385" s="6" t="s">
        <v>26</v>
      </c>
      <c r="H385" s="6"/>
      <c r="I385" s="6"/>
      <c r="J385" s="6"/>
      <c r="K385" s="7">
        <v>41022</v>
      </c>
      <c r="L385" s="30">
        <v>1695000</v>
      </c>
      <c r="M385" s="30">
        <v>300000</v>
      </c>
      <c r="N385" s="6" t="s">
        <v>30</v>
      </c>
      <c r="O385" s="31">
        <v>43103</v>
      </c>
      <c r="P385" s="32" t="e">
        <f>VLOOKUP(Table311[[#This Row],[UNIT NO.]],[1]!Table35711[[#Headers],[#Data],[Unit '#]:[Application/Sold/ Unsold]],7,0)</f>
        <v>#REF!</v>
      </c>
      <c r="S385" s="64"/>
    </row>
    <row r="386" spans="2:19" x14ac:dyDescent="0.25">
      <c r="B386" s="5">
        <f t="shared" si="5"/>
        <v>383</v>
      </c>
      <c r="C386" s="29" t="s">
        <v>857</v>
      </c>
      <c r="D386" s="6" t="s">
        <v>902</v>
      </c>
      <c r="E386" s="29" t="s">
        <v>1652</v>
      </c>
      <c r="F386" s="6">
        <v>800</v>
      </c>
      <c r="G386" s="6" t="s">
        <v>26</v>
      </c>
      <c r="H386" s="6"/>
      <c r="I386" s="6"/>
      <c r="J386" s="6"/>
      <c r="K386" s="7">
        <v>41110</v>
      </c>
      <c r="L386" s="30">
        <v>2005000</v>
      </c>
      <c r="M386" s="30">
        <v>1904751</v>
      </c>
      <c r="N386" s="6" t="s">
        <v>27</v>
      </c>
      <c r="O386" s="31">
        <v>43103</v>
      </c>
      <c r="P386" s="32" t="e">
        <f>VLOOKUP(Table311[[#This Row],[UNIT NO.]],[1]!Table35711[[#Headers],[#Data],[Unit '#]:[Application/Sold/ Unsold]],7,0)</f>
        <v>#REF!</v>
      </c>
      <c r="S386" s="64"/>
    </row>
    <row r="387" spans="2:19" x14ac:dyDescent="0.25">
      <c r="B387" s="5">
        <f t="shared" si="5"/>
        <v>384</v>
      </c>
      <c r="C387" s="29"/>
      <c r="D387" s="6" t="s">
        <v>902</v>
      </c>
      <c r="E387" s="40" t="s">
        <v>1653</v>
      </c>
      <c r="F387" s="41">
        <v>800</v>
      </c>
      <c r="G387" s="6" t="s">
        <v>104</v>
      </c>
      <c r="H387" s="6"/>
      <c r="I387" s="6"/>
      <c r="J387" s="6"/>
      <c r="K387" s="7"/>
      <c r="L387" s="30"/>
      <c r="M387" s="30"/>
      <c r="N387" s="6"/>
      <c r="O387" s="6"/>
      <c r="P387" s="32" t="e">
        <f>VLOOKUP(Table311[[#This Row],[UNIT NO.]],[1]!Table35711[[#Headers],[#Data],[Unit '#]:[Application/Sold/ Unsold]],7,0)</f>
        <v>#REF!</v>
      </c>
      <c r="S387" s="64"/>
    </row>
    <row r="388" spans="2:19" x14ac:dyDescent="0.25">
      <c r="B388" s="5">
        <f t="shared" si="5"/>
        <v>385</v>
      </c>
      <c r="C388" s="29"/>
      <c r="D388" s="6" t="s">
        <v>902</v>
      </c>
      <c r="E388" s="40" t="s">
        <v>1654</v>
      </c>
      <c r="F388" s="41">
        <v>800</v>
      </c>
      <c r="G388" s="6" t="s">
        <v>104</v>
      </c>
      <c r="H388" s="6"/>
      <c r="I388" s="6"/>
      <c r="J388" s="6"/>
      <c r="K388" s="7"/>
      <c r="L388" s="30"/>
      <c r="M388" s="30"/>
      <c r="N388" s="6"/>
      <c r="O388" s="6"/>
      <c r="P388" s="32" t="e">
        <f>VLOOKUP(Table311[[#This Row],[UNIT NO.]],[1]!Table35711[[#Headers],[#Data],[Unit '#]:[Application/Sold/ Unsold]],7,0)</f>
        <v>#REF!</v>
      </c>
      <c r="S388" s="64"/>
    </row>
    <row r="389" spans="2:19" x14ac:dyDescent="0.25">
      <c r="B389" s="5">
        <f t="shared" si="5"/>
        <v>386</v>
      </c>
      <c r="C389" s="29"/>
      <c r="D389" s="6" t="s">
        <v>902</v>
      </c>
      <c r="E389" s="40" t="s">
        <v>1655</v>
      </c>
      <c r="F389" s="41">
        <v>800</v>
      </c>
      <c r="G389" s="6" t="s">
        <v>32</v>
      </c>
      <c r="H389" s="6"/>
      <c r="I389" s="6"/>
      <c r="J389" s="6"/>
      <c r="K389" s="7"/>
      <c r="L389" s="30"/>
      <c r="M389" s="30"/>
      <c r="N389" s="6"/>
      <c r="O389" s="6"/>
      <c r="P389" s="32" t="e">
        <f>VLOOKUP(Table311[[#This Row],[UNIT NO.]],[1]!Table35711[[#Headers],[#Data],[Unit '#]:[Application/Sold/ Unsold]],7,0)</f>
        <v>#REF!</v>
      </c>
      <c r="S389" s="64"/>
    </row>
    <row r="390" spans="2:19" x14ac:dyDescent="0.25">
      <c r="B390" s="5">
        <f t="shared" ref="B390:B453" si="6">B389+1</f>
        <v>387</v>
      </c>
      <c r="C390" s="33"/>
      <c r="D390" s="6" t="s">
        <v>902</v>
      </c>
      <c r="E390" s="40" t="s">
        <v>1656</v>
      </c>
      <c r="F390" s="41">
        <v>800</v>
      </c>
      <c r="G390" s="6" t="s">
        <v>104</v>
      </c>
      <c r="H390" s="6"/>
      <c r="I390" s="6"/>
      <c r="J390" s="6"/>
      <c r="K390" s="35"/>
      <c r="L390" s="36"/>
      <c r="M390" s="30"/>
      <c r="N390" s="6"/>
      <c r="O390" s="6"/>
      <c r="P390" s="32" t="e">
        <f>VLOOKUP(Table311[[#This Row],[UNIT NO.]],[1]!Table35711[[#Headers],[#Data],[Unit '#]:[Application/Sold/ Unsold]],7,0)</f>
        <v>#REF!</v>
      </c>
      <c r="S390" s="64"/>
    </row>
    <row r="391" spans="2:19" x14ac:dyDescent="0.25">
      <c r="B391" s="5">
        <f t="shared" si="6"/>
        <v>388</v>
      </c>
      <c r="C391" s="29"/>
      <c r="D391" s="6" t="s">
        <v>902</v>
      </c>
      <c r="E391" s="40" t="s">
        <v>1657</v>
      </c>
      <c r="F391" s="41">
        <v>800</v>
      </c>
      <c r="G391" s="6" t="s">
        <v>104</v>
      </c>
      <c r="H391" s="6"/>
      <c r="I391" s="6"/>
      <c r="J391" s="6"/>
      <c r="K391" s="7"/>
      <c r="L391" s="30"/>
      <c r="M391" s="30"/>
      <c r="N391" s="6"/>
      <c r="O391" s="6"/>
      <c r="P391" s="32" t="e">
        <f>VLOOKUP(Table311[[#This Row],[UNIT NO.]],[1]!Table35711[[#Headers],[#Data],[Unit '#]:[Application/Sold/ Unsold]],7,0)</f>
        <v>#REF!</v>
      </c>
      <c r="S391" s="64"/>
    </row>
    <row r="392" spans="2:19" x14ac:dyDescent="0.25">
      <c r="B392" s="5">
        <f t="shared" si="6"/>
        <v>389</v>
      </c>
      <c r="C392" s="29"/>
      <c r="D392" s="6" t="s">
        <v>902</v>
      </c>
      <c r="E392" s="40" t="s">
        <v>1658</v>
      </c>
      <c r="F392" s="41">
        <v>800</v>
      </c>
      <c r="G392" s="6" t="s">
        <v>104</v>
      </c>
      <c r="H392" s="6"/>
      <c r="I392" s="6"/>
      <c r="J392" s="6"/>
      <c r="K392" s="7"/>
      <c r="L392" s="30"/>
      <c r="M392" s="30"/>
      <c r="N392" s="6"/>
      <c r="O392" s="6"/>
      <c r="P392" s="32" t="e">
        <f>VLOOKUP(Table311[[#This Row],[UNIT NO.]],[1]!Table35711[[#Headers],[#Data],[Unit '#]:[Application/Sold/ Unsold]],7,0)</f>
        <v>#REF!</v>
      </c>
      <c r="S392" s="64"/>
    </row>
    <row r="393" spans="2:19" x14ac:dyDescent="0.25">
      <c r="B393" s="5">
        <f t="shared" si="6"/>
        <v>390</v>
      </c>
      <c r="C393" s="33"/>
      <c r="D393" s="6" t="s">
        <v>902</v>
      </c>
      <c r="E393" s="40" t="s">
        <v>1659</v>
      </c>
      <c r="F393" s="41">
        <v>1000</v>
      </c>
      <c r="G393" s="6" t="s">
        <v>104</v>
      </c>
      <c r="H393" s="6"/>
      <c r="I393" s="6"/>
      <c r="J393" s="6"/>
      <c r="K393" s="35"/>
      <c r="L393" s="36"/>
      <c r="M393" s="30"/>
      <c r="N393" s="6"/>
      <c r="O393" s="6"/>
      <c r="P393" s="32" t="e">
        <f>VLOOKUP(Table311[[#This Row],[UNIT NO.]],[1]!Table35711[[#Headers],[#Data],[Unit '#]:[Application/Sold/ Unsold]],7,0)</f>
        <v>#REF!</v>
      </c>
      <c r="S393" s="64"/>
    </row>
    <row r="394" spans="2:19" x14ac:dyDescent="0.25">
      <c r="B394" s="5">
        <f t="shared" si="6"/>
        <v>391</v>
      </c>
      <c r="C394" s="29"/>
      <c r="D394" s="6" t="s">
        <v>902</v>
      </c>
      <c r="E394" s="40" t="s">
        <v>1660</v>
      </c>
      <c r="F394" s="41">
        <v>1000</v>
      </c>
      <c r="G394" s="6" t="s">
        <v>104</v>
      </c>
      <c r="H394" s="6"/>
      <c r="I394" s="6"/>
      <c r="J394" s="6"/>
      <c r="K394" s="7"/>
      <c r="L394" s="30"/>
      <c r="M394" s="30"/>
      <c r="N394" s="6"/>
      <c r="O394" s="6"/>
      <c r="P394" s="32" t="e">
        <f>VLOOKUP(Table311[[#This Row],[UNIT NO.]],[1]!Table35711[[#Headers],[#Data],[Unit '#]:[Application/Sold/ Unsold]],7,0)</f>
        <v>#REF!</v>
      </c>
      <c r="S394" s="64"/>
    </row>
    <row r="395" spans="2:19" x14ac:dyDescent="0.25">
      <c r="B395" s="5">
        <f t="shared" si="6"/>
        <v>392</v>
      </c>
      <c r="C395" s="29"/>
      <c r="D395" s="6" t="s">
        <v>902</v>
      </c>
      <c r="E395" s="40" t="s">
        <v>1661</v>
      </c>
      <c r="F395" s="41">
        <v>1000</v>
      </c>
      <c r="G395" s="6" t="s">
        <v>104</v>
      </c>
      <c r="H395" s="6"/>
      <c r="I395" s="6"/>
      <c r="J395" s="6"/>
      <c r="K395" s="7"/>
      <c r="L395" s="30"/>
      <c r="M395" s="30"/>
      <c r="N395" s="6"/>
      <c r="O395" s="6"/>
      <c r="P395" s="32" t="e">
        <f>VLOOKUP(Table311[[#This Row],[UNIT NO.]],[1]!Table35711[[#Headers],[#Data],[Unit '#]:[Application/Sold/ Unsold]],7,0)</f>
        <v>#REF!</v>
      </c>
      <c r="S395" s="64"/>
    </row>
    <row r="396" spans="2:19" x14ac:dyDescent="0.25">
      <c r="B396" s="5">
        <f t="shared" si="6"/>
        <v>393</v>
      </c>
      <c r="C396" s="29"/>
      <c r="D396" s="6" t="s">
        <v>902</v>
      </c>
      <c r="E396" s="40" t="s">
        <v>1662</v>
      </c>
      <c r="F396" s="41">
        <v>1300</v>
      </c>
      <c r="G396" s="6" t="s">
        <v>104</v>
      </c>
      <c r="H396" s="6"/>
      <c r="I396" s="6"/>
      <c r="J396" s="6"/>
      <c r="K396" s="7"/>
      <c r="L396" s="30"/>
      <c r="M396" s="30"/>
      <c r="N396" s="6"/>
      <c r="O396" s="6"/>
      <c r="P396" s="32" t="e">
        <f>VLOOKUP(Table311[[#This Row],[UNIT NO.]],[1]!Table35711[[#Headers],[#Data],[Unit '#]:[Application/Sold/ Unsold]],7,0)</f>
        <v>#REF!</v>
      </c>
      <c r="S396" s="64"/>
    </row>
    <row r="397" spans="2:19" x14ac:dyDescent="0.25">
      <c r="B397" s="5">
        <f t="shared" si="6"/>
        <v>394</v>
      </c>
      <c r="C397" s="29"/>
      <c r="D397" s="6" t="s">
        <v>902</v>
      </c>
      <c r="E397" s="40" t="s">
        <v>1663</v>
      </c>
      <c r="F397" s="41">
        <v>1300</v>
      </c>
      <c r="G397" s="6" t="s">
        <v>104</v>
      </c>
      <c r="H397" s="6"/>
      <c r="I397" s="6"/>
      <c r="J397" s="6"/>
      <c r="K397" s="7"/>
      <c r="L397" s="30"/>
      <c r="M397" s="30"/>
      <c r="N397" s="6"/>
      <c r="O397" s="6"/>
      <c r="P397" s="32" t="e">
        <f>VLOOKUP(Table311[[#This Row],[UNIT NO.]],[1]!Table35711[[#Headers],[#Data],[Unit '#]:[Application/Sold/ Unsold]],7,0)</f>
        <v>#REF!</v>
      </c>
      <c r="S397" s="64"/>
    </row>
    <row r="398" spans="2:19" x14ac:dyDescent="0.25">
      <c r="B398" s="5">
        <f t="shared" si="6"/>
        <v>395</v>
      </c>
      <c r="C398" s="29"/>
      <c r="D398" s="6" t="s">
        <v>902</v>
      </c>
      <c r="E398" s="40" t="s">
        <v>1664</v>
      </c>
      <c r="F398" s="41">
        <v>1300</v>
      </c>
      <c r="G398" s="6" t="s">
        <v>32</v>
      </c>
      <c r="H398" s="6"/>
      <c r="I398" s="6"/>
      <c r="J398" s="6"/>
      <c r="K398" s="7"/>
      <c r="L398" s="30"/>
      <c r="M398" s="30"/>
      <c r="N398" s="6"/>
      <c r="O398" s="6"/>
      <c r="P398" s="32" t="e">
        <f>VLOOKUP(Table311[[#This Row],[UNIT NO.]],[1]!Table35711[[#Headers],[#Data],[Unit '#]:[Application/Sold/ Unsold]],7,0)</f>
        <v>#REF!</v>
      </c>
      <c r="S398" s="64"/>
    </row>
    <row r="399" spans="2:19" x14ac:dyDescent="0.25">
      <c r="B399" s="5">
        <f t="shared" si="6"/>
        <v>396</v>
      </c>
      <c r="C399" s="29"/>
      <c r="D399" s="6" t="s">
        <v>902</v>
      </c>
      <c r="E399" s="40" t="s">
        <v>1665</v>
      </c>
      <c r="F399" s="41">
        <v>1300</v>
      </c>
      <c r="G399" s="6" t="s">
        <v>32</v>
      </c>
      <c r="H399" s="6"/>
      <c r="I399" s="6"/>
      <c r="J399" s="6"/>
      <c r="K399" s="7"/>
      <c r="L399" s="30"/>
      <c r="M399" s="30"/>
      <c r="N399" s="6"/>
      <c r="O399" s="6"/>
      <c r="P399" s="32" t="e">
        <f>VLOOKUP(Table311[[#This Row],[UNIT NO.]],[1]!Table35711[[#Headers],[#Data],[Unit '#]:[Application/Sold/ Unsold]],7,0)</f>
        <v>#REF!</v>
      </c>
      <c r="S399" s="64"/>
    </row>
    <row r="400" spans="2:19" x14ac:dyDescent="0.25">
      <c r="B400" s="5">
        <f t="shared" si="6"/>
        <v>397</v>
      </c>
      <c r="C400" s="29"/>
      <c r="D400" s="6" t="s">
        <v>902</v>
      </c>
      <c r="E400" s="40" t="s">
        <v>1666</v>
      </c>
      <c r="F400" s="41">
        <v>1300</v>
      </c>
      <c r="G400" s="6" t="s">
        <v>32</v>
      </c>
      <c r="H400" s="6"/>
      <c r="I400" s="6"/>
      <c r="J400" s="6"/>
      <c r="K400" s="7"/>
      <c r="L400" s="30"/>
      <c r="M400" s="30"/>
      <c r="N400" s="6"/>
      <c r="O400" s="6"/>
      <c r="P400" s="32" t="e">
        <f>VLOOKUP(Table311[[#This Row],[UNIT NO.]],[1]!Table35711[[#Headers],[#Data],[Unit '#]:[Application/Sold/ Unsold]],7,0)</f>
        <v>#REF!</v>
      </c>
      <c r="S400" s="64"/>
    </row>
    <row r="401" spans="2:19" x14ac:dyDescent="0.25">
      <c r="B401" s="5">
        <f t="shared" si="6"/>
        <v>398</v>
      </c>
      <c r="C401" s="29"/>
      <c r="D401" s="6" t="s">
        <v>902</v>
      </c>
      <c r="E401" s="40" t="s">
        <v>1667</v>
      </c>
      <c r="F401" s="41">
        <v>1300</v>
      </c>
      <c r="G401" s="6" t="s">
        <v>104</v>
      </c>
      <c r="H401" s="6"/>
      <c r="I401" s="6"/>
      <c r="J401" s="6"/>
      <c r="K401" s="7"/>
      <c r="L401" s="30"/>
      <c r="M401" s="30"/>
      <c r="N401" s="42"/>
      <c r="O401" s="6"/>
      <c r="P401" s="32" t="e">
        <f>VLOOKUP(Table311[[#This Row],[UNIT NO.]],[1]!Table35711[[#Headers],[#Data],[Unit '#]:[Application/Sold/ Unsold]],7,0)</f>
        <v>#REF!</v>
      </c>
      <c r="S401" s="64"/>
    </row>
    <row r="402" spans="2:19" x14ac:dyDescent="0.25">
      <c r="B402" s="5">
        <f t="shared" si="6"/>
        <v>399</v>
      </c>
      <c r="C402" s="29"/>
      <c r="D402" s="6" t="s">
        <v>902</v>
      </c>
      <c r="E402" s="40" t="s">
        <v>1668</v>
      </c>
      <c r="F402" s="41">
        <v>1300</v>
      </c>
      <c r="G402" s="6" t="s">
        <v>104</v>
      </c>
      <c r="H402" s="6"/>
      <c r="I402" s="6"/>
      <c r="J402" s="6"/>
      <c r="K402" s="7"/>
      <c r="L402" s="30"/>
      <c r="M402" s="30"/>
      <c r="N402" s="6"/>
      <c r="O402" s="6"/>
      <c r="P402" s="32" t="e">
        <f>VLOOKUP(Table311[[#This Row],[UNIT NO.]],[1]!Table35711[[#Headers],[#Data],[Unit '#]:[Application/Sold/ Unsold]],7,0)</f>
        <v>#REF!</v>
      </c>
      <c r="S402" s="64"/>
    </row>
    <row r="403" spans="2:19" x14ac:dyDescent="0.25">
      <c r="B403" s="5">
        <f t="shared" si="6"/>
        <v>400</v>
      </c>
      <c r="C403" s="29"/>
      <c r="D403" s="6" t="s">
        <v>902</v>
      </c>
      <c r="E403" s="40" t="s">
        <v>1669</v>
      </c>
      <c r="F403" s="41">
        <v>1300</v>
      </c>
      <c r="G403" s="6" t="s">
        <v>104</v>
      </c>
      <c r="H403" s="6"/>
      <c r="I403" s="6"/>
      <c r="J403" s="6"/>
      <c r="K403" s="7"/>
      <c r="L403" s="30"/>
      <c r="M403" s="30"/>
      <c r="N403" s="6"/>
      <c r="O403" s="6"/>
      <c r="P403" s="32" t="e">
        <f>VLOOKUP(Table311[[#This Row],[UNIT NO.]],[1]!Table35711[[#Headers],[#Data],[Unit '#]:[Application/Sold/ Unsold]],7,0)</f>
        <v>#REF!</v>
      </c>
      <c r="S403" s="64"/>
    </row>
    <row r="404" spans="2:19" x14ac:dyDescent="0.25">
      <c r="B404" s="5">
        <f t="shared" si="6"/>
        <v>401</v>
      </c>
      <c r="C404" s="29"/>
      <c r="D404" s="6" t="s">
        <v>902</v>
      </c>
      <c r="E404" s="40" t="s">
        <v>1670</v>
      </c>
      <c r="F404" s="41">
        <v>1300</v>
      </c>
      <c r="G404" s="6" t="s">
        <v>32</v>
      </c>
      <c r="H404" s="6"/>
      <c r="I404" s="6"/>
      <c r="J404" s="6"/>
      <c r="K404" s="7"/>
      <c r="L404" s="30"/>
      <c r="M404" s="30"/>
      <c r="N404" s="6"/>
      <c r="O404" s="6"/>
      <c r="P404" s="32" t="e">
        <f>VLOOKUP(Table311[[#This Row],[UNIT NO.]],[1]!Table35711[[#Headers],[#Data],[Unit '#]:[Application/Sold/ Unsold]],7,0)</f>
        <v>#REF!</v>
      </c>
      <c r="S404" s="64"/>
    </row>
    <row r="405" spans="2:19" x14ac:dyDescent="0.25">
      <c r="B405" s="5">
        <f t="shared" si="6"/>
        <v>402</v>
      </c>
      <c r="C405" s="33"/>
      <c r="D405" s="6" t="s">
        <v>902</v>
      </c>
      <c r="E405" s="40" t="s">
        <v>1671</v>
      </c>
      <c r="F405" s="41">
        <v>1300</v>
      </c>
      <c r="G405" s="6" t="s">
        <v>104</v>
      </c>
      <c r="H405" s="6"/>
      <c r="I405" s="6"/>
      <c r="J405" s="6"/>
      <c r="K405" s="35"/>
      <c r="L405" s="36"/>
      <c r="M405" s="30"/>
      <c r="N405" s="6"/>
      <c r="O405" s="6"/>
      <c r="P405" s="32" t="e">
        <f>VLOOKUP(Table311[[#This Row],[UNIT NO.]],[1]!Table35711[[#Headers],[#Data],[Unit '#]:[Application/Sold/ Unsold]],7,0)</f>
        <v>#REF!</v>
      </c>
      <c r="S405" s="64"/>
    </row>
    <row r="406" spans="2:19" x14ac:dyDescent="0.25">
      <c r="B406" s="5">
        <f t="shared" si="6"/>
        <v>403</v>
      </c>
      <c r="C406" s="29"/>
      <c r="D406" s="6" t="s">
        <v>902</v>
      </c>
      <c r="E406" s="40" t="s">
        <v>1672</v>
      </c>
      <c r="F406" s="41">
        <v>1300</v>
      </c>
      <c r="G406" s="6" t="s">
        <v>104</v>
      </c>
      <c r="H406" s="6"/>
      <c r="I406" s="6"/>
      <c r="J406" s="6"/>
      <c r="K406" s="7"/>
      <c r="L406" s="30"/>
      <c r="M406" s="30"/>
      <c r="N406" s="6"/>
      <c r="O406" s="6"/>
      <c r="P406" s="32" t="e">
        <f>VLOOKUP(Table311[[#This Row],[UNIT NO.]],[1]!Table35711[[#Headers],[#Data],[Unit '#]:[Application/Sold/ Unsold]],7,0)</f>
        <v>#REF!</v>
      </c>
      <c r="S406" s="64"/>
    </row>
    <row r="407" spans="2:19" x14ac:dyDescent="0.25">
      <c r="B407" s="5">
        <f t="shared" si="6"/>
        <v>404</v>
      </c>
      <c r="C407" s="33"/>
      <c r="D407" s="6" t="s">
        <v>902</v>
      </c>
      <c r="E407" s="40" t="s">
        <v>1673</v>
      </c>
      <c r="F407" s="41">
        <v>1300</v>
      </c>
      <c r="G407" s="6" t="s">
        <v>104</v>
      </c>
      <c r="H407" s="6"/>
      <c r="I407" s="6"/>
      <c r="J407" s="6"/>
      <c r="K407" s="35"/>
      <c r="L407" s="36"/>
      <c r="M407" s="30"/>
      <c r="N407" s="6"/>
      <c r="O407" s="6"/>
      <c r="P407" s="32" t="e">
        <f>VLOOKUP(Table311[[#This Row],[UNIT NO.]],[1]!Table35711[[#Headers],[#Data],[Unit '#]:[Application/Sold/ Unsold]],7,0)</f>
        <v>#REF!</v>
      </c>
      <c r="S407" s="64"/>
    </row>
    <row r="408" spans="2:19" x14ac:dyDescent="0.25">
      <c r="B408" s="5">
        <f t="shared" si="6"/>
        <v>405</v>
      </c>
      <c r="C408" s="29"/>
      <c r="D408" s="6" t="s">
        <v>902</v>
      </c>
      <c r="E408" s="40" t="s">
        <v>1674</v>
      </c>
      <c r="F408" s="41">
        <v>1300</v>
      </c>
      <c r="G408" s="6" t="s">
        <v>104</v>
      </c>
      <c r="H408" s="6"/>
      <c r="I408" s="6"/>
      <c r="J408" s="6"/>
      <c r="K408" s="7"/>
      <c r="L408" s="30"/>
      <c r="M408" s="30"/>
      <c r="N408" s="6"/>
      <c r="O408" s="6"/>
      <c r="P408" s="32" t="e">
        <f>VLOOKUP(Table311[[#This Row],[UNIT NO.]],[1]!Table35711[[#Headers],[#Data],[Unit '#]:[Application/Sold/ Unsold]],7,0)</f>
        <v>#REF!</v>
      </c>
      <c r="S408" s="64"/>
    </row>
    <row r="409" spans="2:19" x14ac:dyDescent="0.25">
      <c r="B409" s="5">
        <f t="shared" si="6"/>
        <v>406</v>
      </c>
      <c r="C409" s="29"/>
      <c r="D409" s="6" t="s">
        <v>902</v>
      </c>
      <c r="E409" s="40" t="s">
        <v>1675</v>
      </c>
      <c r="F409" s="41">
        <v>1300</v>
      </c>
      <c r="G409" s="6" t="s">
        <v>104</v>
      </c>
      <c r="H409" s="6"/>
      <c r="I409" s="6"/>
      <c r="J409" s="6"/>
      <c r="K409" s="7"/>
      <c r="L409" s="30"/>
      <c r="M409" s="30"/>
      <c r="N409" s="6"/>
      <c r="O409" s="6"/>
      <c r="P409" s="32" t="e">
        <f>VLOOKUP(Table311[[#This Row],[UNIT NO.]],[1]!Table35711[[#Headers],[#Data],[Unit '#]:[Application/Sold/ Unsold]],7,0)</f>
        <v>#REF!</v>
      </c>
      <c r="S409" s="64"/>
    </row>
    <row r="410" spans="2:19" x14ac:dyDescent="0.25">
      <c r="B410" s="5">
        <f t="shared" si="6"/>
        <v>407</v>
      </c>
      <c r="C410" s="29"/>
      <c r="D410" s="6" t="s">
        <v>902</v>
      </c>
      <c r="E410" s="40" t="s">
        <v>1676</v>
      </c>
      <c r="F410" s="41">
        <v>1300</v>
      </c>
      <c r="G410" s="6" t="s">
        <v>104</v>
      </c>
      <c r="H410" s="6"/>
      <c r="I410" s="6"/>
      <c r="J410" s="6"/>
      <c r="K410" s="7"/>
      <c r="L410" s="30"/>
      <c r="M410" s="30"/>
      <c r="N410" s="6"/>
      <c r="O410" s="6"/>
      <c r="P410" s="32" t="e">
        <f>VLOOKUP(Table311[[#This Row],[UNIT NO.]],[1]!Table35711[[#Headers],[#Data],[Unit '#]:[Application/Sold/ Unsold]],7,0)</f>
        <v>#REF!</v>
      </c>
      <c r="S410" s="64"/>
    </row>
    <row r="411" spans="2:19" x14ac:dyDescent="0.25">
      <c r="B411" s="5">
        <f t="shared" si="6"/>
        <v>408</v>
      </c>
      <c r="C411" s="29"/>
      <c r="D411" s="6" t="s">
        <v>902</v>
      </c>
      <c r="E411" s="40" t="s">
        <v>1677</v>
      </c>
      <c r="F411" s="41">
        <v>1300</v>
      </c>
      <c r="G411" s="6" t="s">
        <v>104</v>
      </c>
      <c r="H411" s="6"/>
      <c r="I411" s="6"/>
      <c r="J411" s="6"/>
      <c r="K411" s="7"/>
      <c r="L411" s="30"/>
      <c r="M411" s="30"/>
      <c r="N411" s="6"/>
      <c r="O411" s="6"/>
      <c r="P411" s="32" t="e">
        <f>VLOOKUP(Table311[[#This Row],[UNIT NO.]],[1]!Table35711[[#Headers],[#Data],[Unit '#]:[Application/Sold/ Unsold]],7,0)</f>
        <v>#REF!</v>
      </c>
      <c r="S411" s="64"/>
    </row>
    <row r="412" spans="2:19" x14ac:dyDescent="0.25">
      <c r="B412" s="5">
        <f t="shared" si="6"/>
        <v>409</v>
      </c>
      <c r="C412" s="29"/>
      <c r="D412" s="6" t="s">
        <v>902</v>
      </c>
      <c r="E412" s="40" t="s">
        <v>1678</v>
      </c>
      <c r="F412" s="41">
        <v>1300</v>
      </c>
      <c r="G412" s="6" t="s">
        <v>104</v>
      </c>
      <c r="H412" s="6"/>
      <c r="I412" s="6"/>
      <c r="J412" s="6"/>
      <c r="K412" s="7"/>
      <c r="L412" s="30"/>
      <c r="M412" s="30"/>
      <c r="N412" s="6"/>
      <c r="O412" s="6"/>
      <c r="P412" s="32" t="e">
        <f>VLOOKUP(Table311[[#This Row],[UNIT NO.]],[1]!Table35711[[#Headers],[#Data],[Unit '#]:[Application/Sold/ Unsold]],7,0)</f>
        <v>#REF!</v>
      </c>
      <c r="S412" s="64"/>
    </row>
    <row r="413" spans="2:19" x14ac:dyDescent="0.25">
      <c r="B413" s="5">
        <f t="shared" si="6"/>
        <v>410</v>
      </c>
      <c r="C413" s="29"/>
      <c r="D413" s="6" t="s">
        <v>902</v>
      </c>
      <c r="E413" s="40" t="s">
        <v>1679</v>
      </c>
      <c r="F413" s="41">
        <v>1000</v>
      </c>
      <c r="G413" s="6" t="s">
        <v>104</v>
      </c>
      <c r="H413" s="6"/>
      <c r="I413" s="6"/>
      <c r="J413" s="6"/>
      <c r="K413" s="7"/>
      <c r="L413" s="30"/>
      <c r="M413" s="30"/>
      <c r="N413" s="6"/>
      <c r="O413" s="6"/>
      <c r="P413" s="32" t="e">
        <f>VLOOKUP(Table311[[#This Row],[UNIT NO.]],[1]!Table35711[[#Headers],[#Data],[Unit '#]:[Application/Sold/ Unsold]],7,0)</f>
        <v>#REF!</v>
      </c>
      <c r="S413" s="64"/>
    </row>
    <row r="414" spans="2:19" x14ac:dyDescent="0.25">
      <c r="B414" s="5">
        <f t="shared" si="6"/>
        <v>411</v>
      </c>
      <c r="C414" s="29"/>
      <c r="D414" s="6" t="s">
        <v>902</v>
      </c>
      <c r="E414" s="40" t="s">
        <v>1680</v>
      </c>
      <c r="F414" s="41">
        <v>1000</v>
      </c>
      <c r="G414" s="6" t="s">
        <v>104</v>
      </c>
      <c r="H414" s="6"/>
      <c r="I414" s="6"/>
      <c r="J414" s="6"/>
      <c r="K414" s="7"/>
      <c r="L414" s="30"/>
      <c r="M414" s="30"/>
      <c r="N414" s="6"/>
      <c r="O414" s="6"/>
      <c r="P414" s="32" t="e">
        <f>VLOOKUP(Table311[[#This Row],[UNIT NO.]],[1]!Table35711[[#Headers],[#Data],[Unit '#]:[Application/Sold/ Unsold]],7,0)</f>
        <v>#REF!</v>
      </c>
      <c r="S414" s="64"/>
    </row>
    <row r="415" spans="2:19" x14ac:dyDescent="0.25">
      <c r="B415" s="5">
        <f t="shared" si="6"/>
        <v>412</v>
      </c>
      <c r="C415" s="29"/>
      <c r="D415" s="6" t="s">
        <v>902</v>
      </c>
      <c r="E415" s="40" t="s">
        <v>1681</v>
      </c>
      <c r="F415" s="41">
        <v>1000</v>
      </c>
      <c r="G415" s="6" t="s">
        <v>104</v>
      </c>
      <c r="H415" s="6"/>
      <c r="I415" s="6"/>
      <c r="J415" s="6"/>
      <c r="K415" s="7"/>
      <c r="L415" s="30"/>
      <c r="M415" s="30"/>
      <c r="N415" s="6"/>
      <c r="O415" s="6"/>
      <c r="P415" s="32" t="e">
        <f>VLOOKUP(Table311[[#This Row],[UNIT NO.]],[1]!Table35711[[#Headers],[#Data],[Unit '#]:[Application/Sold/ Unsold]],7,0)</f>
        <v>#REF!</v>
      </c>
      <c r="S415" s="64"/>
    </row>
    <row r="416" spans="2:19" x14ac:dyDescent="0.25">
      <c r="B416" s="5">
        <f t="shared" si="6"/>
        <v>413</v>
      </c>
      <c r="C416" s="33"/>
      <c r="D416" s="6" t="s">
        <v>902</v>
      </c>
      <c r="E416" s="40" t="s">
        <v>1682</v>
      </c>
      <c r="F416" s="41">
        <v>1000</v>
      </c>
      <c r="G416" s="6" t="s">
        <v>104</v>
      </c>
      <c r="H416" s="6"/>
      <c r="I416" s="6"/>
      <c r="J416" s="6"/>
      <c r="K416" s="35"/>
      <c r="L416" s="36"/>
      <c r="M416" s="30"/>
      <c r="N416" s="6"/>
      <c r="O416" s="6"/>
      <c r="P416" s="32" t="e">
        <f>VLOOKUP(Table311[[#This Row],[UNIT NO.]],[1]!Table35711[[#Headers],[#Data],[Unit '#]:[Application/Sold/ Unsold]],7,0)</f>
        <v>#REF!</v>
      </c>
      <c r="S416" s="64"/>
    </row>
    <row r="417" spans="2:19" x14ac:dyDescent="0.25">
      <c r="B417" s="5">
        <f t="shared" si="6"/>
        <v>414</v>
      </c>
      <c r="C417" s="29"/>
      <c r="D417" s="6" t="s">
        <v>902</v>
      </c>
      <c r="E417" s="40" t="s">
        <v>1683</v>
      </c>
      <c r="F417" s="41">
        <v>1000</v>
      </c>
      <c r="G417" s="6" t="s">
        <v>104</v>
      </c>
      <c r="H417" s="6"/>
      <c r="I417" s="6"/>
      <c r="J417" s="6"/>
      <c r="K417" s="7"/>
      <c r="L417" s="30"/>
      <c r="M417" s="30"/>
      <c r="N417" s="6"/>
      <c r="O417" s="6"/>
      <c r="P417" s="32" t="e">
        <f>VLOOKUP(Table311[[#This Row],[UNIT NO.]],[1]!Table35711[[#Headers],[#Data],[Unit '#]:[Application/Sold/ Unsold]],7,0)</f>
        <v>#REF!</v>
      </c>
      <c r="S417" s="64"/>
    </row>
    <row r="418" spans="2:19" x14ac:dyDescent="0.25">
      <c r="B418" s="5">
        <f t="shared" si="6"/>
        <v>415</v>
      </c>
      <c r="C418" s="29"/>
      <c r="D418" s="6" t="s">
        <v>902</v>
      </c>
      <c r="E418" s="40" t="s">
        <v>1684</v>
      </c>
      <c r="F418" s="41">
        <v>1000</v>
      </c>
      <c r="G418" s="6" t="s">
        <v>104</v>
      </c>
      <c r="H418" s="6"/>
      <c r="I418" s="6"/>
      <c r="J418" s="6"/>
      <c r="K418" s="7"/>
      <c r="L418" s="30"/>
      <c r="M418" s="30"/>
      <c r="N418" s="6"/>
      <c r="O418" s="6"/>
      <c r="P418" s="32" t="e">
        <f>VLOOKUP(Table311[[#This Row],[UNIT NO.]],[1]!Table35711[[#Headers],[#Data],[Unit '#]:[Application/Sold/ Unsold]],7,0)</f>
        <v>#REF!</v>
      </c>
      <c r="S418" s="64"/>
    </row>
    <row r="419" spans="2:19" x14ac:dyDescent="0.25">
      <c r="B419" s="5">
        <f t="shared" si="6"/>
        <v>416</v>
      </c>
      <c r="C419" s="33"/>
      <c r="D419" s="6" t="s">
        <v>902</v>
      </c>
      <c r="E419" s="40" t="s">
        <v>1685</v>
      </c>
      <c r="F419" s="41">
        <v>1000</v>
      </c>
      <c r="G419" s="6" t="s">
        <v>104</v>
      </c>
      <c r="H419" s="6"/>
      <c r="I419" s="6"/>
      <c r="J419" s="6"/>
      <c r="K419" s="35"/>
      <c r="L419" s="36"/>
      <c r="M419" s="30"/>
      <c r="N419" s="6"/>
      <c r="O419" s="6"/>
      <c r="P419" s="32" t="e">
        <f>VLOOKUP(Table311[[#This Row],[UNIT NO.]],[1]!Table35711[[#Headers],[#Data],[Unit '#]:[Application/Sold/ Unsold]],7,0)</f>
        <v>#REF!</v>
      </c>
      <c r="S419" s="64"/>
    </row>
    <row r="420" spans="2:19" x14ac:dyDescent="0.25">
      <c r="B420" s="5">
        <f t="shared" si="6"/>
        <v>417</v>
      </c>
      <c r="C420" s="29"/>
      <c r="D420" s="6" t="s">
        <v>902</v>
      </c>
      <c r="E420" s="40" t="s">
        <v>1686</v>
      </c>
      <c r="F420" s="41">
        <v>1000</v>
      </c>
      <c r="G420" s="6" t="s">
        <v>104</v>
      </c>
      <c r="H420" s="6"/>
      <c r="I420" s="6"/>
      <c r="J420" s="6"/>
      <c r="K420" s="7"/>
      <c r="L420" s="30"/>
      <c r="M420" s="30"/>
      <c r="N420" s="6"/>
      <c r="O420" s="6"/>
      <c r="P420" s="32" t="e">
        <f>VLOOKUP(Table311[[#This Row],[UNIT NO.]],[1]!Table35711[[#Headers],[#Data],[Unit '#]:[Application/Sold/ Unsold]],7,0)</f>
        <v>#REF!</v>
      </c>
      <c r="S420" s="64"/>
    </row>
    <row r="421" spans="2:19" x14ac:dyDescent="0.25">
      <c r="B421" s="5">
        <f t="shared" si="6"/>
        <v>418</v>
      </c>
      <c r="C421" s="29"/>
      <c r="D421" s="6" t="s">
        <v>902</v>
      </c>
      <c r="E421" s="40" t="s">
        <v>1687</v>
      </c>
      <c r="F421" s="41">
        <v>1000</v>
      </c>
      <c r="G421" s="6" t="s">
        <v>104</v>
      </c>
      <c r="H421" s="6"/>
      <c r="I421" s="6"/>
      <c r="J421" s="6"/>
      <c r="K421" s="7"/>
      <c r="L421" s="30"/>
      <c r="M421" s="30"/>
      <c r="N421" s="6"/>
      <c r="O421" s="6"/>
      <c r="P421" s="32" t="e">
        <f>VLOOKUP(Table311[[#This Row],[UNIT NO.]],[1]!Table35711[[#Headers],[#Data],[Unit '#]:[Application/Sold/ Unsold]],7,0)</f>
        <v>#REF!</v>
      </c>
      <c r="S421" s="64"/>
    </row>
    <row r="422" spans="2:19" x14ac:dyDescent="0.25">
      <c r="B422" s="5">
        <f t="shared" si="6"/>
        <v>419</v>
      </c>
      <c r="C422" s="29"/>
      <c r="D422" s="6" t="s">
        <v>902</v>
      </c>
      <c r="E422" s="40" t="s">
        <v>1688</v>
      </c>
      <c r="F422" s="41">
        <v>1000</v>
      </c>
      <c r="G422" s="6" t="s">
        <v>104</v>
      </c>
      <c r="H422" s="6"/>
      <c r="I422" s="6"/>
      <c r="J422" s="6"/>
      <c r="K422" s="7"/>
      <c r="L422" s="30"/>
      <c r="M422" s="30"/>
      <c r="N422" s="6"/>
      <c r="O422" s="6"/>
      <c r="P422" s="32" t="e">
        <f>VLOOKUP(Table311[[#This Row],[UNIT NO.]],[1]!Table35711[[#Headers],[#Data],[Unit '#]:[Application/Sold/ Unsold]],7,0)</f>
        <v>#REF!</v>
      </c>
      <c r="S422" s="64"/>
    </row>
    <row r="423" spans="2:19" x14ac:dyDescent="0.25">
      <c r="B423" s="5">
        <f t="shared" si="6"/>
        <v>420</v>
      </c>
      <c r="C423" s="29"/>
      <c r="D423" s="6" t="s">
        <v>902</v>
      </c>
      <c r="E423" s="40" t="s">
        <v>1689</v>
      </c>
      <c r="F423" s="41">
        <v>800</v>
      </c>
      <c r="G423" s="6" t="s">
        <v>104</v>
      </c>
      <c r="H423" s="6"/>
      <c r="I423" s="6"/>
      <c r="J423" s="6"/>
      <c r="K423" s="7"/>
      <c r="L423" s="30"/>
      <c r="M423" s="30"/>
      <c r="N423" s="6"/>
      <c r="O423" s="6"/>
      <c r="P423" s="32" t="e">
        <f>VLOOKUP(Table311[[#This Row],[UNIT NO.]],[1]!Table35711[[#Headers],[#Data],[Unit '#]:[Application/Sold/ Unsold]],7,0)</f>
        <v>#REF!</v>
      </c>
      <c r="S423" s="64"/>
    </row>
    <row r="424" spans="2:19" x14ac:dyDescent="0.25">
      <c r="B424" s="5">
        <f t="shared" si="6"/>
        <v>421</v>
      </c>
      <c r="C424" s="29"/>
      <c r="D424" s="6" t="s">
        <v>902</v>
      </c>
      <c r="E424" s="40" t="s">
        <v>1690</v>
      </c>
      <c r="F424" s="41">
        <v>800</v>
      </c>
      <c r="G424" s="6" t="s">
        <v>104</v>
      </c>
      <c r="H424" s="6"/>
      <c r="I424" s="6"/>
      <c r="J424" s="6"/>
      <c r="K424" s="7"/>
      <c r="L424" s="30"/>
      <c r="M424" s="30"/>
      <c r="N424" s="6"/>
      <c r="O424" s="6"/>
      <c r="P424" s="32" t="e">
        <f>VLOOKUP(Table311[[#This Row],[UNIT NO.]],[1]!Table35711[[#Headers],[#Data],[Unit '#]:[Application/Sold/ Unsold]],7,0)</f>
        <v>#REF!</v>
      </c>
      <c r="S424" s="64"/>
    </row>
    <row r="425" spans="2:19" x14ac:dyDescent="0.25">
      <c r="B425" s="5">
        <f t="shared" si="6"/>
        <v>422</v>
      </c>
      <c r="C425" s="29"/>
      <c r="D425" s="6" t="s">
        <v>902</v>
      </c>
      <c r="E425" s="40" t="s">
        <v>1691</v>
      </c>
      <c r="F425" s="41">
        <v>800</v>
      </c>
      <c r="G425" s="6" t="s">
        <v>104</v>
      </c>
      <c r="H425" s="6"/>
      <c r="I425" s="6"/>
      <c r="J425" s="6"/>
      <c r="K425" s="7"/>
      <c r="L425" s="30"/>
      <c r="M425" s="30"/>
      <c r="N425" s="6"/>
      <c r="O425" s="6"/>
      <c r="P425" s="32" t="e">
        <f>VLOOKUP(Table311[[#This Row],[UNIT NO.]],[1]!Table35711[[#Headers],[#Data],[Unit '#]:[Application/Sold/ Unsold]],7,0)</f>
        <v>#REF!</v>
      </c>
      <c r="S425" s="64"/>
    </row>
    <row r="426" spans="2:19" x14ac:dyDescent="0.25">
      <c r="B426" s="5">
        <f t="shared" si="6"/>
        <v>423</v>
      </c>
      <c r="C426" s="29"/>
      <c r="D426" s="6" t="s">
        <v>902</v>
      </c>
      <c r="E426" s="40" t="s">
        <v>1692</v>
      </c>
      <c r="F426" s="41">
        <v>800</v>
      </c>
      <c r="G426" s="6" t="s">
        <v>104</v>
      </c>
      <c r="H426" s="6"/>
      <c r="I426" s="6"/>
      <c r="J426" s="6"/>
      <c r="K426" s="7"/>
      <c r="L426" s="30"/>
      <c r="M426" s="30"/>
      <c r="N426" s="6"/>
      <c r="O426" s="6"/>
      <c r="P426" s="32" t="e">
        <f>VLOOKUP(Table311[[#This Row],[UNIT NO.]],[1]!Table35711[[#Headers],[#Data],[Unit '#]:[Application/Sold/ Unsold]],7,0)</f>
        <v>#REF!</v>
      </c>
      <c r="S426" s="64"/>
    </row>
    <row r="427" spans="2:19" x14ac:dyDescent="0.25">
      <c r="B427" s="5">
        <f t="shared" si="6"/>
        <v>424</v>
      </c>
      <c r="C427" s="29"/>
      <c r="D427" s="6" t="s">
        <v>902</v>
      </c>
      <c r="E427" s="40" t="s">
        <v>1693</v>
      </c>
      <c r="F427" s="41">
        <v>800</v>
      </c>
      <c r="G427" s="6" t="s">
        <v>104</v>
      </c>
      <c r="H427" s="6"/>
      <c r="I427" s="6"/>
      <c r="J427" s="6"/>
      <c r="K427" s="7"/>
      <c r="L427" s="30"/>
      <c r="M427" s="30"/>
      <c r="N427" s="6"/>
      <c r="O427" s="6"/>
      <c r="P427" s="32" t="e">
        <f>VLOOKUP(Table311[[#This Row],[UNIT NO.]],[1]!Table35711[[#Headers],[#Data],[Unit '#]:[Application/Sold/ Unsold]],7,0)</f>
        <v>#REF!</v>
      </c>
      <c r="S427" s="64"/>
    </row>
    <row r="428" spans="2:19" x14ac:dyDescent="0.25">
      <c r="B428" s="5">
        <f t="shared" si="6"/>
        <v>425</v>
      </c>
      <c r="C428" s="29"/>
      <c r="D428" s="6" t="s">
        <v>902</v>
      </c>
      <c r="E428" s="40" t="s">
        <v>1694</v>
      </c>
      <c r="F428" s="41">
        <v>800</v>
      </c>
      <c r="G428" s="6" t="s">
        <v>104</v>
      </c>
      <c r="H428" s="6"/>
      <c r="I428" s="6"/>
      <c r="J428" s="6"/>
      <c r="K428" s="7"/>
      <c r="L428" s="30"/>
      <c r="M428" s="30"/>
      <c r="N428" s="6"/>
      <c r="O428" s="6"/>
      <c r="P428" s="32" t="e">
        <f>VLOOKUP(Table311[[#This Row],[UNIT NO.]],[1]!Table35711[[#Headers],[#Data],[Unit '#]:[Application/Sold/ Unsold]],7,0)</f>
        <v>#REF!</v>
      </c>
      <c r="S428" s="64"/>
    </row>
    <row r="429" spans="2:19" x14ac:dyDescent="0.25">
      <c r="B429" s="5">
        <f t="shared" si="6"/>
        <v>426</v>
      </c>
      <c r="C429" s="29"/>
      <c r="D429" s="6" t="s">
        <v>902</v>
      </c>
      <c r="E429" s="40" t="s">
        <v>1695</v>
      </c>
      <c r="F429" s="41">
        <v>800</v>
      </c>
      <c r="G429" s="6" t="s">
        <v>104</v>
      </c>
      <c r="H429" s="6"/>
      <c r="I429" s="6"/>
      <c r="J429" s="6"/>
      <c r="K429" s="7"/>
      <c r="L429" s="30"/>
      <c r="M429" s="30"/>
      <c r="N429" s="6"/>
      <c r="O429" s="6"/>
      <c r="P429" s="32" t="e">
        <f>VLOOKUP(Table311[[#This Row],[UNIT NO.]],[1]!Table35711[[#Headers],[#Data],[Unit '#]:[Application/Sold/ Unsold]],7,0)</f>
        <v>#REF!</v>
      </c>
      <c r="S429" s="64"/>
    </row>
    <row r="430" spans="2:19" x14ac:dyDescent="0.25">
      <c r="B430" s="5">
        <f t="shared" si="6"/>
        <v>427</v>
      </c>
      <c r="C430" s="29"/>
      <c r="D430" s="6" t="s">
        <v>902</v>
      </c>
      <c r="E430" s="40" t="s">
        <v>1696</v>
      </c>
      <c r="F430" s="41">
        <v>800</v>
      </c>
      <c r="G430" s="6" t="s">
        <v>32</v>
      </c>
      <c r="H430" s="6"/>
      <c r="I430" s="6"/>
      <c r="J430" s="6"/>
      <c r="K430" s="7"/>
      <c r="L430" s="30"/>
      <c r="M430" s="30"/>
      <c r="N430" s="6"/>
      <c r="O430" s="6"/>
      <c r="P430" s="32" t="e">
        <f>VLOOKUP(Table311[[#This Row],[UNIT NO.]],[1]!Table35711[[#Headers],[#Data],[Unit '#]:[Application/Sold/ Unsold]],7,0)</f>
        <v>#REF!</v>
      </c>
      <c r="S430" s="64"/>
    </row>
    <row r="431" spans="2:19" x14ac:dyDescent="0.25">
      <c r="B431" s="5">
        <f t="shared" si="6"/>
        <v>428</v>
      </c>
      <c r="C431" s="33"/>
      <c r="D431" s="6" t="s">
        <v>902</v>
      </c>
      <c r="E431" s="40" t="s">
        <v>1697</v>
      </c>
      <c r="F431" s="41">
        <v>800</v>
      </c>
      <c r="G431" s="6" t="s">
        <v>104</v>
      </c>
      <c r="H431" s="6"/>
      <c r="I431" s="6"/>
      <c r="J431" s="6"/>
      <c r="K431" s="35"/>
      <c r="L431" s="36"/>
      <c r="M431" s="30"/>
      <c r="N431" s="6"/>
      <c r="O431" s="6"/>
      <c r="P431" s="32" t="e">
        <f>VLOOKUP(Table311[[#This Row],[UNIT NO.]],[1]!Table35711[[#Headers],[#Data],[Unit '#]:[Application/Sold/ Unsold]],7,0)</f>
        <v>#REF!</v>
      </c>
      <c r="S431" s="64"/>
    </row>
    <row r="432" spans="2:19" x14ac:dyDescent="0.25">
      <c r="B432" s="5">
        <f t="shared" si="6"/>
        <v>429</v>
      </c>
      <c r="C432" s="29"/>
      <c r="D432" s="6" t="s">
        <v>902</v>
      </c>
      <c r="E432" s="40" t="s">
        <v>1698</v>
      </c>
      <c r="F432" s="41">
        <v>800</v>
      </c>
      <c r="G432" s="6" t="s">
        <v>104</v>
      </c>
      <c r="H432" s="6"/>
      <c r="I432" s="6"/>
      <c r="J432" s="6"/>
      <c r="K432" s="7"/>
      <c r="L432" s="30"/>
      <c r="M432" s="30"/>
      <c r="N432" s="6"/>
      <c r="O432" s="6"/>
      <c r="P432" s="32" t="e">
        <f>VLOOKUP(Table311[[#This Row],[UNIT NO.]],[1]!Table35711[[#Headers],[#Data],[Unit '#]:[Application/Sold/ Unsold]],7,0)</f>
        <v>#REF!</v>
      </c>
      <c r="S432" s="64"/>
    </row>
    <row r="433" spans="2:19" x14ac:dyDescent="0.25">
      <c r="B433" s="5">
        <f t="shared" si="6"/>
        <v>430</v>
      </c>
      <c r="C433" s="29"/>
      <c r="D433" s="6" t="s">
        <v>902</v>
      </c>
      <c r="E433" s="40" t="s">
        <v>1699</v>
      </c>
      <c r="F433" s="41">
        <v>800</v>
      </c>
      <c r="G433" s="6" t="s">
        <v>104</v>
      </c>
      <c r="H433" s="6"/>
      <c r="I433" s="6"/>
      <c r="J433" s="6"/>
      <c r="K433" s="7"/>
      <c r="L433" s="30"/>
      <c r="M433" s="30"/>
      <c r="N433" s="6"/>
      <c r="O433" s="6"/>
      <c r="P433" s="32" t="e">
        <f>VLOOKUP(Table311[[#This Row],[UNIT NO.]],[1]!Table35711[[#Headers],[#Data],[Unit '#]:[Application/Sold/ Unsold]],7,0)</f>
        <v>#REF!</v>
      </c>
      <c r="S433" s="64"/>
    </row>
    <row r="434" spans="2:19" x14ac:dyDescent="0.25">
      <c r="B434" s="5">
        <f t="shared" si="6"/>
        <v>431</v>
      </c>
      <c r="C434" s="29"/>
      <c r="D434" s="6" t="s">
        <v>902</v>
      </c>
      <c r="E434" s="40" t="s">
        <v>1700</v>
      </c>
      <c r="F434" s="41">
        <v>800</v>
      </c>
      <c r="G434" s="6" t="s">
        <v>104</v>
      </c>
      <c r="H434" s="6"/>
      <c r="I434" s="6"/>
      <c r="J434" s="6"/>
      <c r="K434" s="7"/>
      <c r="L434" s="30"/>
      <c r="M434" s="30"/>
      <c r="N434" s="6"/>
      <c r="O434" s="6"/>
      <c r="P434" s="32" t="e">
        <f>VLOOKUP(Table311[[#This Row],[UNIT NO.]],[1]!Table35711[[#Headers],[#Data],[Unit '#]:[Application/Sold/ Unsold]],7,0)</f>
        <v>#REF!</v>
      </c>
      <c r="S434" s="64"/>
    </row>
    <row r="435" spans="2:19" ht="26.25" x14ac:dyDescent="0.25">
      <c r="B435" s="5">
        <f t="shared" si="6"/>
        <v>432</v>
      </c>
      <c r="C435" s="29" t="s">
        <v>1701</v>
      </c>
      <c r="D435" s="6" t="s">
        <v>903</v>
      </c>
      <c r="E435" s="29" t="s">
        <v>1702</v>
      </c>
      <c r="F435" s="6">
        <v>830</v>
      </c>
      <c r="G435" s="6" t="s">
        <v>26</v>
      </c>
      <c r="H435" s="6"/>
      <c r="I435" s="6"/>
      <c r="J435" s="6"/>
      <c r="K435" s="7">
        <v>41347</v>
      </c>
      <c r="L435" s="30">
        <v>2383000</v>
      </c>
      <c r="M435" s="30">
        <v>2040058</v>
      </c>
      <c r="N435" s="6" t="s">
        <v>46</v>
      </c>
      <c r="O435" s="31">
        <v>43103</v>
      </c>
      <c r="P435" s="32" t="e">
        <f>VLOOKUP(Table311[[#This Row],[UNIT NO.]],[1]!Table35711[[#Headers],[#Data],[Unit '#]:[Application/Sold/ Unsold]],7,0)</f>
        <v>#REF!</v>
      </c>
      <c r="S435" s="64"/>
    </row>
    <row r="436" spans="2:19" ht="39" x14ac:dyDescent="0.25">
      <c r="B436" s="5">
        <f t="shared" si="6"/>
        <v>433</v>
      </c>
      <c r="C436" s="29" t="s">
        <v>1703</v>
      </c>
      <c r="D436" s="6" t="s">
        <v>903</v>
      </c>
      <c r="E436" s="29" t="s">
        <v>1704</v>
      </c>
      <c r="F436" s="6">
        <v>830</v>
      </c>
      <c r="G436" s="6" t="s">
        <v>26</v>
      </c>
      <c r="H436" s="6"/>
      <c r="I436" s="6"/>
      <c r="J436" s="6"/>
      <c r="K436" s="7">
        <v>41218</v>
      </c>
      <c r="L436" s="30">
        <v>2057438</v>
      </c>
      <c r="M436" s="30">
        <v>2051290</v>
      </c>
      <c r="N436" s="6" t="s">
        <v>30</v>
      </c>
      <c r="O436" s="31">
        <v>43103</v>
      </c>
      <c r="P436" s="32" t="e">
        <f>VLOOKUP(Table311[[#This Row],[UNIT NO.]],[1]!Table35711[[#Headers],[#Data],[Unit '#]:[Application/Sold/ Unsold]],7,0)</f>
        <v>#REF!</v>
      </c>
      <c r="S436" s="64"/>
    </row>
    <row r="437" spans="2:19" ht="39" x14ac:dyDescent="0.25">
      <c r="B437" s="5">
        <f t="shared" si="6"/>
        <v>434</v>
      </c>
      <c r="C437" s="29" t="s">
        <v>1705</v>
      </c>
      <c r="D437" s="6" t="s">
        <v>903</v>
      </c>
      <c r="E437" s="29" t="s">
        <v>1706</v>
      </c>
      <c r="F437" s="6">
        <v>830</v>
      </c>
      <c r="G437" s="6" t="s">
        <v>26</v>
      </c>
      <c r="H437" s="6"/>
      <c r="I437" s="6"/>
      <c r="J437" s="6"/>
      <c r="K437" s="7">
        <v>41221</v>
      </c>
      <c r="L437" s="30">
        <v>2185000</v>
      </c>
      <c r="M437" s="30">
        <v>457371</v>
      </c>
      <c r="N437" s="6" t="s">
        <v>30</v>
      </c>
      <c r="O437" s="31">
        <v>43103</v>
      </c>
      <c r="P437" s="32" t="e">
        <f>VLOOKUP(Table311[[#This Row],[UNIT NO.]],[1]!Table35711[[#Headers],[#Data],[Unit '#]:[Application/Sold/ Unsold]],7,0)</f>
        <v>#REF!</v>
      </c>
      <c r="S437" s="64"/>
    </row>
    <row r="438" spans="2:19" x14ac:dyDescent="0.25">
      <c r="B438" s="5">
        <f t="shared" si="6"/>
        <v>435</v>
      </c>
      <c r="C438" s="33" t="s">
        <v>23</v>
      </c>
      <c r="D438" s="6" t="s">
        <v>903</v>
      </c>
      <c r="E438" s="33" t="s">
        <v>1707</v>
      </c>
      <c r="F438" s="34">
        <v>830</v>
      </c>
      <c r="G438" s="6" t="s">
        <v>26</v>
      </c>
      <c r="H438" s="6"/>
      <c r="I438" s="6"/>
      <c r="J438" s="6"/>
      <c r="K438" s="35">
        <v>42576</v>
      </c>
      <c r="L438" s="36">
        <v>2681500</v>
      </c>
      <c r="M438" s="30">
        <f>315833-44352-31475</f>
        <v>240006</v>
      </c>
      <c r="N438" s="6" t="s">
        <v>30</v>
      </c>
      <c r="O438" s="31">
        <v>43103</v>
      </c>
      <c r="P438" s="32" t="e">
        <f>VLOOKUP(Table311[[#This Row],[UNIT NO.]],[1]!Table35711[[#Headers],[#Data],[Unit '#]:[Application/Sold/ Unsold]],7,0)</f>
        <v>#REF!</v>
      </c>
      <c r="S438" s="64"/>
    </row>
    <row r="439" spans="2:19" ht="26.25" x14ac:dyDescent="0.25">
      <c r="B439" s="5">
        <f t="shared" si="6"/>
        <v>436</v>
      </c>
      <c r="C439" s="29" t="s">
        <v>1708</v>
      </c>
      <c r="D439" s="6" t="s">
        <v>903</v>
      </c>
      <c r="E439" s="29" t="s">
        <v>1709</v>
      </c>
      <c r="F439" s="6">
        <v>830</v>
      </c>
      <c r="G439" s="6" t="s">
        <v>26</v>
      </c>
      <c r="H439" s="6"/>
      <c r="I439" s="6"/>
      <c r="J439" s="6"/>
      <c r="K439" s="7">
        <v>41237</v>
      </c>
      <c r="L439" s="30">
        <v>2183938</v>
      </c>
      <c r="M439" s="30">
        <v>2082606</v>
      </c>
      <c r="N439" s="6" t="s">
        <v>30</v>
      </c>
      <c r="O439" s="31">
        <v>43103</v>
      </c>
      <c r="P439" s="32" t="e">
        <f>VLOOKUP(Table311[[#This Row],[UNIT NO.]],[1]!Table35711[[#Headers],[#Data],[Unit '#]:[Application/Sold/ Unsold]],7,0)</f>
        <v>#REF!</v>
      </c>
      <c r="S439" s="64"/>
    </row>
    <row r="440" spans="2:19" x14ac:dyDescent="0.25">
      <c r="B440" s="5">
        <f t="shared" si="6"/>
        <v>437</v>
      </c>
      <c r="C440" s="29" t="s">
        <v>1710</v>
      </c>
      <c r="D440" s="6" t="s">
        <v>903</v>
      </c>
      <c r="E440" s="29" t="s">
        <v>1711</v>
      </c>
      <c r="F440" s="6">
        <v>830</v>
      </c>
      <c r="G440" s="6" t="s">
        <v>26</v>
      </c>
      <c r="H440" s="6"/>
      <c r="I440" s="6"/>
      <c r="J440" s="6"/>
      <c r="K440" s="7">
        <v>41306</v>
      </c>
      <c r="L440" s="30">
        <v>2291890</v>
      </c>
      <c r="M440" s="30">
        <v>552903</v>
      </c>
      <c r="N440" s="6" t="s">
        <v>30</v>
      </c>
      <c r="O440" s="31">
        <v>43103</v>
      </c>
      <c r="P440" s="32" t="e">
        <f>VLOOKUP(Table311[[#This Row],[UNIT NO.]],[1]!Table35711[[#Headers],[#Data],[Unit '#]:[Application/Sold/ Unsold]],7,0)</f>
        <v>#REF!</v>
      </c>
      <c r="S440" s="64"/>
    </row>
    <row r="441" spans="2:19" x14ac:dyDescent="0.25">
      <c r="B441" s="5">
        <f t="shared" si="6"/>
        <v>438</v>
      </c>
      <c r="C441" s="33" t="s">
        <v>1712</v>
      </c>
      <c r="D441" s="6" t="s">
        <v>903</v>
      </c>
      <c r="E441" s="33" t="s">
        <v>1713</v>
      </c>
      <c r="F441" s="34">
        <v>830</v>
      </c>
      <c r="G441" s="6" t="s">
        <v>26</v>
      </c>
      <c r="H441" s="6"/>
      <c r="I441" s="6"/>
      <c r="J441" s="6"/>
      <c r="K441" s="35">
        <v>42893</v>
      </c>
      <c r="L441" s="36">
        <v>2450200</v>
      </c>
      <c r="M441" s="30">
        <f>798230-26899</f>
        <v>771331</v>
      </c>
      <c r="N441" s="6" t="s">
        <v>30</v>
      </c>
      <c r="O441" s="31">
        <v>43103</v>
      </c>
      <c r="P441" s="32" t="e">
        <f>VLOOKUP(Table311[[#This Row],[UNIT NO.]],[1]!Table35711[[#Headers],[#Data],[Unit '#]:[Application/Sold/ Unsold]],7,0)</f>
        <v>#REF!</v>
      </c>
      <c r="S441" s="64"/>
    </row>
    <row r="442" spans="2:19" ht="26.25" x14ac:dyDescent="0.25">
      <c r="B442" s="5">
        <f t="shared" si="6"/>
        <v>439</v>
      </c>
      <c r="C442" s="29" t="s">
        <v>1714</v>
      </c>
      <c r="D442" s="6" t="s">
        <v>903</v>
      </c>
      <c r="E442" s="29" t="s">
        <v>1715</v>
      </c>
      <c r="F442" s="6">
        <v>830</v>
      </c>
      <c r="G442" s="6" t="s">
        <v>26</v>
      </c>
      <c r="H442" s="6"/>
      <c r="I442" s="6"/>
      <c r="J442" s="6"/>
      <c r="K442" s="7">
        <v>41202</v>
      </c>
      <c r="L442" s="30">
        <v>2291890</v>
      </c>
      <c r="M442" s="30">
        <v>2250679</v>
      </c>
      <c r="N442" s="6" t="s">
        <v>30</v>
      </c>
      <c r="O442" s="31">
        <v>43103</v>
      </c>
      <c r="P442" s="32" t="e">
        <f>VLOOKUP(Table311[[#This Row],[UNIT NO.]],[1]!Table35711[[#Headers],[#Data],[Unit '#]:[Application/Sold/ Unsold]],7,0)</f>
        <v>#REF!</v>
      </c>
      <c r="S442" s="64"/>
    </row>
    <row r="443" spans="2:19" ht="26.25" x14ac:dyDescent="0.25">
      <c r="B443" s="5">
        <f t="shared" si="6"/>
        <v>440</v>
      </c>
      <c r="C443" s="29" t="s">
        <v>1716</v>
      </c>
      <c r="D443" s="6" t="s">
        <v>903</v>
      </c>
      <c r="E443" s="29" t="s">
        <v>1717</v>
      </c>
      <c r="F443" s="6">
        <v>830</v>
      </c>
      <c r="G443" s="6" t="s">
        <v>26</v>
      </c>
      <c r="H443" s="6"/>
      <c r="I443" s="6"/>
      <c r="J443" s="6"/>
      <c r="K443" s="7">
        <v>41308</v>
      </c>
      <c r="L443" s="30">
        <v>2336500</v>
      </c>
      <c r="M443" s="30">
        <v>1733750</v>
      </c>
      <c r="N443" s="6" t="s">
        <v>27</v>
      </c>
      <c r="O443" s="31">
        <v>43103</v>
      </c>
      <c r="P443" s="32" t="e">
        <f>VLOOKUP(Table311[[#This Row],[UNIT NO.]],[1]!Table35711[[#Headers],[#Data],[Unit '#]:[Application/Sold/ Unsold]],7,0)</f>
        <v>#REF!</v>
      </c>
      <c r="S443" s="64"/>
    </row>
    <row r="444" spans="2:19" ht="26.25" x14ac:dyDescent="0.25">
      <c r="B444" s="5">
        <f t="shared" si="6"/>
        <v>441</v>
      </c>
      <c r="C444" s="29" t="s">
        <v>1718</v>
      </c>
      <c r="D444" s="6" t="s">
        <v>903</v>
      </c>
      <c r="E444" s="29" t="s">
        <v>1719</v>
      </c>
      <c r="F444" s="6">
        <v>830</v>
      </c>
      <c r="G444" s="6" t="s">
        <v>26</v>
      </c>
      <c r="H444" s="6"/>
      <c r="I444" s="6"/>
      <c r="J444" s="6"/>
      <c r="K444" s="7">
        <v>41335</v>
      </c>
      <c r="L444" s="30">
        <v>2307250</v>
      </c>
      <c r="M444" s="30">
        <v>1979238</v>
      </c>
      <c r="N444" s="6" t="s">
        <v>27</v>
      </c>
      <c r="O444" s="31">
        <v>43103</v>
      </c>
      <c r="P444" s="32" t="e">
        <f>VLOOKUP(Table311[[#This Row],[UNIT NO.]],[1]!Table35711[[#Headers],[#Data],[Unit '#]:[Application/Sold/ Unsold]],7,0)</f>
        <v>#REF!</v>
      </c>
      <c r="S444" s="64"/>
    </row>
    <row r="445" spans="2:19" ht="39" x14ac:dyDescent="0.25">
      <c r="B445" s="5">
        <f t="shared" si="6"/>
        <v>442</v>
      </c>
      <c r="C445" s="29" t="s">
        <v>1720</v>
      </c>
      <c r="D445" s="6" t="s">
        <v>903</v>
      </c>
      <c r="E445" s="29" t="s">
        <v>1721</v>
      </c>
      <c r="F445" s="6">
        <v>830</v>
      </c>
      <c r="G445" s="6" t="s">
        <v>26</v>
      </c>
      <c r="H445" s="6"/>
      <c r="I445" s="6"/>
      <c r="J445" s="6"/>
      <c r="K445" s="7">
        <v>41280</v>
      </c>
      <c r="L445" s="30">
        <v>2183438</v>
      </c>
      <c r="M445" s="30">
        <v>2066378</v>
      </c>
      <c r="N445" s="6" t="s">
        <v>27</v>
      </c>
      <c r="O445" s="31">
        <v>43103</v>
      </c>
      <c r="P445" s="32" t="e">
        <f>VLOOKUP(Table311[[#This Row],[UNIT NO.]],[1]!Table35711[[#Headers],[#Data],[Unit '#]:[Application/Sold/ Unsold]],7,0)</f>
        <v>#REF!</v>
      </c>
      <c r="S445" s="64"/>
    </row>
    <row r="446" spans="2:19" ht="26.25" x14ac:dyDescent="0.25">
      <c r="B446" s="5">
        <f t="shared" si="6"/>
        <v>443</v>
      </c>
      <c r="C446" s="29" t="s">
        <v>1722</v>
      </c>
      <c r="D446" s="6" t="s">
        <v>903</v>
      </c>
      <c r="E446" s="29" t="s">
        <v>1723</v>
      </c>
      <c r="F446" s="6">
        <v>830</v>
      </c>
      <c r="G446" s="6" t="s">
        <v>26</v>
      </c>
      <c r="H446" s="6"/>
      <c r="I446" s="6"/>
      <c r="J446" s="6"/>
      <c r="K446" s="7">
        <v>41238</v>
      </c>
      <c r="L446" s="30">
        <v>2480890</v>
      </c>
      <c r="M446" s="30">
        <v>2380145</v>
      </c>
      <c r="N446" s="6" t="s">
        <v>39</v>
      </c>
      <c r="O446" s="31">
        <v>43103</v>
      </c>
      <c r="P446" s="32" t="e">
        <f>VLOOKUP(Table311[[#This Row],[UNIT NO.]],[1]!Table35711[[#Headers],[#Data],[Unit '#]:[Application/Sold/ Unsold]],7,0)</f>
        <v>#REF!</v>
      </c>
      <c r="S446" s="64"/>
    </row>
    <row r="447" spans="2:19" ht="26.25" x14ac:dyDescent="0.25">
      <c r="B447" s="5">
        <f t="shared" si="6"/>
        <v>444</v>
      </c>
      <c r="C447" s="29" t="s">
        <v>1724</v>
      </c>
      <c r="D447" s="6" t="s">
        <v>903</v>
      </c>
      <c r="E447" s="29" t="s">
        <v>1725</v>
      </c>
      <c r="F447" s="6">
        <v>830</v>
      </c>
      <c r="G447" s="6" t="s">
        <v>26</v>
      </c>
      <c r="H447" s="6"/>
      <c r="I447" s="6"/>
      <c r="J447" s="6"/>
      <c r="K447" s="7">
        <v>41289</v>
      </c>
      <c r="L447" s="30">
        <v>2480890</v>
      </c>
      <c r="M447" s="30">
        <v>2480890</v>
      </c>
      <c r="N447" s="6" t="s">
        <v>46</v>
      </c>
      <c r="O447" s="31">
        <v>43103</v>
      </c>
      <c r="P447" s="32" t="e">
        <f>VLOOKUP(Table311[[#This Row],[UNIT NO.]],[1]!Table35711[[#Headers],[#Data],[Unit '#]:[Application/Sold/ Unsold]],7,0)</f>
        <v>#REF!</v>
      </c>
      <c r="S447" s="64"/>
    </row>
    <row r="448" spans="2:19" ht="26.25" x14ac:dyDescent="0.25">
      <c r="B448" s="5">
        <f t="shared" si="6"/>
        <v>445</v>
      </c>
      <c r="C448" s="29" t="s">
        <v>1726</v>
      </c>
      <c r="D448" s="6" t="s">
        <v>903</v>
      </c>
      <c r="E448" s="29" t="s">
        <v>1727</v>
      </c>
      <c r="F448" s="6">
        <v>830</v>
      </c>
      <c r="G448" s="6" t="s">
        <v>26</v>
      </c>
      <c r="H448" s="6"/>
      <c r="I448" s="6"/>
      <c r="J448" s="6"/>
      <c r="K448" s="7">
        <v>41213</v>
      </c>
      <c r="L448" s="30">
        <v>2430780</v>
      </c>
      <c r="M448" s="30">
        <v>2308740</v>
      </c>
      <c r="N448" s="6" t="s">
        <v>27</v>
      </c>
      <c r="O448" s="31">
        <v>43103</v>
      </c>
      <c r="P448" s="32" t="e">
        <f>VLOOKUP(Table311[[#This Row],[UNIT NO.]],[1]!Table35711[[#Headers],[#Data],[Unit '#]:[Application/Sold/ Unsold]],7,0)</f>
        <v>#REF!</v>
      </c>
      <c r="S448" s="64"/>
    </row>
    <row r="449" spans="2:19" ht="39" x14ac:dyDescent="0.25">
      <c r="B449" s="5">
        <f t="shared" si="6"/>
        <v>446</v>
      </c>
      <c r="C449" s="29" t="s">
        <v>1728</v>
      </c>
      <c r="D449" s="6" t="s">
        <v>903</v>
      </c>
      <c r="E449" s="29" t="s">
        <v>1729</v>
      </c>
      <c r="F449" s="6">
        <v>830</v>
      </c>
      <c r="G449" s="6" t="s">
        <v>26</v>
      </c>
      <c r="H449" s="6"/>
      <c r="I449" s="6"/>
      <c r="J449" s="6"/>
      <c r="K449" s="7">
        <v>41430</v>
      </c>
      <c r="L449" s="30">
        <v>2413825</v>
      </c>
      <c r="M449" s="30">
        <v>378182</v>
      </c>
      <c r="N449" s="6" t="s">
        <v>30</v>
      </c>
      <c r="O449" s="31">
        <v>43103</v>
      </c>
      <c r="P449" s="32" t="e">
        <f>VLOOKUP(Table311[[#This Row],[UNIT NO.]],[1]!Table35711[[#Headers],[#Data],[Unit '#]:[Application/Sold/ Unsold]],7,0)</f>
        <v>#REF!</v>
      </c>
      <c r="S449" s="64"/>
    </row>
    <row r="450" spans="2:19" ht="26.25" x14ac:dyDescent="0.25">
      <c r="B450" s="5">
        <f t="shared" si="6"/>
        <v>447</v>
      </c>
      <c r="C450" s="29" t="s">
        <v>1730</v>
      </c>
      <c r="D450" s="6" t="s">
        <v>903</v>
      </c>
      <c r="E450" s="29" t="s">
        <v>1731</v>
      </c>
      <c r="F450" s="6">
        <v>830</v>
      </c>
      <c r="G450" s="6" t="s">
        <v>26</v>
      </c>
      <c r="H450" s="6"/>
      <c r="I450" s="6"/>
      <c r="J450" s="6"/>
      <c r="K450" s="7">
        <v>41216</v>
      </c>
      <c r="L450" s="30">
        <v>1914216</v>
      </c>
      <c r="M450" s="30">
        <v>1550548</v>
      </c>
      <c r="N450" s="6" t="s">
        <v>30</v>
      </c>
      <c r="O450" s="31">
        <v>43103</v>
      </c>
      <c r="P450" s="32" t="e">
        <f>VLOOKUP(Table311[[#This Row],[UNIT NO.]],[1]!Table35711[[#Headers],[#Data],[Unit '#]:[Application/Sold/ Unsold]],7,0)</f>
        <v>#REF!</v>
      </c>
      <c r="S450" s="64"/>
    </row>
    <row r="451" spans="2:19" ht="26.25" x14ac:dyDescent="0.25">
      <c r="B451" s="5">
        <f t="shared" si="6"/>
        <v>448</v>
      </c>
      <c r="C451" s="29" t="s">
        <v>1732</v>
      </c>
      <c r="D451" s="6" t="s">
        <v>903</v>
      </c>
      <c r="E451" s="29" t="s">
        <v>1733</v>
      </c>
      <c r="F451" s="6">
        <v>830</v>
      </c>
      <c r="G451" s="6" t="s">
        <v>26</v>
      </c>
      <c r="H451" s="6"/>
      <c r="I451" s="6"/>
      <c r="J451" s="6"/>
      <c r="K451" s="7">
        <v>41242</v>
      </c>
      <c r="L451" s="30">
        <v>2216890</v>
      </c>
      <c r="M451" s="30">
        <v>2216890</v>
      </c>
      <c r="N451" s="6" t="s">
        <v>144</v>
      </c>
      <c r="O451" s="31">
        <v>43103</v>
      </c>
      <c r="P451" s="32" t="e">
        <f>VLOOKUP(Table311[[#This Row],[UNIT NO.]],[1]!Table35711[[#Headers],[#Data],[Unit '#]:[Application/Sold/ Unsold]],7,0)</f>
        <v>#REF!</v>
      </c>
      <c r="S451" s="64"/>
    </row>
    <row r="452" spans="2:19" ht="26.25" x14ac:dyDescent="0.25">
      <c r="B452" s="5">
        <f t="shared" si="6"/>
        <v>449</v>
      </c>
      <c r="C452" s="29" t="s">
        <v>531</v>
      </c>
      <c r="D452" s="6" t="s">
        <v>903</v>
      </c>
      <c r="E452" s="29" t="s">
        <v>1734</v>
      </c>
      <c r="F452" s="6">
        <v>830</v>
      </c>
      <c r="G452" s="6" t="s">
        <v>26</v>
      </c>
      <c r="H452" s="6"/>
      <c r="I452" s="6"/>
      <c r="J452" s="6"/>
      <c r="K452" s="7">
        <v>41765</v>
      </c>
      <c r="L452" s="30">
        <v>2689000</v>
      </c>
      <c r="M452" s="30">
        <v>2445385</v>
      </c>
      <c r="N452" s="6" t="s">
        <v>144</v>
      </c>
      <c r="O452" s="31">
        <v>43103</v>
      </c>
      <c r="P452" s="32" t="e">
        <f>VLOOKUP(Table311[[#This Row],[UNIT NO.]],[1]!Table35711[[#Headers],[#Data],[Unit '#]:[Application/Sold/ Unsold]],7,0)</f>
        <v>#REF!</v>
      </c>
      <c r="S452" s="64"/>
    </row>
    <row r="453" spans="2:19" x14ac:dyDescent="0.25">
      <c r="B453" s="5">
        <f t="shared" si="6"/>
        <v>450</v>
      </c>
      <c r="C453" s="29" t="s">
        <v>1735</v>
      </c>
      <c r="D453" s="6" t="s">
        <v>903</v>
      </c>
      <c r="E453" s="29" t="s">
        <v>1736</v>
      </c>
      <c r="F453" s="6">
        <v>830</v>
      </c>
      <c r="G453" s="6" t="s">
        <v>26</v>
      </c>
      <c r="H453" s="6"/>
      <c r="I453" s="6"/>
      <c r="J453" s="6"/>
      <c r="K453" s="7">
        <v>41213</v>
      </c>
      <c r="L453" s="30">
        <v>2247625</v>
      </c>
      <c r="M453" s="30">
        <v>1932195</v>
      </c>
      <c r="N453" s="6" t="s">
        <v>27</v>
      </c>
      <c r="O453" s="31">
        <v>43103</v>
      </c>
      <c r="P453" s="32" t="e">
        <f>VLOOKUP(Table311[[#This Row],[UNIT NO.]],[1]!Table35711[[#Headers],[#Data],[Unit '#]:[Application/Sold/ Unsold]],7,0)</f>
        <v>#REF!</v>
      </c>
      <c r="S453" s="64"/>
    </row>
    <row r="454" spans="2:19" x14ac:dyDescent="0.25">
      <c r="B454" s="5">
        <f t="shared" ref="B454:B517" si="7">B453+1</f>
        <v>451</v>
      </c>
      <c r="C454" s="33" t="s">
        <v>1737</v>
      </c>
      <c r="D454" s="6" t="s">
        <v>903</v>
      </c>
      <c r="E454" s="33" t="s">
        <v>1738</v>
      </c>
      <c r="F454" s="34">
        <v>830</v>
      </c>
      <c r="G454" s="6" t="s">
        <v>26</v>
      </c>
      <c r="H454" s="6"/>
      <c r="I454" s="6"/>
      <c r="J454" s="6"/>
      <c r="K454" s="35">
        <v>42742</v>
      </c>
      <c r="L454" s="36">
        <v>2780100</v>
      </c>
      <c r="M454" s="30">
        <v>2635114</v>
      </c>
      <c r="N454" s="6" t="s">
        <v>46</v>
      </c>
      <c r="O454" s="31">
        <v>43103</v>
      </c>
      <c r="P454" s="32" t="e">
        <f>VLOOKUP(Table311[[#This Row],[UNIT NO.]],[1]!Table35711[[#Headers],[#Data],[Unit '#]:[Application/Sold/ Unsold]],7,0)</f>
        <v>#REF!</v>
      </c>
      <c r="S454" s="64"/>
    </row>
    <row r="455" spans="2:19" ht="26.25" x14ac:dyDescent="0.25">
      <c r="B455" s="5">
        <f t="shared" si="7"/>
        <v>452</v>
      </c>
      <c r="C455" s="29" t="s">
        <v>1739</v>
      </c>
      <c r="D455" s="6" t="s">
        <v>903</v>
      </c>
      <c r="E455" s="29" t="s">
        <v>1740</v>
      </c>
      <c r="F455" s="6">
        <v>830</v>
      </c>
      <c r="G455" s="6" t="s">
        <v>26</v>
      </c>
      <c r="H455" s="6"/>
      <c r="I455" s="6"/>
      <c r="J455" s="6"/>
      <c r="K455" s="7">
        <v>41213</v>
      </c>
      <c r="L455" s="30">
        <v>2247625</v>
      </c>
      <c r="M455" s="30">
        <v>2038021</v>
      </c>
      <c r="N455" s="6" t="s">
        <v>27</v>
      </c>
      <c r="O455" s="31">
        <v>43103</v>
      </c>
      <c r="P455" s="32" t="e">
        <f>VLOOKUP(Table311[[#This Row],[UNIT NO.]],[1]!Table35711[[#Headers],[#Data],[Unit '#]:[Application/Sold/ Unsold]],7,0)</f>
        <v>#REF!</v>
      </c>
      <c r="S455" s="64"/>
    </row>
    <row r="456" spans="2:19" x14ac:dyDescent="0.25">
      <c r="B456" s="5">
        <f t="shared" si="7"/>
        <v>453</v>
      </c>
      <c r="C456" s="33" t="s">
        <v>1741</v>
      </c>
      <c r="D456" s="6" t="s">
        <v>903</v>
      </c>
      <c r="E456" s="33" t="s">
        <v>1742</v>
      </c>
      <c r="F456" s="34">
        <v>830</v>
      </c>
      <c r="G456" s="6" t="s">
        <v>26</v>
      </c>
      <c r="H456" s="6"/>
      <c r="I456" s="6"/>
      <c r="J456" s="6"/>
      <c r="K456" s="35">
        <v>42742</v>
      </c>
      <c r="L456" s="36">
        <v>2731410</v>
      </c>
      <c r="M456" s="30">
        <v>2592218</v>
      </c>
      <c r="N456" s="6" t="s">
        <v>46</v>
      </c>
      <c r="O456" s="31">
        <v>43103</v>
      </c>
      <c r="P456" s="32" t="e">
        <f>VLOOKUP(Table311[[#This Row],[UNIT NO.]],[1]!Table35711[[#Headers],[#Data],[Unit '#]:[Application/Sold/ Unsold]],7,0)</f>
        <v>#REF!</v>
      </c>
      <c r="S456" s="64"/>
    </row>
    <row r="457" spans="2:19" ht="26.25" x14ac:dyDescent="0.25">
      <c r="B457" s="5">
        <f t="shared" si="7"/>
        <v>454</v>
      </c>
      <c r="C457" s="29" t="s">
        <v>1404</v>
      </c>
      <c r="D457" s="6" t="s">
        <v>903</v>
      </c>
      <c r="E457" s="29" t="s">
        <v>1743</v>
      </c>
      <c r="F457" s="6">
        <v>830</v>
      </c>
      <c r="G457" s="6" t="s">
        <v>26</v>
      </c>
      <c r="H457" s="6"/>
      <c r="I457" s="6"/>
      <c r="J457" s="6"/>
      <c r="K457" s="7">
        <v>41294</v>
      </c>
      <c r="L457" s="30">
        <v>2179090</v>
      </c>
      <c r="M457" s="30">
        <v>1124226</v>
      </c>
      <c r="N457" s="6" t="s">
        <v>144</v>
      </c>
      <c r="O457" s="31">
        <v>43103</v>
      </c>
      <c r="P457" s="32" t="e">
        <f>VLOOKUP(Table311[[#This Row],[UNIT NO.]],[1]!Table35711[[#Headers],[#Data],[Unit '#]:[Application/Sold/ Unsold]],7,0)</f>
        <v>#REF!</v>
      </c>
      <c r="S457" s="64"/>
    </row>
    <row r="458" spans="2:19" ht="26.25" x14ac:dyDescent="0.25">
      <c r="B458" s="5">
        <f t="shared" si="7"/>
        <v>455</v>
      </c>
      <c r="C458" s="29" t="s">
        <v>1744</v>
      </c>
      <c r="D458" s="6" t="s">
        <v>903</v>
      </c>
      <c r="E458" s="29" t="s">
        <v>1745</v>
      </c>
      <c r="F458" s="6">
        <v>830</v>
      </c>
      <c r="G458" s="6" t="s">
        <v>26</v>
      </c>
      <c r="H458" s="6"/>
      <c r="I458" s="6"/>
      <c r="J458" s="6"/>
      <c r="K458" s="7">
        <v>41061</v>
      </c>
      <c r="L458" s="30">
        <v>1917938</v>
      </c>
      <c r="M458" s="30">
        <v>1917938</v>
      </c>
      <c r="N458" s="6" t="s">
        <v>30</v>
      </c>
      <c r="O458" s="31">
        <v>43103</v>
      </c>
      <c r="P458" s="32" t="e">
        <f>VLOOKUP(Table311[[#This Row],[UNIT NO.]],[1]!Table35711[[#Headers],[#Data],[Unit '#]:[Application/Sold/ Unsold]],7,0)</f>
        <v>#REF!</v>
      </c>
      <c r="S458" s="64"/>
    </row>
    <row r="459" spans="2:19" ht="26.25" x14ac:dyDescent="0.25">
      <c r="B459" s="5">
        <f t="shared" si="7"/>
        <v>456</v>
      </c>
      <c r="C459" s="29" t="s">
        <v>1746</v>
      </c>
      <c r="D459" s="6" t="s">
        <v>903</v>
      </c>
      <c r="E459" s="29" t="s">
        <v>1747</v>
      </c>
      <c r="F459" s="6">
        <v>830</v>
      </c>
      <c r="G459" s="6" t="s">
        <v>26</v>
      </c>
      <c r="H459" s="6"/>
      <c r="I459" s="6"/>
      <c r="J459" s="6"/>
      <c r="K459" s="7">
        <v>42306</v>
      </c>
      <c r="L459" s="30">
        <v>2731275</v>
      </c>
      <c r="M459" s="30">
        <v>2631093</v>
      </c>
      <c r="N459" s="6" t="s">
        <v>144</v>
      </c>
      <c r="O459" s="31">
        <v>43103</v>
      </c>
      <c r="P459" s="32" t="e">
        <f>VLOOKUP(Table311[[#This Row],[UNIT NO.]],[1]!Table35711[[#Headers],[#Data],[Unit '#]:[Application/Sold/ Unsold]],7,0)</f>
        <v>#REF!</v>
      </c>
      <c r="S459" s="64"/>
    </row>
    <row r="460" spans="2:19" ht="26.25" x14ac:dyDescent="0.25">
      <c r="B460" s="5">
        <f t="shared" si="7"/>
        <v>457</v>
      </c>
      <c r="C460" s="29" t="s">
        <v>1748</v>
      </c>
      <c r="D460" s="6" t="s">
        <v>903</v>
      </c>
      <c r="E460" s="29" t="s">
        <v>1749</v>
      </c>
      <c r="F460" s="6">
        <v>830</v>
      </c>
      <c r="G460" s="6" t="s">
        <v>26</v>
      </c>
      <c r="H460" s="6"/>
      <c r="I460" s="6"/>
      <c r="J460" s="6"/>
      <c r="K460" s="7">
        <v>41282</v>
      </c>
      <c r="L460" s="30">
        <v>2103660</v>
      </c>
      <c r="M460" s="30">
        <v>2103660</v>
      </c>
      <c r="N460" s="6" t="s">
        <v>46</v>
      </c>
      <c r="O460" s="31">
        <v>43103</v>
      </c>
      <c r="P460" s="32" t="e">
        <f>VLOOKUP(Table311[[#This Row],[UNIT NO.]],[1]!Table35711[[#Headers],[#Data],[Unit '#]:[Application/Sold/ Unsold]],7,0)</f>
        <v>#REF!</v>
      </c>
      <c r="S460" s="64"/>
    </row>
    <row r="461" spans="2:19" ht="26.25" x14ac:dyDescent="0.25">
      <c r="B461" s="5">
        <f t="shared" si="7"/>
        <v>458</v>
      </c>
      <c r="C461" s="29" t="s">
        <v>1750</v>
      </c>
      <c r="D461" s="6" t="s">
        <v>903</v>
      </c>
      <c r="E461" s="29" t="s">
        <v>1751</v>
      </c>
      <c r="F461" s="6">
        <v>830</v>
      </c>
      <c r="G461" s="6" t="s">
        <v>26</v>
      </c>
      <c r="H461" s="6"/>
      <c r="I461" s="6"/>
      <c r="J461" s="6"/>
      <c r="K461" s="7">
        <v>41307</v>
      </c>
      <c r="L461" s="30">
        <v>2218308</v>
      </c>
      <c r="M461" s="30">
        <v>1582264</v>
      </c>
      <c r="N461" s="6" t="s">
        <v>27</v>
      </c>
      <c r="O461" s="31">
        <v>43103</v>
      </c>
      <c r="P461" s="32" t="e">
        <f>VLOOKUP(Table311[[#This Row],[UNIT NO.]],[1]!Table35711[[#Headers],[#Data],[Unit '#]:[Application/Sold/ Unsold]],7,0)</f>
        <v>#REF!</v>
      </c>
      <c r="S461" s="64"/>
    </row>
    <row r="462" spans="2:19" ht="26.25" x14ac:dyDescent="0.25">
      <c r="B462" s="5">
        <f t="shared" si="7"/>
        <v>459</v>
      </c>
      <c r="C462" s="29" t="s">
        <v>1752</v>
      </c>
      <c r="D462" s="6" t="s">
        <v>903</v>
      </c>
      <c r="E462" s="29" t="s">
        <v>1753</v>
      </c>
      <c r="F462" s="6">
        <v>830</v>
      </c>
      <c r="G462" s="6" t="s">
        <v>26</v>
      </c>
      <c r="H462" s="6"/>
      <c r="I462" s="6"/>
      <c r="J462" s="6"/>
      <c r="K462" s="7">
        <v>41266</v>
      </c>
      <c r="L462" s="30">
        <v>2137590</v>
      </c>
      <c r="M462" s="30">
        <v>2035257</v>
      </c>
      <c r="N462" s="6" t="s">
        <v>57</v>
      </c>
      <c r="O462" s="31">
        <v>43103</v>
      </c>
      <c r="P462" s="32" t="e">
        <f>VLOOKUP(Table311[[#This Row],[UNIT NO.]],[1]!Table35711[[#Headers],[#Data],[Unit '#]:[Application/Sold/ Unsold]],7,0)</f>
        <v>#REF!</v>
      </c>
      <c r="S462" s="64"/>
    </row>
    <row r="463" spans="2:19" ht="39" x14ac:dyDescent="0.25">
      <c r="B463" s="5">
        <f t="shared" si="7"/>
        <v>460</v>
      </c>
      <c r="C463" s="29" t="s">
        <v>1754</v>
      </c>
      <c r="D463" s="6" t="s">
        <v>903</v>
      </c>
      <c r="E463" s="29" t="s">
        <v>1755</v>
      </c>
      <c r="F463" s="6">
        <v>830</v>
      </c>
      <c r="G463" s="6" t="s">
        <v>26</v>
      </c>
      <c r="H463" s="6"/>
      <c r="I463" s="6"/>
      <c r="J463" s="6"/>
      <c r="K463" s="7">
        <v>41292</v>
      </c>
      <c r="L463" s="30">
        <v>2189500</v>
      </c>
      <c r="M463" s="30">
        <v>2090153</v>
      </c>
      <c r="N463" s="6" t="s">
        <v>30</v>
      </c>
      <c r="O463" s="31">
        <v>43103</v>
      </c>
      <c r="P463" s="32" t="e">
        <f>VLOOKUP(Table311[[#This Row],[UNIT NO.]],[1]!Table35711[[#Headers],[#Data],[Unit '#]:[Application/Sold/ Unsold]],7,0)</f>
        <v>#REF!</v>
      </c>
      <c r="S463" s="64"/>
    </row>
    <row r="464" spans="2:19" ht="39" x14ac:dyDescent="0.25">
      <c r="B464" s="5">
        <f t="shared" si="7"/>
        <v>461</v>
      </c>
      <c r="C464" s="29" t="s">
        <v>1756</v>
      </c>
      <c r="D464" s="6" t="s">
        <v>903</v>
      </c>
      <c r="E464" s="29" t="s">
        <v>1757</v>
      </c>
      <c r="F464" s="6">
        <v>830</v>
      </c>
      <c r="G464" s="6" t="s">
        <v>26</v>
      </c>
      <c r="H464" s="6"/>
      <c r="I464" s="6"/>
      <c r="J464" s="6"/>
      <c r="K464" s="7">
        <v>41282</v>
      </c>
      <c r="L464" s="30">
        <v>2145160</v>
      </c>
      <c r="M464" s="30">
        <v>2044492</v>
      </c>
      <c r="N464" s="6" t="s">
        <v>144</v>
      </c>
      <c r="O464" s="31">
        <v>43103</v>
      </c>
      <c r="P464" s="32" t="e">
        <f>VLOOKUP(Table311[[#This Row],[UNIT NO.]],[1]!Table35711[[#Headers],[#Data],[Unit '#]:[Application/Sold/ Unsold]],7,0)</f>
        <v>#REF!</v>
      </c>
      <c r="S464" s="64"/>
    </row>
    <row r="465" spans="2:19" x14ac:dyDescent="0.25">
      <c r="B465" s="5">
        <f t="shared" si="7"/>
        <v>462</v>
      </c>
      <c r="C465" s="33" t="s">
        <v>1758</v>
      </c>
      <c r="D465" s="6" t="s">
        <v>903</v>
      </c>
      <c r="E465" s="33" t="s">
        <v>1759</v>
      </c>
      <c r="F465" s="34">
        <v>830</v>
      </c>
      <c r="G465" s="6" t="s">
        <v>26</v>
      </c>
      <c r="H465" s="6"/>
      <c r="I465" s="6"/>
      <c r="J465" s="6"/>
      <c r="K465" s="35">
        <v>42775</v>
      </c>
      <c r="L465" s="36">
        <v>2670975</v>
      </c>
      <c r="M465" s="30">
        <v>808867</v>
      </c>
      <c r="N465" s="6" t="s">
        <v>46</v>
      </c>
      <c r="O465" s="31">
        <v>43103</v>
      </c>
      <c r="P465" s="32" t="e">
        <f>VLOOKUP(Table311[[#This Row],[UNIT NO.]],[1]!Table35711[[#Headers],[#Data],[Unit '#]:[Application/Sold/ Unsold]],7,0)</f>
        <v>#REF!</v>
      </c>
      <c r="S465" s="64"/>
    </row>
    <row r="466" spans="2:19" ht="26.25" x14ac:dyDescent="0.25">
      <c r="B466" s="5">
        <f t="shared" si="7"/>
        <v>463</v>
      </c>
      <c r="C466" s="29" t="s">
        <v>1760</v>
      </c>
      <c r="D466" s="6" t="s">
        <v>903</v>
      </c>
      <c r="E466" s="29" t="s">
        <v>1761</v>
      </c>
      <c r="F466" s="6">
        <v>830</v>
      </c>
      <c r="G466" s="6" t="s">
        <v>26</v>
      </c>
      <c r="H466" s="6"/>
      <c r="I466" s="6"/>
      <c r="J466" s="6"/>
      <c r="K466" s="7">
        <v>41179</v>
      </c>
      <c r="L466" s="30">
        <v>2153591</v>
      </c>
      <c r="M466" s="30">
        <v>2054954</v>
      </c>
      <c r="N466" s="6" t="s">
        <v>27</v>
      </c>
      <c r="O466" s="31">
        <v>43103</v>
      </c>
      <c r="P466" s="32" t="e">
        <f>VLOOKUP(Table311[[#This Row],[UNIT NO.]],[1]!Table35711[[#Headers],[#Data],[Unit '#]:[Application/Sold/ Unsold]],7,0)</f>
        <v>#REF!</v>
      </c>
      <c r="S466" s="64"/>
    </row>
    <row r="467" spans="2:19" ht="26.25" x14ac:dyDescent="0.25">
      <c r="B467" s="5">
        <f t="shared" si="7"/>
        <v>464</v>
      </c>
      <c r="C467" s="29" t="s">
        <v>1762</v>
      </c>
      <c r="D467" s="6" t="s">
        <v>903</v>
      </c>
      <c r="E467" s="29" t="s">
        <v>1763</v>
      </c>
      <c r="F467" s="6">
        <v>830</v>
      </c>
      <c r="G467" s="6" t="s">
        <v>26</v>
      </c>
      <c r="H467" s="6"/>
      <c r="I467" s="6"/>
      <c r="J467" s="6"/>
      <c r="K467" s="7">
        <v>41699</v>
      </c>
      <c r="L467" s="30">
        <v>2285483</v>
      </c>
      <c r="M467" s="30">
        <v>1030649</v>
      </c>
      <c r="N467" s="6" t="s">
        <v>30</v>
      </c>
      <c r="O467" s="31">
        <v>43103</v>
      </c>
      <c r="P467" s="32" t="e">
        <f>VLOOKUP(Table311[[#This Row],[UNIT NO.]],[1]!Table35711[[#Headers],[#Data],[Unit '#]:[Application/Sold/ Unsold]],7,0)</f>
        <v>#REF!</v>
      </c>
      <c r="S467" s="64"/>
    </row>
    <row r="468" spans="2:19" x14ac:dyDescent="0.25">
      <c r="B468" s="5">
        <f t="shared" si="7"/>
        <v>465</v>
      </c>
      <c r="C468" s="33" t="s">
        <v>1764</v>
      </c>
      <c r="D468" s="6" t="s">
        <v>903</v>
      </c>
      <c r="E468" s="33" t="s">
        <v>1765</v>
      </c>
      <c r="F468" s="34">
        <v>830</v>
      </c>
      <c r="G468" s="6" t="s">
        <v>26</v>
      </c>
      <c r="H468" s="6"/>
      <c r="I468" s="6"/>
      <c r="J468" s="6"/>
      <c r="K468" s="35">
        <v>42808</v>
      </c>
      <c r="L468" s="36">
        <v>2666150</v>
      </c>
      <c r="M468" s="30">
        <f>1215019-200000</f>
        <v>1015019</v>
      </c>
      <c r="N468" s="6" t="s">
        <v>30</v>
      </c>
      <c r="O468" s="31">
        <v>43103</v>
      </c>
      <c r="P468" s="32" t="e">
        <f>VLOOKUP(Table311[[#This Row],[UNIT NO.]],[1]!Table35711[[#Headers],[#Data],[Unit '#]:[Application/Sold/ Unsold]],7,0)</f>
        <v>#REF!</v>
      </c>
      <c r="S468" s="64"/>
    </row>
    <row r="469" spans="2:19" ht="26.25" x14ac:dyDescent="0.25">
      <c r="B469" s="5">
        <f t="shared" si="7"/>
        <v>466</v>
      </c>
      <c r="C469" s="29" t="s">
        <v>1766</v>
      </c>
      <c r="D469" s="6" t="s">
        <v>903</v>
      </c>
      <c r="E469" s="29" t="s">
        <v>1767</v>
      </c>
      <c r="F469" s="6">
        <v>830</v>
      </c>
      <c r="G469" s="6" t="s">
        <v>26</v>
      </c>
      <c r="H469" s="6"/>
      <c r="I469" s="6"/>
      <c r="J469" s="6"/>
      <c r="K469" s="7">
        <v>41494</v>
      </c>
      <c r="L469" s="30">
        <v>2587250</v>
      </c>
      <c r="M469" s="30">
        <v>2168763</v>
      </c>
      <c r="N469" s="6" t="s">
        <v>30</v>
      </c>
      <c r="O469" s="31">
        <v>43103</v>
      </c>
      <c r="P469" s="32" t="e">
        <f>VLOOKUP(Table311[[#This Row],[UNIT NO.]],[1]!Table35711[[#Headers],[#Data],[Unit '#]:[Application/Sold/ Unsold]],7,0)</f>
        <v>#REF!</v>
      </c>
      <c r="S469" s="64"/>
    </row>
    <row r="470" spans="2:19" ht="26.25" x14ac:dyDescent="0.25">
      <c r="B470" s="5">
        <f t="shared" si="7"/>
        <v>467</v>
      </c>
      <c r="C470" s="29" t="s">
        <v>1768</v>
      </c>
      <c r="D470" s="6" t="s">
        <v>903</v>
      </c>
      <c r="E470" s="29" t="s">
        <v>1769</v>
      </c>
      <c r="F470" s="6">
        <v>830</v>
      </c>
      <c r="G470" s="6" t="s">
        <v>26</v>
      </c>
      <c r="H470" s="6"/>
      <c r="I470" s="6"/>
      <c r="J470" s="6"/>
      <c r="K470" s="7">
        <v>41435</v>
      </c>
      <c r="L470" s="30">
        <v>2452000</v>
      </c>
      <c r="M470" s="30">
        <v>2062224</v>
      </c>
      <c r="N470" s="6" t="s">
        <v>30</v>
      </c>
      <c r="O470" s="31">
        <v>43103</v>
      </c>
      <c r="P470" s="32" t="e">
        <f>VLOOKUP(Table311[[#This Row],[UNIT NO.]],[1]!Table35711[[#Headers],[#Data],[Unit '#]:[Application/Sold/ Unsold]],7,0)</f>
        <v>#REF!</v>
      </c>
      <c r="S470" s="64"/>
    </row>
    <row r="471" spans="2:19" ht="26.25" x14ac:dyDescent="0.25">
      <c r="B471" s="5">
        <f t="shared" si="7"/>
        <v>468</v>
      </c>
      <c r="C471" s="29" t="s">
        <v>1770</v>
      </c>
      <c r="D471" s="6" t="s">
        <v>903</v>
      </c>
      <c r="E471" s="29" t="s">
        <v>1771</v>
      </c>
      <c r="F471" s="6">
        <v>830</v>
      </c>
      <c r="G471" s="6" t="s">
        <v>26</v>
      </c>
      <c r="H471" s="6"/>
      <c r="I471" s="6"/>
      <c r="J471" s="6"/>
      <c r="K471" s="7">
        <v>41351</v>
      </c>
      <c r="L471" s="30">
        <v>2254300</v>
      </c>
      <c r="M471" s="30">
        <v>2122812</v>
      </c>
      <c r="N471" s="6" t="s">
        <v>27</v>
      </c>
      <c r="O471" s="31">
        <v>43103</v>
      </c>
      <c r="P471" s="32" t="e">
        <f>VLOOKUP(Table311[[#This Row],[UNIT NO.]],[1]!Table35711[[#Headers],[#Data],[Unit '#]:[Application/Sold/ Unsold]],7,0)</f>
        <v>#REF!</v>
      </c>
      <c r="S471" s="64"/>
    </row>
    <row r="472" spans="2:19" ht="26.25" x14ac:dyDescent="0.25">
      <c r="B472" s="5">
        <f t="shared" si="7"/>
        <v>469</v>
      </c>
      <c r="C472" s="29" t="s">
        <v>1772</v>
      </c>
      <c r="D472" s="6" t="s">
        <v>903</v>
      </c>
      <c r="E472" s="29" t="s">
        <v>1773</v>
      </c>
      <c r="F472" s="6">
        <v>830</v>
      </c>
      <c r="G472" s="6" t="s">
        <v>26</v>
      </c>
      <c r="H472" s="6"/>
      <c r="I472" s="6"/>
      <c r="J472" s="6"/>
      <c r="K472" s="7">
        <v>41443</v>
      </c>
      <c r="L472" s="30">
        <v>2317793</v>
      </c>
      <c r="M472" s="30">
        <v>2003836</v>
      </c>
      <c r="N472" s="6" t="s">
        <v>46</v>
      </c>
      <c r="O472" s="31">
        <v>43103</v>
      </c>
      <c r="P472" s="32" t="e">
        <f>VLOOKUP(Table311[[#This Row],[UNIT NO.]],[1]!Table35711[[#Headers],[#Data],[Unit '#]:[Application/Sold/ Unsold]],7,0)</f>
        <v>#REF!</v>
      </c>
      <c r="S472" s="64"/>
    </row>
    <row r="473" spans="2:19" ht="26.25" x14ac:dyDescent="0.25">
      <c r="B473" s="5">
        <f t="shared" si="7"/>
        <v>470</v>
      </c>
      <c r="C473" s="29" t="s">
        <v>1774</v>
      </c>
      <c r="D473" s="6" t="s">
        <v>903</v>
      </c>
      <c r="E473" s="29" t="s">
        <v>1775</v>
      </c>
      <c r="F473" s="6">
        <v>830</v>
      </c>
      <c r="G473" s="6" t="s">
        <v>26</v>
      </c>
      <c r="H473" s="6"/>
      <c r="I473" s="6"/>
      <c r="J473" s="6"/>
      <c r="K473" s="7">
        <v>41251</v>
      </c>
      <c r="L473" s="30">
        <v>2317793</v>
      </c>
      <c r="M473" s="30">
        <v>2276735</v>
      </c>
      <c r="N473" s="6" t="s">
        <v>46</v>
      </c>
      <c r="O473" s="31">
        <v>43103</v>
      </c>
      <c r="P473" s="32" t="e">
        <f>VLOOKUP(Table311[[#This Row],[UNIT NO.]],[1]!Table35711[[#Headers],[#Data],[Unit '#]:[Application/Sold/ Unsold]],7,0)</f>
        <v>#REF!</v>
      </c>
      <c r="S473" s="64"/>
    </row>
    <row r="474" spans="2:19" ht="26.25" x14ac:dyDescent="0.25">
      <c r="B474" s="5">
        <f t="shared" si="7"/>
        <v>471</v>
      </c>
      <c r="C474" s="29" t="s">
        <v>1776</v>
      </c>
      <c r="D474" s="6" t="s">
        <v>903</v>
      </c>
      <c r="E474" s="29" t="s">
        <v>1777</v>
      </c>
      <c r="F474" s="6">
        <v>830</v>
      </c>
      <c r="G474" s="6" t="s">
        <v>26</v>
      </c>
      <c r="H474" s="6"/>
      <c r="I474" s="6"/>
      <c r="J474" s="6"/>
      <c r="K474" s="7">
        <v>41259</v>
      </c>
      <c r="L474" s="30">
        <v>2110900</v>
      </c>
      <c r="M474" s="30">
        <v>2071309</v>
      </c>
      <c r="N474" s="6" t="s">
        <v>30</v>
      </c>
      <c r="O474" s="31">
        <v>43103</v>
      </c>
      <c r="P474" s="32" t="e">
        <f>VLOOKUP(Table311[[#This Row],[UNIT NO.]],[1]!Table35711[[#Headers],[#Data],[Unit '#]:[Application/Sold/ Unsold]],7,0)</f>
        <v>#REF!</v>
      </c>
      <c r="S474" s="64"/>
    </row>
    <row r="475" spans="2:19" ht="26.25" x14ac:dyDescent="0.25">
      <c r="B475" s="5">
        <f t="shared" si="7"/>
        <v>472</v>
      </c>
      <c r="C475" s="29" t="s">
        <v>1778</v>
      </c>
      <c r="D475" s="6" t="s">
        <v>903</v>
      </c>
      <c r="E475" s="29" t="s">
        <v>1779</v>
      </c>
      <c r="F475" s="6">
        <v>830</v>
      </c>
      <c r="G475" s="6" t="s">
        <v>26</v>
      </c>
      <c r="H475" s="6"/>
      <c r="I475" s="6"/>
      <c r="J475" s="6"/>
      <c r="K475" s="7">
        <v>41232</v>
      </c>
      <c r="L475" s="30">
        <v>2099790</v>
      </c>
      <c r="M475" s="30">
        <v>386757</v>
      </c>
      <c r="N475" s="6" t="s">
        <v>30</v>
      </c>
      <c r="O475" s="31">
        <v>43103</v>
      </c>
      <c r="P475" s="32" t="e">
        <f>VLOOKUP(Table311[[#This Row],[UNIT NO.]],[1]!Table35711[[#Headers],[#Data],[Unit '#]:[Application/Sold/ Unsold]],7,0)</f>
        <v>#REF!</v>
      </c>
      <c r="S475" s="64"/>
    </row>
    <row r="476" spans="2:19" ht="39" x14ac:dyDescent="0.25">
      <c r="B476" s="5">
        <f t="shared" si="7"/>
        <v>473</v>
      </c>
      <c r="C476" s="29" t="s">
        <v>1780</v>
      </c>
      <c r="D476" s="6" t="s">
        <v>903</v>
      </c>
      <c r="E476" s="29" t="s">
        <v>1781</v>
      </c>
      <c r="F476" s="6">
        <v>830</v>
      </c>
      <c r="G476" s="6" t="s">
        <v>26</v>
      </c>
      <c r="H476" s="6"/>
      <c r="I476" s="6"/>
      <c r="J476" s="6"/>
      <c r="K476" s="7">
        <v>41249</v>
      </c>
      <c r="L476" s="30">
        <v>2099790</v>
      </c>
      <c r="M476" s="30">
        <v>1733377</v>
      </c>
      <c r="N476" s="6" t="s">
        <v>27</v>
      </c>
      <c r="O476" s="31">
        <v>43103</v>
      </c>
      <c r="P476" s="32" t="e">
        <f>VLOOKUP(Table311[[#This Row],[UNIT NO.]],[1]!Table35711[[#Headers],[#Data],[Unit '#]:[Application/Sold/ Unsold]],7,0)</f>
        <v>#REF!</v>
      </c>
      <c r="S476" s="64"/>
    </row>
    <row r="477" spans="2:19" ht="26.25" x14ac:dyDescent="0.25">
      <c r="B477" s="5">
        <f t="shared" si="7"/>
        <v>474</v>
      </c>
      <c r="C477" s="29" t="s">
        <v>1782</v>
      </c>
      <c r="D477" s="6" t="s">
        <v>903</v>
      </c>
      <c r="E477" s="29" t="s">
        <v>1783</v>
      </c>
      <c r="F477" s="6">
        <v>830</v>
      </c>
      <c r="G477" s="6" t="s">
        <v>26</v>
      </c>
      <c r="H477" s="6"/>
      <c r="I477" s="6"/>
      <c r="J477" s="6"/>
      <c r="K477" s="7">
        <v>41251</v>
      </c>
      <c r="L477" s="30">
        <v>2110900</v>
      </c>
      <c r="M477" s="30">
        <v>2110900</v>
      </c>
      <c r="N477" s="6" t="s">
        <v>30</v>
      </c>
      <c r="O477" s="31">
        <v>43103</v>
      </c>
      <c r="P477" s="32" t="e">
        <f>VLOOKUP(Table311[[#This Row],[UNIT NO.]],[1]!Table35711[[#Headers],[#Data],[Unit '#]:[Application/Sold/ Unsold]],7,0)</f>
        <v>#REF!</v>
      </c>
      <c r="S477" s="64"/>
    </row>
    <row r="478" spans="2:19" ht="26.25" x14ac:dyDescent="0.25">
      <c r="B478" s="5">
        <f t="shared" si="7"/>
        <v>475</v>
      </c>
      <c r="C478" s="29" t="s">
        <v>1784</v>
      </c>
      <c r="D478" s="6" t="s">
        <v>903</v>
      </c>
      <c r="E478" s="29" t="s">
        <v>1785</v>
      </c>
      <c r="F478" s="6">
        <v>830</v>
      </c>
      <c r="G478" s="6" t="s">
        <v>26</v>
      </c>
      <c r="H478" s="6"/>
      <c r="I478" s="6"/>
      <c r="J478" s="6"/>
      <c r="K478" s="7">
        <v>41352</v>
      </c>
      <c r="L478" s="30">
        <v>1794725</v>
      </c>
      <c r="M478" s="30">
        <v>1477783</v>
      </c>
      <c r="N478" s="6" t="s">
        <v>27</v>
      </c>
      <c r="O478" s="31">
        <v>43103</v>
      </c>
      <c r="P478" s="32" t="e">
        <f>VLOOKUP(Table311[[#This Row],[UNIT NO.]],[1]!Table35711[[#Headers],[#Data],[Unit '#]:[Application/Sold/ Unsold]],7,0)</f>
        <v>#REF!</v>
      </c>
      <c r="S478" s="64"/>
    </row>
    <row r="479" spans="2:19" ht="26.25" x14ac:dyDescent="0.25">
      <c r="B479" s="5">
        <f t="shared" si="7"/>
        <v>476</v>
      </c>
      <c r="C479" s="29" t="s">
        <v>1786</v>
      </c>
      <c r="D479" s="6" t="s">
        <v>903</v>
      </c>
      <c r="E479" s="29" t="s">
        <v>1787</v>
      </c>
      <c r="F479" s="6">
        <v>830</v>
      </c>
      <c r="G479" s="6" t="s">
        <v>26</v>
      </c>
      <c r="H479" s="6"/>
      <c r="I479" s="6"/>
      <c r="J479" s="6"/>
      <c r="K479" s="7">
        <v>41192</v>
      </c>
      <c r="L479" s="30">
        <v>2125000</v>
      </c>
      <c r="M479" s="30">
        <v>2047800</v>
      </c>
      <c r="N479" s="6" t="s">
        <v>30</v>
      </c>
      <c r="O479" s="31">
        <v>43103</v>
      </c>
      <c r="P479" s="32" t="e">
        <f>VLOOKUP(Table311[[#This Row],[UNIT NO.]],[1]!Table35711[[#Headers],[#Data],[Unit '#]:[Application/Sold/ Unsold]],7,0)</f>
        <v>#REF!</v>
      </c>
      <c r="S479" s="64"/>
    </row>
    <row r="480" spans="2:19" x14ac:dyDescent="0.25">
      <c r="B480" s="5">
        <f t="shared" si="7"/>
        <v>477</v>
      </c>
      <c r="C480" s="33" t="s">
        <v>1788</v>
      </c>
      <c r="D480" s="6" t="s">
        <v>903</v>
      </c>
      <c r="E480" s="33" t="s">
        <v>1789</v>
      </c>
      <c r="F480" s="34">
        <v>830</v>
      </c>
      <c r="G480" s="6" t="s">
        <v>26</v>
      </c>
      <c r="H480" s="6"/>
      <c r="I480" s="6"/>
      <c r="J480" s="6"/>
      <c r="K480" s="35">
        <v>42905</v>
      </c>
      <c r="L480" s="36">
        <v>2352700</v>
      </c>
      <c r="M480" s="30">
        <v>244247</v>
      </c>
      <c r="N480" s="6" t="s">
        <v>30</v>
      </c>
      <c r="O480" s="31">
        <v>43103</v>
      </c>
      <c r="P480" s="32" t="e">
        <f>VLOOKUP(Table311[[#This Row],[UNIT NO.]],[1]!Table35711[[#Headers],[#Data],[Unit '#]:[Application/Sold/ Unsold]],7,0)</f>
        <v>#REF!</v>
      </c>
      <c r="S480" s="64"/>
    </row>
    <row r="481" spans="2:19" ht="26.25" x14ac:dyDescent="0.25">
      <c r="B481" s="5">
        <f t="shared" si="7"/>
        <v>478</v>
      </c>
      <c r="C481" s="29" t="s">
        <v>1790</v>
      </c>
      <c r="D481" s="6" t="s">
        <v>903</v>
      </c>
      <c r="E481" s="29" t="s">
        <v>1791</v>
      </c>
      <c r="F481" s="6">
        <v>830</v>
      </c>
      <c r="G481" s="6" t="s">
        <v>26</v>
      </c>
      <c r="H481" s="6"/>
      <c r="I481" s="6"/>
      <c r="J481" s="6"/>
      <c r="K481" s="7">
        <v>41483</v>
      </c>
      <c r="L481" s="30">
        <v>2500000</v>
      </c>
      <c r="M481" s="30">
        <v>2353930</v>
      </c>
      <c r="N481" s="6" t="s">
        <v>144</v>
      </c>
      <c r="O481" s="31">
        <v>43103</v>
      </c>
      <c r="P481" s="32" t="e">
        <f>VLOOKUP(Table311[[#This Row],[UNIT NO.]],[1]!Table35711[[#Headers],[#Data],[Unit '#]:[Application/Sold/ Unsold]],7,0)</f>
        <v>#REF!</v>
      </c>
      <c r="S481" s="64"/>
    </row>
    <row r="482" spans="2:19" ht="26.25" x14ac:dyDescent="0.25">
      <c r="B482" s="5">
        <f t="shared" si="7"/>
        <v>479</v>
      </c>
      <c r="C482" s="29" t="s">
        <v>1792</v>
      </c>
      <c r="D482" s="6" t="s">
        <v>903</v>
      </c>
      <c r="E482" s="29" t="s">
        <v>1793</v>
      </c>
      <c r="F482" s="6">
        <v>830</v>
      </c>
      <c r="G482" s="6" t="s">
        <v>26</v>
      </c>
      <c r="H482" s="6"/>
      <c r="I482" s="6"/>
      <c r="J482" s="6"/>
      <c r="K482" s="7">
        <v>41389</v>
      </c>
      <c r="L482" s="30">
        <v>2400000</v>
      </c>
      <c r="M482" s="30">
        <v>702212</v>
      </c>
      <c r="N482" s="6" t="s">
        <v>30</v>
      </c>
      <c r="O482" s="31">
        <v>43103</v>
      </c>
      <c r="P482" s="32" t="e">
        <f>VLOOKUP(Table311[[#This Row],[UNIT NO.]],[1]!Table35711[[#Headers],[#Data],[Unit '#]:[Application/Sold/ Unsold]],7,0)</f>
        <v>#REF!</v>
      </c>
      <c r="S482" s="64"/>
    </row>
    <row r="483" spans="2:19" ht="26.25" x14ac:dyDescent="0.25">
      <c r="B483" s="5">
        <f t="shared" si="7"/>
        <v>480</v>
      </c>
      <c r="C483" s="29" t="s">
        <v>1794</v>
      </c>
      <c r="D483" s="6" t="s">
        <v>903</v>
      </c>
      <c r="E483" s="29" t="s">
        <v>1795</v>
      </c>
      <c r="F483" s="6">
        <v>830</v>
      </c>
      <c r="G483" s="6" t="s">
        <v>26</v>
      </c>
      <c r="H483" s="6"/>
      <c r="I483" s="6"/>
      <c r="J483" s="6"/>
      <c r="K483" s="7">
        <v>42539</v>
      </c>
      <c r="L483" s="30">
        <v>2900000</v>
      </c>
      <c r="M483" s="30">
        <v>2749127</v>
      </c>
      <c r="N483" s="6" t="s">
        <v>46</v>
      </c>
      <c r="O483" s="31">
        <v>43103</v>
      </c>
      <c r="P483" s="32" t="e">
        <f>VLOOKUP(Table311[[#This Row],[UNIT NO.]],[1]!Table35711[[#Headers],[#Data],[Unit '#]:[Application/Sold/ Unsold]],7,0)</f>
        <v>#REF!</v>
      </c>
      <c r="S483" s="64"/>
    </row>
    <row r="484" spans="2:19" x14ac:dyDescent="0.25">
      <c r="B484" s="5">
        <f t="shared" si="7"/>
        <v>481</v>
      </c>
      <c r="C484" s="33" t="s">
        <v>1796</v>
      </c>
      <c r="D484" s="6" t="s">
        <v>903</v>
      </c>
      <c r="E484" s="33" t="s">
        <v>1797</v>
      </c>
      <c r="F484" s="34">
        <v>830</v>
      </c>
      <c r="G484" s="6" t="s">
        <v>26</v>
      </c>
      <c r="H484" s="6"/>
      <c r="I484" s="6"/>
      <c r="J484" s="6"/>
      <c r="K484" s="35">
        <v>42539</v>
      </c>
      <c r="L484" s="36">
        <v>2900000</v>
      </c>
      <c r="M484" s="30">
        <v>2883092</v>
      </c>
      <c r="N484" s="6" t="s">
        <v>46</v>
      </c>
      <c r="O484" s="31">
        <v>43103</v>
      </c>
      <c r="P484" s="32" t="e">
        <f>VLOOKUP(Table311[[#This Row],[UNIT NO.]],[1]!Table35711[[#Headers],[#Data],[Unit '#]:[Application/Sold/ Unsold]],7,0)</f>
        <v>#REF!</v>
      </c>
      <c r="S484" s="64"/>
    </row>
    <row r="485" spans="2:19" ht="26.25" x14ac:dyDescent="0.25">
      <c r="B485" s="5">
        <f t="shared" si="7"/>
        <v>482</v>
      </c>
      <c r="C485" s="29" t="s">
        <v>1798</v>
      </c>
      <c r="D485" s="6" t="s">
        <v>903</v>
      </c>
      <c r="E485" s="29" t="s">
        <v>1799</v>
      </c>
      <c r="F485" s="6">
        <v>830</v>
      </c>
      <c r="G485" s="6" t="s">
        <v>26</v>
      </c>
      <c r="H485" s="6"/>
      <c r="I485" s="6"/>
      <c r="J485" s="6"/>
      <c r="K485" s="7">
        <v>41283</v>
      </c>
      <c r="L485" s="30">
        <v>2243500</v>
      </c>
      <c r="M485" s="30">
        <v>2140331</v>
      </c>
      <c r="N485" s="6" t="s">
        <v>27</v>
      </c>
      <c r="O485" s="31">
        <v>43103</v>
      </c>
      <c r="P485" s="32" t="e">
        <f>VLOOKUP(Table311[[#This Row],[UNIT NO.]],[1]!Table35711[[#Headers],[#Data],[Unit '#]:[Application/Sold/ Unsold]],7,0)</f>
        <v>#REF!</v>
      </c>
      <c r="S485" s="64"/>
    </row>
    <row r="486" spans="2:19" ht="26.25" x14ac:dyDescent="0.25">
      <c r="B486" s="5">
        <f t="shared" si="7"/>
        <v>483</v>
      </c>
      <c r="C486" s="29" t="s">
        <v>480</v>
      </c>
      <c r="D486" s="6" t="s">
        <v>903</v>
      </c>
      <c r="E486" s="29" t="s">
        <v>1800</v>
      </c>
      <c r="F486" s="6">
        <v>830</v>
      </c>
      <c r="G486" s="6" t="s">
        <v>26</v>
      </c>
      <c r="H486" s="6"/>
      <c r="I486" s="6"/>
      <c r="J486" s="6"/>
      <c r="K486" s="7">
        <v>41266</v>
      </c>
      <c r="L486" s="30">
        <v>2201000</v>
      </c>
      <c r="M486" s="30">
        <v>1575758</v>
      </c>
      <c r="N486" s="6" t="s">
        <v>27</v>
      </c>
      <c r="O486" s="31">
        <v>43103</v>
      </c>
      <c r="P486" s="32" t="e">
        <f>VLOOKUP(Table311[[#This Row],[UNIT NO.]],[1]!Table35711[[#Headers],[#Data],[Unit '#]:[Application/Sold/ Unsold]],7,0)</f>
        <v>#REF!</v>
      </c>
      <c r="S486" s="64"/>
    </row>
    <row r="487" spans="2:19" ht="26.25" x14ac:dyDescent="0.25">
      <c r="B487" s="5">
        <f t="shared" si="7"/>
        <v>484</v>
      </c>
      <c r="C487" s="29" t="s">
        <v>1801</v>
      </c>
      <c r="D487" s="6" t="s">
        <v>903</v>
      </c>
      <c r="E487" s="29" t="s">
        <v>1802</v>
      </c>
      <c r="F487" s="6">
        <v>830</v>
      </c>
      <c r="G487" s="6" t="s">
        <v>26</v>
      </c>
      <c r="H487" s="6"/>
      <c r="I487" s="6"/>
      <c r="J487" s="6"/>
      <c r="K487" s="7">
        <v>41411</v>
      </c>
      <c r="L487" s="30">
        <v>2300000</v>
      </c>
      <c r="M487" s="30">
        <v>2193203</v>
      </c>
      <c r="N487" s="6" t="s">
        <v>30</v>
      </c>
      <c r="O487" s="31">
        <v>43103</v>
      </c>
      <c r="P487" s="32" t="e">
        <f>VLOOKUP(Table311[[#This Row],[UNIT NO.]],[1]!Table35711[[#Headers],[#Data],[Unit '#]:[Application/Sold/ Unsold]],7,0)</f>
        <v>#REF!</v>
      </c>
      <c r="S487" s="64"/>
    </row>
    <row r="488" spans="2:19" ht="26.25" x14ac:dyDescent="0.25">
      <c r="B488" s="5">
        <f t="shared" si="7"/>
        <v>485</v>
      </c>
      <c r="C488" s="29" t="s">
        <v>1803</v>
      </c>
      <c r="D488" s="6" t="s">
        <v>903</v>
      </c>
      <c r="E488" s="29" t="s">
        <v>1804</v>
      </c>
      <c r="F488" s="6">
        <v>830</v>
      </c>
      <c r="G488" s="6" t="s">
        <v>26</v>
      </c>
      <c r="H488" s="6"/>
      <c r="I488" s="6"/>
      <c r="J488" s="6"/>
      <c r="K488" s="7">
        <v>41306</v>
      </c>
      <c r="L488" s="30">
        <v>2099790</v>
      </c>
      <c r="M488" s="30">
        <v>2060408</v>
      </c>
      <c r="N488" s="6" t="s">
        <v>30</v>
      </c>
      <c r="O488" s="31">
        <v>43103</v>
      </c>
      <c r="P488" s="32" t="e">
        <f>VLOOKUP(Table311[[#This Row],[UNIT NO.]],[1]!Table35711[[#Headers],[#Data],[Unit '#]:[Application/Sold/ Unsold]],7,0)</f>
        <v>#REF!</v>
      </c>
      <c r="S488" s="64"/>
    </row>
    <row r="489" spans="2:19" ht="39" x14ac:dyDescent="0.25">
      <c r="B489" s="5">
        <f t="shared" si="7"/>
        <v>486</v>
      </c>
      <c r="C489" s="29" t="s">
        <v>1805</v>
      </c>
      <c r="D489" s="6" t="s">
        <v>903</v>
      </c>
      <c r="E489" s="29" t="s">
        <v>1806</v>
      </c>
      <c r="F489" s="6">
        <v>830</v>
      </c>
      <c r="G489" s="6" t="s">
        <v>26</v>
      </c>
      <c r="H489" s="6"/>
      <c r="I489" s="6"/>
      <c r="J489" s="6"/>
      <c r="K489" s="7">
        <v>41418</v>
      </c>
      <c r="L489" s="30">
        <v>2416750</v>
      </c>
      <c r="M489" s="30">
        <v>2305426</v>
      </c>
      <c r="N489" s="6" t="s">
        <v>1807</v>
      </c>
      <c r="O489" s="31">
        <v>43103</v>
      </c>
      <c r="P489" s="32" t="e">
        <f>VLOOKUP(Table311[[#This Row],[UNIT NO.]],[1]!Table35711[[#Headers],[#Data],[Unit '#]:[Application/Sold/ Unsold]],7,0)</f>
        <v>#REF!</v>
      </c>
      <c r="S489" s="64"/>
    </row>
    <row r="490" spans="2:19" ht="26.25" x14ac:dyDescent="0.25">
      <c r="B490" s="5">
        <f t="shared" si="7"/>
        <v>487</v>
      </c>
      <c r="C490" s="29" t="s">
        <v>480</v>
      </c>
      <c r="D490" s="6" t="s">
        <v>903</v>
      </c>
      <c r="E490" s="29" t="s">
        <v>1808</v>
      </c>
      <c r="F490" s="6">
        <v>830</v>
      </c>
      <c r="G490" s="6" t="s">
        <v>26</v>
      </c>
      <c r="H490" s="6"/>
      <c r="I490" s="6"/>
      <c r="J490" s="6"/>
      <c r="K490" s="7">
        <v>41347</v>
      </c>
      <c r="L490" s="30">
        <v>2205000</v>
      </c>
      <c r="M490" s="30">
        <v>2163644</v>
      </c>
      <c r="N490" s="6" t="s">
        <v>984</v>
      </c>
      <c r="O490" s="31">
        <v>43103</v>
      </c>
      <c r="P490" s="32" t="e">
        <f>VLOOKUP(Table311[[#This Row],[UNIT NO.]],[1]!Table35711[[#Headers],[#Data],[Unit '#]:[Application/Sold/ Unsold]],7,0)</f>
        <v>#REF!</v>
      </c>
      <c r="S490" s="64"/>
    </row>
    <row r="491" spans="2:19" x14ac:dyDescent="0.25">
      <c r="B491" s="5">
        <f t="shared" si="7"/>
        <v>488</v>
      </c>
      <c r="C491" s="29" t="s">
        <v>1098</v>
      </c>
      <c r="D491" s="6" t="s">
        <v>903</v>
      </c>
      <c r="E491" s="29" t="s">
        <v>1809</v>
      </c>
      <c r="F491" s="6">
        <v>830</v>
      </c>
      <c r="G491" s="6" t="s">
        <v>26</v>
      </c>
      <c r="H491" s="6"/>
      <c r="I491" s="6"/>
      <c r="J491" s="6"/>
      <c r="K491" s="7">
        <v>41431</v>
      </c>
      <c r="L491" s="30">
        <v>2448000</v>
      </c>
      <c r="M491" s="30">
        <v>1819182</v>
      </c>
      <c r="N491" s="6" t="s">
        <v>27</v>
      </c>
      <c r="O491" s="31">
        <v>43103</v>
      </c>
      <c r="P491" s="32" t="e">
        <f>VLOOKUP(Table311[[#This Row],[UNIT NO.]],[1]!Table35711[[#Headers],[#Data],[Unit '#]:[Application/Sold/ Unsold]],7,0)</f>
        <v>#REF!</v>
      </c>
      <c r="S491" s="64"/>
    </row>
    <row r="492" spans="2:19" x14ac:dyDescent="0.25">
      <c r="B492" s="5">
        <f t="shared" si="7"/>
        <v>489</v>
      </c>
      <c r="C492" s="33" t="s">
        <v>1810</v>
      </c>
      <c r="D492" s="6" t="s">
        <v>903</v>
      </c>
      <c r="E492" s="33" t="s">
        <v>1811</v>
      </c>
      <c r="F492" s="34">
        <v>830</v>
      </c>
      <c r="G492" s="6" t="s">
        <v>26</v>
      </c>
      <c r="H492" s="6"/>
      <c r="I492" s="6"/>
      <c r="J492" s="6"/>
      <c r="K492" s="35">
        <v>42882</v>
      </c>
      <c r="L492" s="36">
        <v>2908000</v>
      </c>
      <c r="M492" s="30">
        <v>297474</v>
      </c>
      <c r="N492" s="6" t="s">
        <v>30</v>
      </c>
      <c r="O492" s="31">
        <v>43103</v>
      </c>
      <c r="P492" s="32" t="e">
        <f>VLOOKUP(Table311[[#This Row],[UNIT NO.]],[1]!Table35711[[#Headers],[#Data],[Unit '#]:[Application/Sold/ Unsold]],7,0)</f>
        <v>#REF!</v>
      </c>
      <c r="S492" s="64"/>
    </row>
    <row r="493" spans="2:19" ht="26.25" x14ac:dyDescent="0.25">
      <c r="B493" s="5">
        <f t="shared" si="7"/>
        <v>490</v>
      </c>
      <c r="C493" s="29" t="s">
        <v>1812</v>
      </c>
      <c r="D493" s="6" t="s">
        <v>903</v>
      </c>
      <c r="E493" s="29" t="s">
        <v>1813</v>
      </c>
      <c r="F493" s="6">
        <v>830</v>
      </c>
      <c r="G493" s="6" t="s">
        <v>26</v>
      </c>
      <c r="H493" s="6"/>
      <c r="I493" s="6"/>
      <c r="J493" s="6"/>
      <c r="K493" s="7">
        <v>41336</v>
      </c>
      <c r="L493" s="30">
        <v>2228000</v>
      </c>
      <c r="M493" s="30">
        <v>432244</v>
      </c>
      <c r="N493" s="6" t="s">
        <v>30</v>
      </c>
      <c r="O493" s="31">
        <v>43103</v>
      </c>
      <c r="P493" s="32" t="e">
        <f>VLOOKUP(Table311[[#This Row],[UNIT NO.]],[1]!Table35711[[#Headers],[#Data],[Unit '#]:[Application/Sold/ Unsold]],7,0)</f>
        <v>#REF!</v>
      </c>
      <c r="S493" s="64"/>
    </row>
    <row r="494" spans="2:19" ht="39" x14ac:dyDescent="0.25">
      <c r="B494" s="5">
        <f t="shared" si="7"/>
        <v>491</v>
      </c>
      <c r="C494" s="29" t="s">
        <v>1814</v>
      </c>
      <c r="D494" s="6" t="s">
        <v>903</v>
      </c>
      <c r="E494" s="29" t="s">
        <v>1815</v>
      </c>
      <c r="F494" s="6">
        <v>830</v>
      </c>
      <c r="G494" s="6" t="s">
        <v>26</v>
      </c>
      <c r="H494" s="6"/>
      <c r="I494" s="6"/>
      <c r="J494" s="6"/>
      <c r="K494" s="7">
        <v>41447</v>
      </c>
      <c r="L494" s="30">
        <v>2541250</v>
      </c>
      <c r="M494" s="30">
        <v>2496052</v>
      </c>
      <c r="N494" s="6" t="s">
        <v>30</v>
      </c>
      <c r="O494" s="31">
        <v>43103</v>
      </c>
      <c r="P494" s="32" t="e">
        <f>VLOOKUP(Table311[[#This Row],[UNIT NO.]],[1]!Table35711[[#Headers],[#Data],[Unit '#]:[Application/Sold/ Unsold]],7,0)</f>
        <v>#REF!</v>
      </c>
      <c r="S494" s="64"/>
    </row>
    <row r="495" spans="2:19" ht="26.25" x14ac:dyDescent="0.25">
      <c r="B495" s="5">
        <f t="shared" si="7"/>
        <v>492</v>
      </c>
      <c r="C495" s="29" t="s">
        <v>1816</v>
      </c>
      <c r="D495" s="6" t="s">
        <v>903</v>
      </c>
      <c r="E495" s="29" t="s">
        <v>1817</v>
      </c>
      <c r="F495" s="6">
        <v>830</v>
      </c>
      <c r="G495" s="6" t="s">
        <v>26</v>
      </c>
      <c r="H495" s="6"/>
      <c r="I495" s="6"/>
      <c r="J495" s="6"/>
      <c r="K495" s="7">
        <v>41325</v>
      </c>
      <c r="L495" s="30">
        <v>2256925</v>
      </c>
      <c r="M495" s="30">
        <v>2216374</v>
      </c>
      <c r="N495" s="6" t="s">
        <v>27</v>
      </c>
      <c r="O495" s="31">
        <v>43103</v>
      </c>
      <c r="P495" s="32" t="e">
        <f>VLOOKUP(Table311[[#This Row],[UNIT NO.]],[1]!Table35711[[#Headers],[#Data],[Unit '#]:[Application/Sold/ Unsold]],7,0)</f>
        <v>#REF!</v>
      </c>
      <c r="S495" s="64"/>
    </row>
    <row r="496" spans="2:19" ht="26.25" x14ac:dyDescent="0.25">
      <c r="B496" s="5">
        <f t="shared" si="7"/>
        <v>493</v>
      </c>
      <c r="C496" s="29" t="s">
        <v>1818</v>
      </c>
      <c r="D496" s="6" t="s">
        <v>903</v>
      </c>
      <c r="E496" s="29" t="s">
        <v>1819</v>
      </c>
      <c r="F496" s="6">
        <v>830</v>
      </c>
      <c r="G496" s="6" t="s">
        <v>26</v>
      </c>
      <c r="H496" s="6"/>
      <c r="I496" s="6"/>
      <c r="J496" s="6"/>
      <c r="K496" s="7">
        <v>41280</v>
      </c>
      <c r="L496" s="30">
        <v>1870017</v>
      </c>
      <c r="M496" s="30">
        <v>974731</v>
      </c>
      <c r="N496" s="6" t="s">
        <v>30</v>
      </c>
      <c r="O496" s="31">
        <v>43103</v>
      </c>
      <c r="P496" s="32" t="e">
        <f>VLOOKUP(Table311[[#This Row],[UNIT NO.]],[1]!Table35711[[#Headers],[#Data],[Unit '#]:[Application/Sold/ Unsold]],7,0)</f>
        <v>#REF!</v>
      </c>
      <c r="S496" s="64"/>
    </row>
    <row r="497" spans="2:19" ht="26.25" x14ac:dyDescent="0.25">
      <c r="B497" s="5">
        <f t="shared" si="7"/>
        <v>494</v>
      </c>
      <c r="C497" s="29" t="s">
        <v>1820</v>
      </c>
      <c r="D497" s="6" t="s">
        <v>903</v>
      </c>
      <c r="E497" s="29" t="s">
        <v>1821</v>
      </c>
      <c r="F497" s="6">
        <v>830</v>
      </c>
      <c r="G497" s="6" t="s">
        <v>26</v>
      </c>
      <c r="H497" s="6"/>
      <c r="I497" s="6"/>
      <c r="J497" s="6"/>
      <c r="K497" s="7">
        <v>41354</v>
      </c>
      <c r="L497" s="30">
        <v>2258000</v>
      </c>
      <c r="M497" s="30">
        <v>2215650</v>
      </c>
      <c r="N497" s="6" t="s">
        <v>27</v>
      </c>
      <c r="O497" s="31">
        <v>43103</v>
      </c>
      <c r="P497" s="32" t="e">
        <f>VLOOKUP(Table311[[#This Row],[UNIT NO.]],[1]!Table35711[[#Headers],[#Data],[Unit '#]:[Application/Sold/ Unsold]],7,0)</f>
        <v>#REF!</v>
      </c>
      <c r="S497" s="64"/>
    </row>
    <row r="498" spans="2:19" ht="26.25" x14ac:dyDescent="0.25">
      <c r="B498" s="5">
        <f t="shared" si="7"/>
        <v>495</v>
      </c>
      <c r="C498" s="29" t="s">
        <v>819</v>
      </c>
      <c r="D498" s="6" t="s">
        <v>903</v>
      </c>
      <c r="E498" s="29" t="s">
        <v>1822</v>
      </c>
      <c r="F498" s="6">
        <v>830</v>
      </c>
      <c r="G498" s="6" t="s">
        <v>26</v>
      </c>
      <c r="H498" s="6"/>
      <c r="I498" s="6"/>
      <c r="J498" s="6"/>
      <c r="K498" s="7">
        <v>41425</v>
      </c>
      <c r="L498" s="30">
        <v>2257358</v>
      </c>
      <c r="M498" s="30">
        <v>1970010</v>
      </c>
      <c r="N498" s="6" t="s">
        <v>27</v>
      </c>
      <c r="O498" s="31">
        <v>43103</v>
      </c>
      <c r="P498" s="32" t="e">
        <f>VLOOKUP(Table311[[#This Row],[UNIT NO.]],[1]!Table35711[[#Headers],[#Data],[Unit '#]:[Application/Sold/ Unsold]],7,0)</f>
        <v>#REF!</v>
      </c>
      <c r="S498" s="64"/>
    </row>
    <row r="499" spans="2:19" ht="39" x14ac:dyDescent="0.25">
      <c r="B499" s="5">
        <f t="shared" si="7"/>
        <v>496</v>
      </c>
      <c r="C499" s="29" t="s">
        <v>1823</v>
      </c>
      <c r="D499" s="6" t="s">
        <v>903</v>
      </c>
      <c r="E499" s="29" t="s">
        <v>1824</v>
      </c>
      <c r="F499" s="6">
        <v>830</v>
      </c>
      <c r="G499" s="6" t="s">
        <v>26</v>
      </c>
      <c r="H499" s="6"/>
      <c r="I499" s="6"/>
      <c r="J499" s="6"/>
      <c r="K499" s="7">
        <v>41698</v>
      </c>
      <c r="L499" s="30">
        <v>2508175</v>
      </c>
      <c r="M499" s="30">
        <v>2391381.7599999998</v>
      </c>
      <c r="N499" s="6" t="s">
        <v>30</v>
      </c>
      <c r="O499" s="31">
        <v>43103</v>
      </c>
      <c r="P499" s="32" t="e">
        <f>VLOOKUP(Table311[[#This Row],[UNIT NO.]],[1]!Table35711[[#Headers],[#Data],[Unit '#]:[Application/Sold/ Unsold]],7,0)</f>
        <v>#REF!</v>
      </c>
      <c r="S499" s="64"/>
    </row>
    <row r="500" spans="2:19" ht="26.25" x14ac:dyDescent="0.25">
      <c r="B500" s="5">
        <f t="shared" si="7"/>
        <v>497</v>
      </c>
      <c r="C500" s="29" t="s">
        <v>1825</v>
      </c>
      <c r="D500" s="6" t="s">
        <v>903</v>
      </c>
      <c r="E500" s="29" t="s">
        <v>1826</v>
      </c>
      <c r="F500" s="6">
        <v>830</v>
      </c>
      <c r="G500" s="6" t="s">
        <v>26</v>
      </c>
      <c r="H500" s="6"/>
      <c r="I500" s="6"/>
      <c r="J500" s="6"/>
      <c r="K500" s="7">
        <v>41577</v>
      </c>
      <c r="L500" s="30">
        <v>2411000</v>
      </c>
      <c r="M500" s="30">
        <v>2296002</v>
      </c>
      <c r="N500" s="6" t="s">
        <v>27</v>
      </c>
      <c r="O500" s="31">
        <v>43103</v>
      </c>
      <c r="P500" s="32" t="e">
        <f>VLOOKUP(Table311[[#This Row],[UNIT NO.]],[1]!Table35711[[#Headers],[#Data],[Unit '#]:[Application/Sold/ Unsold]],7,0)</f>
        <v>#REF!</v>
      </c>
      <c r="S500" s="64"/>
    </row>
    <row r="501" spans="2:19" ht="26.25" x14ac:dyDescent="0.25">
      <c r="B501" s="5">
        <f t="shared" si="7"/>
        <v>498</v>
      </c>
      <c r="C501" s="29" t="s">
        <v>1827</v>
      </c>
      <c r="D501" s="6" t="s">
        <v>903</v>
      </c>
      <c r="E501" s="29" t="s">
        <v>1828</v>
      </c>
      <c r="F501" s="6">
        <v>830</v>
      </c>
      <c r="G501" s="6" t="s">
        <v>26</v>
      </c>
      <c r="H501" s="6"/>
      <c r="I501" s="6"/>
      <c r="J501" s="6"/>
      <c r="K501" s="7">
        <v>41330</v>
      </c>
      <c r="L501" s="30">
        <v>2181925</v>
      </c>
      <c r="M501" s="30">
        <v>2090445</v>
      </c>
      <c r="N501" s="6" t="s">
        <v>27</v>
      </c>
      <c r="O501" s="31">
        <v>43103</v>
      </c>
      <c r="P501" s="32" t="e">
        <f>VLOOKUP(Table311[[#This Row],[UNIT NO.]],[1]!Table35711[[#Headers],[#Data],[Unit '#]:[Application/Sold/ Unsold]],7,0)</f>
        <v>#REF!</v>
      </c>
      <c r="S501" s="64"/>
    </row>
    <row r="502" spans="2:19" ht="39" x14ac:dyDescent="0.25">
      <c r="B502" s="5">
        <f t="shared" si="7"/>
        <v>499</v>
      </c>
      <c r="C502" s="29" t="s">
        <v>1829</v>
      </c>
      <c r="D502" s="6" t="s">
        <v>903</v>
      </c>
      <c r="E502" s="29" t="s">
        <v>1830</v>
      </c>
      <c r="F502" s="6">
        <v>830</v>
      </c>
      <c r="G502" s="6" t="s">
        <v>26</v>
      </c>
      <c r="H502" s="6"/>
      <c r="I502" s="6"/>
      <c r="J502" s="6"/>
      <c r="K502" s="7">
        <v>41487</v>
      </c>
      <c r="L502" s="30">
        <v>2386622</v>
      </c>
      <c r="M502" s="30">
        <v>2292878</v>
      </c>
      <c r="N502" s="6" t="s">
        <v>30</v>
      </c>
      <c r="O502" s="31">
        <v>43103</v>
      </c>
      <c r="P502" s="32" t="e">
        <f>VLOOKUP(Table311[[#This Row],[UNIT NO.]],[1]!Table35711[[#Headers],[#Data],[Unit '#]:[Application/Sold/ Unsold]],7,0)</f>
        <v>#REF!</v>
      </c>
      <c r="S502" s="64"/>
    </row>
    <row r="503" spans="2:19" x14ac:dyDescent="0.25">
      <c r="B503" s="5">
        <f t="shared" si="7"/>
        <v>500</v>
      </c>
      <c r="C503" s="33" t="s">
        <v>1831</v>
      </c>
      <c r="D503" s="6" t="s">
        <v>903</v>
      </c>
      <c r="E503" s="33" t="s">
        <v>1832</v>
      </c>
      <c r="F503" s="34">
        <v>830</v>
      </c>
      <c r="G503" s="6" t="s">
        <v>113</v>
      </c>
      <c r="H503" s="6"/>
      <c r="I503" s="6"/>
      <c r="J503" s="6"/>
      <c r="K503" s="35">
        <v>42776</v>
      </c>
      <c r="L503" s="36">
        <v>2480000</v>
      </c>
      <c r="M503" s="30">
        <v>291999</v>
      </c>
      <c r="N503" s="6" t="s">
        <v>30</v>
      </c>
      <c r="O503" s="31">
        <v>43103</v>
      </c>
      <c r="P503" s="32" t="e">
        <f>VLOOKUP(Table311[[#This Row],[UNIT NO.]],[1]!Table35711[[#Headers],[#Data],[Unit '#]:[Application/Sold/ Unsold]],7,0)</f>
        <v>#REF!</v>
      </c>
      <c r="S503" s="64"/>
    </row>
    <row r="504" spans="2:19" ht="26.25" x14ac:dyDescent="0.25">
      <c r="B504" s="5">
        <f t="shared" si="7"/>
        <v>501</v>
      </c>
      <c r="C504" s="29" t="s">
        <v>1833</v>
      </c>
      <c r="D504" s="6" t="s">
        <v>903</v>
      </c>
      <c r="E504" s="29" t="s">
        <v>1834</v>
      </c>
      <c r="F504" s="6">
        <v>830</v>
      </c>
      <c r="G504" s="6" t="s">
        <v>26</v>
      </c>
      <c r="H504" s="6"/>
      <c r="I504" s="6"/>
      <c r="J504" s="6"/>
      <c r="K504" s="7">
        <v>41325</v>
      </c>
      <c r="L504" s="30">
        <v>2102625</v>
      </c>
      <c r="M504" s="30">
        <v>1877062</v>
      </c>
      <c r="N504" s="6" t="s">
        <v>27</v>
      </c>
      <c r="O504" s="31">
        <v>43103</v>
      </c>
      <c r="P504" s="32" t="e">
        <f>VLOOKUP(Table311[[#This Row],[UNIT NO.]],[1]!Table35711[[#Headers],[#Data],[Unit '#]:[Application/Sold/ Unsold]],7,0)</f>
        <v>#REF!</v>
      </c>
      <c r="S504" s="64"/>
    </row>
    <row r="505" spans="2:19" ht="51.75" x14ac:dyDescent="0.25">
      <c r="B505" s="5">
        <f t="shared" si="7"/>
        <v>502</v>
      </c>
      <c r="C505" s="29" t="s">
        <v>1835</v>
      </c>
      <c r="D505" s="6" t="s">
        <v>903</v>
      </c>
      <c r="E505" s="29" t="s">
        <v>1836</v>
      </c>
      <c r="F505" s="6">
        <v>830</v>
      </c>
      <c r="G505" s="6" t="s">
        <v>26</v>
      </c>
      <c r="H505" s="6"/>
      <c r="I505" s="6"/>
      <c r="J505" s="6"/>
      <c r="K505" s="7">
        <v>41233</v>
      </c>
      <c r="L505" s="30">
        <v>2064900</v>
      </c>
      <c r="M505" s="30">
        <v>1970072</v>
      </c>
      <c r="N505" s="6" t="s">
        <v>46</v>
      </c>
      <c r="O505" s="31">
        <v>43103</v>
      </c>
      <c r="P505" s="32" t="e">
        <f>VLOOKUP(Table311[[#This Row],[UNIT NO.]],[1]!Table35711[[#Headers],[#Data],[Unit '#]:[Application/Sold/ Unsold]],7,0)</f>
        <v>#REF!</v>
      </c>
      <c r="S505" s="64"/>
    </row>
    <row r="506" spans="2:19" ht="39" x14ac:dyDescent="0.25">
      <c r="B506" s="5">
        <f t="shared" si="7"/>
        <v>503</v>
      </c>
      <c r="C506" s="29" t="s">
        <v>1837</v>
      </c>
      <c r="D506" s="6" t="s">
        <v>903</v>
      </c>
      <c r="E506" s="29" t="s">
        <v>1838</v>
      </c>
      <c r="F506" s="6">
        <v>830</v>
      </c>
      <c r="G506" s="6" t="s">
        <v>26</v>
      </c>
      <c r="H506" s="6"/>
      <c r="I506" s="6"/>
      <c r="J506" s="6"/>
      <c r="K506" s="7">
        <v>41080</v>
      </c>
      <c r="L506" s="30">
        <v>1165000</v>
      </c>
      <c r="M506" s="30">
        <v>1165000</v>
      </c>
      <c r="N506" s="6" t="s">
        <v>30</v>
      </c>
      <c r="O506" s="31">
        <v>43103</v>
      </c>
      <c r="P506" s="32" t="e">
        <f>VLOOKUP(Table311[[#This Row],[UNIT NO.]],[1]!Table35711[[#Headers],[#Data],[Unit '#]:[Application/Sold/ Unsold]],7,0)</f>
        <v>#REF!</v>
      </c>
      <c r="S506" s="64"/>
    </row>
    <row r="507" spans="2:19" ht="26.25" x14ac:dyDescent="0.25">
      <c r="B507" s="5">
        <f t="shared" si="7"/>
        <v>504</v>
      </c>
      <c r="C507" s="29" t="s">
        <v>1839</v>
      </c>
      <c r="D507" s="6" t="s">
        <v>903</v>
      </c>
      <c r="E507" s="29" t="s">
        <v>1840</v>
      </c>
      <c r="F507" s="6">
        <v>830</v>
      </c>
      <c r="G507" s="6" t="s">
        <v>26</v>
      </c>
      <c r="H507" s="6"/>
      <c r="I507" s="6"/>
      <c r="J507" s="6"/>
      <c r="K507" s="7">
        <v>41352</v>
      </c>
      <c r="L507" s="30">
        <v>2102625</v>
      </c>
      <c r="M507" s="30">
        <v>2005259</v>
      </c>
      <c r="N507" s="6" t="s">
        <v>27</v>
      </c>
      <c r="O507" s="31">
        <v>43103</v>
      </c>
      <c r="P507" s="32" t="e">
        <f>VLOOKUP(Table311[[#This Row],[UNIT NO.]],[1]!Table35711[[#Headers],[#Data],[Unit '#]:[Application/Sold/ Unsold]],7,0)</f>
        <v>#REF!</v>
      </c>
      <c r="S507" s="64"/>
    </row>
    <row r="508" spans="2:19" ht="26.25" x14ac:dyDescent="0.25">
      <c r="B508" s="5">
        <f t="shared" si="7"/>
        <v>505</v>
      </c>
      <c r="C508" s="29" t="s">
        <v>1841</v>
      </c>
      <c r="D508" s="6" t="s">
        <v>903</v>
      </c>
      <c r="E508" s="29" t="s">
        <v>1842</v>
      </c>
      <c r="F508" s="6">
        <v>830</v>
      </c>
      <c r="G508" s="6" t="s">
        <v>26</v>
      </c>
      <c r="H508" s="6"/>
      <c r="I508" s="6"/>
      <c r="J508" s="6"/>
      <c r="K508" s="7">
        <v>41273</v>
      </c>
      <c r="L508" s="30">
        <v>2166500</v>
      </c>
      <c r="M508" s="30">
        <v>2066899</v>
      </c>
      <c r="N508" s="6" t="s">
        <v>39</v>
      </c>
      <c r="O508" s="31">
        <v>43103</v>
      </c>
      <c r="P508" s="32" t="e">
        <f>VLOOKUP(Table311[[#This Row],[UNIT NO.]],[1]!Table35711[[#Headers],[#Data],[Unit '#]:[Application/Sold/ Unsold]],7,0)</f>
        <v>#REF!</v>
      </c>
      <c r="S508" s="64"/>
    </row>
    <row r="509" spans="2:19" x14ac:dyDescent="0.25">
      <c r="B509" s="5">
        <f t="shared" si="7"/>
        <v>506</v>
      </c>
      <c r="C509" s="29" t="s">
        <v>1843</v>
      </c>
      <c r="D509" s="6" t="s">
        <v>903</v>
      </c>
      <c r="E509" s="29" t="s">
        <v>1844</v>
      </c>
      <c r="F509" s="6">
        <v>830</v>
      </c>
      <c r="G509" s="6" t="s">
        <v>26</v>
      </c>
      <c r="H509" s="6"/>
      <c r="I509" s="6"/>
      <c r="J509" s="6"/>
      <c r="K509" s="7">
        <v>41349</v>
      </c>
      <c r="L509" s="30">
        <v>2205000</v>
      </c>
      <c r="M509" s="30">
        <v>2102741</v>
      </c>
      <c r="N509" s="6" t="s">
        <v>144</v>
      </c>
      <c r="O509" s="31">
        <v>43103</v>
      </c>
      <c r="P509" s="32" t="e">
        <f>VLOOKUP(Table311[[#This Row],[UNIT NO.]],[1]!Table35711[[#Headers],[#Data],[Unit '#]:[Application/Sold/ Unsold]],7,0)</f>
        <v>#REF!</v>
      </c>
      <c r="S509" s="64"/>
    </row>
    <row r="510" spans="2:19" x14ac:dyDescent="0.25">
      <c r="B510" s="5">
        <f t="shared" si="7"/>
        <v>507</v>
      </c>
      <c r="C510" s="29" t="s">
        <v>1845</v>
      </c>
      <c r="D510" s="6" t="s">
        <v>903</v>
      </c>
      <c r="E510" s="29" t="s">
        <v>1846</v>
      </c>
      <c r="F510" s="6">
        <v>830</v>
      </c>
      <c r="G510" s="6" t="s">
        <v>26</v>
      </c>
      <c r="H510" s="6"/>
      <c r="I510" s="6"/>
      <c r="J510" s="6"/>
      <c r="K510" s="7">
        <v>41382</v>
      </c>
      <c r="L510" s="30">
        <v>2341500</v>
      </c>
      <c r="M510" s="30">
        <v>1053676</v>
      </c>
      <c r="N510" s="6" t="s">
        <v>57</v>
      </c>
      <c r="O510" s="31">
        <v>43103</v>
      </c>
      <c r="P510" s="32" t="e">
        <f>VLOOKUP(Table311[[#This Row],[UNIT NO.]],[1]!Table35711[[#Headers],[#Data],[Unit '#]:[Application/Sold/ Unsold]],7,0)</f>
        <v>#REF!</v>
      </c>
      <c r="S510" s="64"/>
    </row>
    <row r="511" spans="2:19" ht="39" x14ac:dyDescent="0.25">
      <c r="B511" s="5">
        <f t="shared" si="7"/>
        <v>508</v>
      </c>
      <c r="C511" s="29" t="s">
        <v>1847</v>
      </c>
      <c r="D511" s="6" t="s">
        <v>903</v>
      </c>
      <c r="E511" s="29" t="s">
        <v>1848</v>
      </c>
      <c r="F511" s="6">
        <v>830</v>
      </c>
      <c r="G511" s="6" t="s">
        <v>26</v>
      </c>
      <c r="H511" s="6"/>
      <c r="I511" s="6"/>
      <c r="J511" s="6"/>
      <c r="K511" s="7">
        <v>42882</v>
      </c>
      <c r="L511" s="30">
        <v>2600000</v>
      </c>
      <c r="M511" s="30">
        <v>1110961</v>
      </c>
      <c r="N511" s="6" t="s">
        <v>30</v>
      </c>
      <c r="O511" s="31">
        <v>43103</v>
      </c>
      <c r="P511" s="32" t="e">
        <f>VLOOKUP(Table311[[#This Row],[UNIT NO.]],[1]!Table35711[[#Headers],[#Data],[Unit '#]:[Application/Sold/ Unsold]],7,0)</f>
        <v>#REF!</v>
      </c>
      <c r="S511" s="64"/>
    </row>
    <row r="512" spans="2:19" ht="26.25" x14ac:dyDescent="0.25">
      <c r="B512" s="5">
        <f t="shared" si="7"/>
        <v>509</v>
      </c>
      <c r="C512" s="29" t="s">
        <v>1849</v>
      </c>
      <c r="D512" s="6" t="s">
        <v>903</v>
      </c>
      <c r="E512" s="29" t="s">
        <v>1850</v>
      </c>
      <c r="F512" s="6">
        <v>830</v>
      </c>
      <c r="G512" s="6" t="s">
        <v>26</v>
      </c>
      <c r="H512" s="6"/>
      <c r="I512" s="6"/>
      <c r="J512" s="6"/>
      <c r="K512" s="7">
        <v>41274</v>
      </c>
      <c r="L512" s="30">
        <v>2326590</v>
      </c>
      <c r="M512" s="30">
        <v>2326590</v>
      </c>
      <c r="N512" s="6" t="s">
        <v>30</v>
      </c>
      <c r="O512" s="31">
        <v>43103</v>
      </c>
      <c r="P512" s="32" t="e">
        <f>VLOOKUP(Table311[[#This Row],[UNIT NO.]],[1]!Table35711[[#Headers],[#Data],[Unit '#]:[Application/Sold/ Unsold]],7,0)</f>
        <v>#REF!</v>
      </c>
      <c r="S512" s="64"/>
    </row>
    <row r="513" spans="2:19" ht="39" x14ac:dyDescent="0.25">
      <c r="B513" s="5">
        <f t="shared" si="7"/>
        <v>510</v>
      </c>
      <c r="C513" s="29" t="s">
        <v>1851</v>
      </c>
      <c r="D513" s="6" t="s">
        <v>903</v>
      </c>
      <c r="E513" s="29" t="s">
        <v>1852</v>
      </c>
      <c r="F513" s="6">
        <v>830</v>
      </c>
      <c r="G513" s="6" t="s">
        <v>26</v>
      </c>
      <c r="H513" s="6"/>
      <c r="I513" s="6"/>
      <c r="J513" s="6"/>
      <c r="K513" s="7">
        <v>41217</v>
      </c>
      <c r="L513" s="30">
        <v>2355780</v>
      </c>
      <c r="M513" s="30">
        <v>2292683</v>
      </c>
      <c r="N513" s="6" t="s">
        <v>46</v>
      </c>
      <c r="O513" s="31">
        <v>43103</v>
      </c>
      <c r="P513" s="32" t="e">
        <f>VLOOKUP(Table311[[#This Row],[UNIT NO.]],[1]!Table35711[[#Headers],[#Data],[Unit '#]:[Application/Sold/ Unsold]],7,0)</f>
        <v>#REF!</v>
      </c>
      <c r="S513" s="64"/>
    </row>
    <row r="514" spans="2:19" ht="39" x14ac:dyDescent="0.25">
      <c r="B514" s="5">
        <f t="shared" si="7"/>
        <v>511</v>
      </c>
      <c r="C514" s="29" t="s">
        <v>1853</v>
      </c>
      <c r="D514" s="6" t="s">
        <v>903</v>
      </c>
      <c r="E514" s="29" t="s">
        <v>1854</v>
      </c>
      <c r="F514" s="6">
        <v>830</v>
      </c>
      <c r="G514" s="6" t="s">
        <v>26</v>
      </c>
      <c r="H514" s="6"/>
      <c r="I514" s="6"/>
      <c r="J514" s="6"/>
      <c r="K514" s="7">
        <v>41292</v>
      </c>
      <c r="L514" s="30">
        <v>2368090</v>
      </c>
      <c r="M514" s="30">
        <v>2368090</v>
      </c>
      <c r="N514" s="6" t="s">
        <v>30</v>
      </c>
      <c r="O514" s="31">
        <v>43103</v>
      </c>
      <c r="P514" s="32" t="e">
        <f>VLOOKUP(Table311[[#This Row],[UNIT NO.]],[1]!Table35711[[#Headers],[#Data],[Unit '#]:[Application/Sold/ Unsold]],7,0)</f>
        <v>#REF!</v>
      </c>
      <c r="S514" s="64"/>
    </row>
    <row r="515" spans="2:19" ht="26.25" x14ac:dyDescent="0.25">
      <c r="B515" s="5">
        <f t="shared" si="7"/>
        <v>512</v>
      </c>
      <c r="C515" s="29" t="s">
        <v>1855</v>
      </c>
      <c r="D515" s="6" t="s">
        <v>903</v>
      </c>
      <c r="E515" s="29" t="s">
        <v>1856</v>
      </c>
      <c r="F515" s="6">
        <v>830</v>
      </c>
      <c r="G515" s="6" t="s">
        <v>26</v>
      </c>
      <c r="H515" s="6"/>
      <c r="I515" s="6"/>
      <c r="J515" s="6"/>
      <c r="K515" s="7">
        <v>41465</v>
      </c>
      <c r="L515" s="30">
        <v>2691100</v>
      </c>
      <c r="M515" s="30">
        <v>2538392</v>
      </c>
      <c r="N515" s="6" t="s">
        <v>27</v>
      </c>
      <c r="O515" s="31">
        <v>43103</v>
      </c>
      <c r="P515" s="32" t="e">
        <f>VLOOKUP(Table311[[#This Row],[UNIT NO.]],[1]!Table35711[[#Headers],[#Data],[Unit '#]:[Application/Sold/ Unsold]],7,0)</f>
        <v>#REF!</v>
      </c>
      <c r="S515" s="64"/>
    </row>
    <row r="516" spans="2:19" x14ac:dyDescent="0.25">
      <c r="B516" s="5">
        <f t="shared" si="7"/>
        <v>513</v>
      </c>
      <c r="C516" s="29" t="s">
        <v>1857</v>
      </c>
      <c r="D516" s="6" t="s">
        <v>903</v>
      </c>
      <c r="E516" s="29" t="s">
        <v>1858</v>
      </c>
      <c r="F516" s="6">
        <v>830</v>
      </c>
      <c r="G516" s="6" t="s">
        <v>26</v>
      </c>
      <c r="H516" s="6"/>
      <c r="I516" s="6"/>
      <c r="J516" s="6"/>
      <c r="K516" s="7">
        <v>41386</v>
      </c>
      <c r="L516" s="30">
        <v>2691100</v>
      </c>
      <c r="M516" s="30">
        <v>2642753</v>
      </c>
      <c r="N516" s="6" t="s">
        <v>57</v>
      </c>
      <c r="O516" s="31">
        <v>43103</v>
      </c>
      <c r="P516" s="32" t="e">
        <f>VLOOKUP(Table311[[#This Row],[UNIT NO.]],[1]!Table35711[[#Headers],[#Data],[Unit '#]:[Application/Sold/ Unsold]],7,0)</f>
        <v>#REF!</v>
      </c>
      <c r="S516" s="64"/>
    </row>
    <row r="517" spans="2:19" ht="26.25" x14ac:dyDescent="0.25">
      <c r="B517" s="5">
        <f t="shared" si="7"/>
        <v>514</v>
      </c>
      <c r="C517" s="29" t="s">
        <v>1859</v>
      </c>
      <c r="D517" s="6" t="s">
        <v>903</v>
      </c>
      <c r="E517" s="29" t="s">
        <v>1860</v>
      </c>
      <c r="F517" s="6">
        <v>830</v>
      </c>
      <c r="G517" s="6" t="s">
        <v>26</v>
      </c>
      <c r="H517" s="6"/>
      <c r="I517" s="6"/>
      <c r="J517" s="6"/>
      <c r="K517" s="7">
        <v>41211</v>
      </c>
      <c r="L517" s="30">
        <v>2146790</v>
      </c>
      <c r="M517" s="30">
        <v>432855</v>
      </c>
      <c r="N517" s="6" t="s">
        <v>30</v>
      </c>
      <c r="O517" s="31">
        <v>43103</v>
      </c>
      <c r="P517" s="32" t="e">
        <f>VLOOKUP(Table311[[#This Row],[UNIT NO.]],[1]!Table35711[[#Headers],[#Data],[Unit '#]:[Application/Sold/ Unsold]],7,0)</f>
        <v>#REF!</v>
      </c>
      <c r="S517" s="64"/>
    </row>
    <row r="518" spans="2:19" ht="26.25" x14ac:dyDescent="0.25">
      <c r="B518" s="5">
        <f t="shared" ref="B518:B581" si="8">B517+1</f>
        <v>515</v>
      </c>
      <c r="C518" s="29" t="s">
        <v>1861</v>
      </c>
      <c r="D518" s="6" t="s">
        <v>903</v>
      </c>
      <c r="E518" s="29" t="s">
        <v>1862</v>
      </c>
      <c r="F518" s="6">
        <v>830</v>
      </c>
      <c r="G518" s="6" t="s">
        <v>26</v>
      </c>
      <c r="H518" s="6"/>
      <c r="I518" s="6"/>
      <c r="J518" s="6"/>
      <c r="K518" s="7">
        <v>41238</v>
      </c>
      <c r="L518" s="30">
        <v>2146790</v>
      </c>
      <c r="M518" s="30">
        <v>1603907</v>
      </c>
      <c r="N518" s="6" t="s">
        <v>27</v>
      </c>
      <c r="O518" s="31">
        <v>43103</v>
      </c>
      <c r="P518" s="32" t="e">
        <f>VLOOKUP(Table311[[#This Row],[UNIT NO.]],[1]!Table35711[[#Headers],[#Data],[Unit '#]:[Application/Sold/ Unsold]],7,0)</f>
        <v>#REF!</v>
      </c>
      <c r="S518" s="64"/>
    </row>
    <row r="519" spans="2:19" ht="26.25" x14ac:dyDescent="0.25">
      <c r="B519" s="5">
        <f t="shared" si="8"/>
        <v>516</v>
      </c>
      <c r="C519" s="29" t="s">
        <v>1863</v>
      </c>
      <c r="D519" s="6" t="s">
        <v>903</v>
      </c>
      <c r="E519" s="29" t="s">
        <v>1864</v>
      </c>
      <c r="F519" s="6">
        <v>830</v>
      </c>
      <c r="G519" s="6" t="s">
        <v>26</v>
      </c>
      <c r="H519" s="6"/>
      <c r="I519" s="6"/>
      <c r="J519" s="6"/>
      <c r="K519" s="7">
        <v>41283</v>
      </c>
      <c r="L519" s="30">
        <v>2368090</v>
      </c>
      <c r="M519" s="30">
        <v>2265801</v>
      </c>
      <c r="N519" s="6" t="s">
        <v>165</v>
      </c>
      <c r="O519" s="31">
        <v>43103</v>
      </c>
      <c r="P519" s="32" t="e">
        <f>VLOOKUP(Table311[[#This Row],[UNIT NO.]],[1]!Table35711[[#Headers],[#Data],[Unit '#]:[Application/Sold/ Unsold]],7,0)</f>
        <v>#REF!</v>
      </c>
      <c r="S519" s="64"/>
    </row>
    <row r="520" spans="2:19" x14ac:dyDescent="0.25">
      <c r="B520" s="5">
        <f t="shared" si="8"/>
        <v>517</v>
      </c>
      <c r="C520" s="29" t="s">
        <v>1865</v>
      </c>
      <c r="D520" s="6" t="s">
        <v>903</v>
      </c>
      <c r="E520" s="29" t="s">
        <v>1866</v>
      </c>
      <c r="F520" s="6">
        <v>830</v>
      </c>
      <c r="G520" s="6" t="s">
        <v>26</v>
      </c>
      <c r="H520" s="6"/>
      <c r="I520" s="6"/>
      <c r="J520" s="6"/>
      <c r="K520" s="7">
        <v>41728</v>
      </c>
      <c r="L520" s="30">
        <v>2368090</v>
      </c>
      <c r="M520" s="30">
        <v>2324696</v>
      </c>
      <c r="N520" s="6" t="s">
        <v>30</v>
      </c>
      <c r="O520" s="31">
        <v>43103</v>
      </c>
      <c r="P520" s="32" t="e">
        <f>VLOOKUP(Table311[[#This Row],[UNIT NO.]],[1]!Table35711[[#Headers],[#Data],[Unit '#]:[Application/Sold/ Unsold]],7,0)</f>
        <v>#REF!</v>
      </c>
      <c r="S520" s="64"/>
    </row>
    <row r="521" spans="2:19" ht="39" x14ac:dyDescent="0.25">
      <c r="B521" s="5">
        <f t="shared" si="8"/>
        <v>518</v>
      </c>
      <c r="C521" s="29" t="s">
        <v>1867</v>
      </c>
      <c r="D521" s="6" t="s">
        <v>903</v>
      </c>
      <c r="E521" s="29" t="s">
        <v>1868</v>
      </c>
      <c r="F521" s="6">
        <v>830</v>
      </c>
      <c r="G521" s="6" t="s">
        <v>26</v>
      </c>
      <c r="H521" s="6"/>
      <c r="I521" s="6"/>
      <c r="J521" s="6"/>
      <c r="K521" s="7">
        <v>41447</v>
      </c>
      <c r="L521" s="30">
        <v>2702765</v>
      </c>
      <c r="M521" s="30">
        <v>1357841</v>
      </c>
      <c r="N521" s="6" t="s">
        <v>27</v>
      </c>
      <c r="O521" s="31">
        <v>43103</v>
      </c>
      <c r="P521" s="32" t="e">
        <f>VLOOKUP(Table311[[#This Row],[UNIT NO.]],[1]!Table35711[[#Headers],[#Data],[Unit '#]:[Application/Sold/ Unsold]],7,0)</f>
        <v>#REF!</v>
      </c>
      <c r="S521" s="64"/>
    </row>
    <row r="522" spans="2:19" ht="39" x14ac:dyDescent="0.25">
      <c r="B522" s="5">
        <f t="shared" si="8"/>
        <v>519</v>
      </c>
      <c r="C522" s="29" t="s">
        <v>1869</v>
      </c>
      <c r="D522" s="6" t="s">
        <v>903</v>
      </c>
      <c r="E522" s="29" t="s">
        <v>1870</v>
      </c>
      <c r="F522" s="6">
        <v>830</v>
      </c>
      <c r="G522" s="6" t="s">
        <v>26</v>
      </c>
      <c r="H522" s="6"/>
      <c r="I522" s="6"/>
      <c r="J522" s="6"/>
      <c r="K522" s="7">
        <v>41220</v>
      </c>
      <c r="L522" s="30">
        <v>2461790</v>
      </c>
      <c r="M522" s="30">
        <v>273354</v>
      </c>
      <c r="N522" s="6" t="s">
        <v>30</v>
      </c>
      <c r="O522" s="31">
        <v>43103</v>
      </c>
      <c r="P522" s="32" t="e">
        <f>VLOOKUP(Table311[[#This Row],[UNIT NO.]],[1]!Table35711[[#Headers],[#Data],[Unit '#]:[Application/Sold/ Unsold]],7,0)</f>
        <v>#REF!</v>
      </c>
      <c r="S522" s="64"/>
    </row>
    <row r="523" spans="2:19" x14ac:dyDescent="0.25">
      <c r="B523" s="5">
        <f t="shared" si="8"/>
        <v>520</v>
      </c>
      <c r="C523" s="29" t="s">
        <v>1871</v>
      </c>
      <c r="D523" s="6" t="s">
        <v>903</v>
      </c>
      <c r="E523" s="29" t="s">
        <v>1872</v>
      </c>
      <c r="F523" s="6">
        <v>830</v>
      </c>
      <c r="G523" s="6" t="s">
        <v>26</v>
      </c>
      <c r="H523" s="6"/>
      <c r="I523" s="6"/>
      <c r="J523" s="6"/>
      <c r="K523" s="7">
        <v>41241</v>
      </c>
      <c r="L523" s="30">
        <v>2085661</v>
      </c>
      <c r="M523" s="30">
        <v>1974549</v>
      </c>
      <c r="N523" s="6" t="s">
        <v>30</v>
      </c>
      <c r="O523" s="31">
        <v>43103</v>
      </c>
      <c r="P523" s="32" t="e">
        <f>VLOOKUP(Table311[[#This Row],[UNIT NO.]],[1]!Table35711[[#Headers],[#Data],[Unit '#]:[Application/Sold/ Unsold]],7,0)</f>
        <v>#REF!</v>
      </c>
      <c r="S523" s="64"/>
    </row>
    <row r="524" spans="2:19" ht="26.25" x14ac:dyDescent="0.25">
      <c r="B524" s="5">
        <f t="shared" si="8"/>
        <v>521</v>
      </c>
      <c r="C524" s="29" t="s">
        <v>1873</v>
      </c>
      <c r="D524" s="6" t="s">
        <v>903</v>
      </c>
      <c r="E524" s="29" t="s">
        <v>1874</v>
      </c>
      <c r="F524" s="6">
        <v>830</v>
      </c>
      <c r="G524" s="6" t="s">
        <v>26</v>
      </c>
      <c r="H524" s="6"/>
      <c r="I524" s="6"/>
      <c r="J524" s="6"/>
      <c r="K524" s="7">
        <v>41213</v>
      </c>
      <c r="L524" s="30">
        <v>2393180</v>
      </c>
      <c r="M524" s="30">
        <v>1317548</v>
      </c>
      <c r="N524" s="6" t="s">
        <v>27</v>
      </c>
      <c r="O524" s="31">
        <v>43103</v>
      </c>
      <c r="P524" s="32" t="e">
        <f>VLOOKUP(Table311[[#This Row],[UNIT NO.]],[1]!Table35711[[#Headers],[#Data],[Unit '#]:[Application/Sold/ Unsold]],7,0)</f>
        <v>#REF!</v>
      </c>
      <c r="S524" s="64"/>
    </row>
    <row r="525" spans="2:19" ht="26.25" x14ac:dyDescent="0.25">
      <c r="B525" s="5">
        <f t="shared" si="8"/>
        <v>522</v>
      </c>
      <c r="C525" s="29" t="s">
        <v>1875</v>
      </c>
      <c r="D525" s="6" t="s">
        <v>903</v>
      </c>
      <c r="E525" s="29" t="s">
        <v>1876</v>
      </c>
      <c r="F525" s="6">
        <v>830</v>
      </c>
      <c r="G525" s="6" t="s">
        <v>26</v>
      </c>
      <c r="H525" s="6"/>
      <c r="I525" s="6"/>
      <c r="J525" s="6"/>
      <c r="K525" s="7">
        <v>41061</v>
      </c>
      <c r="L525" s="30">
        <v>2085661</v>
      </c>
      <c r="M525" s="30">
        <v>2085661</v>
      </c>
      <c r="N525" s="6" t="s">
        <v>30</v>
      </c>
      <c r="O525" s="31">
        <v>43103</v>
      </c>
      <c r="P525" s="32" t="e">
        <f>VLOOKUP(Table311[[#This Row],[UNIT NO.]],[1]!Table35711[[#Headers],[#Data],[Unit '#]:[Application/Sold/ Unsold]],7,0)</f>
        <v>#REF!</v>
      </c>
      <c r="S525" s="64"/>
    </row>
    <row r="526" spans="2:19" ht="26.25" x14ac:dyDescent="0.25">
      <c r="B526" s="5">
        <f t="shared" si="8"/>
        <v>523</v>
      </c>
      <c r="C526" s="29" t="s">
        <v>1877</v>
      </c>
      <c r="D526" s="6" t="s">
        <v>903</v>
      </c>
      <c r="E526" s="29" t="s">
        <v>1878</v>
      </c>
      <c r="F526" s="6">
        <v>830</v>
      </c>
      <c r="G526" s="6" t="s">
        <v>26</v>
      </c>
      <c r="H526" s="6"/>
      <c r="I526" s="6"/>
      <c r="J526" s="6"/>
      <c r="K526" s="7">
        <v>41240</v>
      </c>
      <c r="L526" s="30">
        <v>2342400</v>
      </c>
      <c r="M526" s="30">
        <v>1367547</v>
      </c>
      <c r="N526" s="6" t="s">
        <v>27</v>
      </c>
      <c r="O526" s="31">
        <v>43103</v>
      </c>
      <c r="P526" s="32" t="e">
        <f>VLOOKUP(Table311[[#This Row],[UNIT NO.]],[1]!Table35711[[#Headers],[#Data],[Unit '#]:[Application/Sold/ Unsold]],7,0)</f>
        <v>#REF!</v>
      </c>
      <c r="S526" s="64"/>
    </row>
    <row r="527" spans="2:19" ht="39" x14ac:dyDescent="0.25">
      <c r="B527" s="5">
        <f t="shared" si="8"/>
        <v>524</v>
      </c>
      <c r="C527" s="29" t="s">
        <v>1879</v>
      </c>
      <c r="D527" s="6" t="s">
        <v>903</v>
      </c>
      <c r="E527" s="29" t="s">
        <v>1880</v>
      </c>
      <c r="F527" s="6">
        <v>830</v>
      </c>
      <c r="G527" s="6" t="s">
        <v>26</v>
      </c>
      <c r="H527" s="6"/>
      <c r="I527" s="6"/>
      <c r="J527" s="6"/>
      <c r="K527" s="7">
        <v>41315</v>
      </c>
      <c r="L527" s="30">
        <v>2288790</v>
      </c>
      <c r="M527" s="30">
        <v>1822682</v>
      </c>
      <c r="N527" s="6" t="s">
        <v>30</v>
      </c>
      <c r="O527" s="31">
        <v>43103</v>
      </c>
      <c r="P527" s="32" t="e">
        <f>VLOOKUP(Table311[[#This Row],[UNIT NO.]],[1]!Table35711[[#Headers],[#Data],[Unit '#]:[Application/Sold/ Unsold]],7,0)</f>
        <v>#REF!</v>
      </c>
      <c r="S527" s="64"/>
    </row>
    <row r="528" spans="2:19" ht="26.25" x14ac:dyDescent="0.25">
      <c r="B528" s="5">
        <f t="shared" si="8"/>
        <v>525</v>
      </c>
      <c r="C528" s="29" t="s">
        <v>1881</v>
      </c>
      <c r="D528" s="6" t="s">
        <v>903</v>
      </c>
      <c r="E528" s="29" t="s">
        <v>1882</v>
      </c>
      <c r="F528" s="6">
        <v>830</v>
      </c>
      <c r="G528" s="6" t="s">
        <v>26</v>
      </c>
      <c r="H528" s="6"/>
      <c r="I528" s="6"/>
      <c r="J528" s="6"/>
      <c r="K528" s="7">
        <v>41241</v>
      </c>
      <c r="L528" s="30">
        <v>2330290</v>
      </c>
      <c r="M528" s="30">
        <v>1984702</v>
      </c>
      <c r="N528" s="6" t="s">
        <v>30</v>
      </c>
      <c r="O528" s="31">
        <v>43103</v>
      </c>
      <c r="P528" s="32" t="e">
        <f>VLOOKUP(Table311[[#This Row],[UNIT NO.]],[1]!Table35711[[#Headers],[#Data],[Unit '#]:[Application/Sold/ Unsold]],7,0)</f>
        <v>#REF!</v>
      </c>
      <c r="S528" s="64"/>
    </row>
    <row r="529" spans="2:19" ht="26.25" x14ac:dyDescent="0.25">
      <c r="B529" s="5">
        <f t="shared" si="8"/>
        <v>526</v>
      </c>
      <c r="C529" s="29" t="s">
        <v>1883</v>
      </c>
      <c r="D529" s="6" t="s">
        <v>903</v>
      </c>
      <c r="E529" s="29" t="s">
        <v>1884</v>
      </c>
      <c r="F529" s="6">
        <v>830</v>
      </c>
      <c r="G529" s="6" t="s">
        <v>26</v>
      </c>
      <c r="H529" s="6"/>
      <c r="I529" s="6"/>
      <c r="J529" s="6"/>
      <c r="K529" s="7">
        <v>41256</v>
      </c>
      <c r="L529" s="30">
        <v>2446500</v>
      </c>
      <c r="M529" s="30">
        <v>2273530</v>
      </c>
      <c r="N529" s="6" t="s">
        <v>57</v>
      </c>
      <c r="O529" s="31">
        <v>43103</v>
      </c>
      <c r="P529" s="32" t="e">
        <f>VLOOKUP(Table311[[#This Row],[UNIT NO.]],[1]!Table35711[[#Headers],[#Data],[Unit '#]:[Application/Sold/ Unsold]],7,0)</f>
        <v>#REF!</v>
      </c>
      <c r="S529" s="64"/>
    </row>
    <row r="530" spans="2:19" ht="26.25" x14ac:dyDescent="0.25">
      <c r="B530" s="5">
        <f t="shared" si="8"/>
        <v>527</v>
      </c>
      <c r="C530" s="29" t="s">
        <v>1885</v>
      </c>
      <c r="D530" s="6" t="s">
        <v>903</v>
      </c>
      <c r="E530" s="29" t="s">
        <v>1886</v>
      </c>
      <c r="F530" s="6">
        <v>830</v>
      </c>
      <c r="G530" s="6" t="s">
        <v>26</v>
      </c>
      <c r="H530" s="6"/>
      <c r="I530" s="6"/>
      <c r="J530" s="6"/>
      <c r="K530" s="7">
        <v>41369</v>
      </c>
      <c r="L530" s="30">
        <v>2432650</v>
      </c>
      <c r="M530" s="30">
        <v>1045608</v>
      </c>
      <c r="N530" s="6" t="s">
        <v>27</v>
      </c>
      <c r="O530" s="31">
        <v>43103</v>
      </c>
      <c r="P530" s="32" t="e">
        <f>VLOOKUP(Table311[[#This Row],[UNIT NO.]],[1]!Table35711[[#Headers],[#Data],[Unit '#]:[Application/Sold/ Unsold]],7,0)</f>
        <v>#REF!</v>
      </c>
      <c r="S530" s="64"/>
    </row>
    <row r="531" spans="2:19" ht="39" x14ac:dyDescent="0.25">
      <c r="B531" s="5">
        <f t="shared" si="8"/>
        <v>528</v>
      </c>
      <c r="C531" s="29" t="s">
        <v>1887</v>
      </c>
      <c r="D531" s="6" t="s">
        <v>903</v>
      </c>
      <c r="E531" s="29" t="s">
        <v>1888</v>
      </c>
      <c r="F531" s="6">
        <v>830</v>
      </c>
      <c r="G531" s="6" t="s">
        <v>26</v>
      </c>
      <c r="H531" s="6"/>
      <c r="I531" s="6"/>
      <c r="J531" s="6"/>
      <c r="K531" s="7">
        <v>41115</v>
      </c>
      <c r="L531" s="30">
        <v>2266638</v>
      </c>
      <c r="M531" s="30">
        <v>305421</v>
      </c>
      <c r="N531" s="6" t="s">
        <v>30</v>
      </c>
      <c r="O531" s="31">
        <v>43103</v>
      </c>
      <c r="P531" s="32" t="e">
        <f>VLOOKUP(Table311[[#This Row],[UNIT NO.]],[1]!Table35711[[#Headers],[#Data],[Unit '#]:[Application/Sold/ Unsold]],7,0)</f>
        <v>#REF!</v>
      </c>
      <c r="S531" s="64"/>
    </row>
    <row r="532" spans="2:19" ht="26.25" x14ac:dyDescent="0.25">
      <c r="B532" s="5">
        <f t="shared" si="8"/>
        <v>529</v>
      </c>
      <c r="C532" s="29" t="s">
        <v>1889</v>
      </c>
      <c r="D532" s="6" t="s">
        <v>903</v>
      </c>
      <c r="E532" s="29" t="s">
        <v>1890</v>
      </c>
      <c r="F532" s="6">
        <v>830</v>
      </c>
      <c r="G532" s="6" t="s">
        <v>26</v>
      </c>
      <c r="H532" s="6"/>
      <c r="I532" s="6"/>
      <c r="J532" s="6"/>
      <c r="K532" s="7">
        <v>41290</v>
      </c>
      <c r="L532" s="30">
        <v>2198410</v>
      </c>
      <c r="M532" s="30">
        <v>2198410</v>
      </c>
      <c r="N532" s="6" t="s">
        <v>30</v>
      </c>
      <c r="O532" s="31">
        <v>43103</v>
      </c>
      <c r="P532" s="32" t="e">
        <f>VLOOKUP(Table311[[#This Row],[UNIT NO.]],[1]!Table35711[[#Headers],[#Data],[Unit '#]:[Application/Sold/ Unsold]],7,0)</f>
        <v>#REF!</v>
      </c>
      <c r="S532" s="64"/>
    </row>
    <row r="533" spans="2:19" ht="26.25" x14ac:dyDescent="0.25">
      <c r="B533" s="5">
        <f t="shared" si="8"/>
        <v>530</v>
      </c>
      <c r="C533" s="29" t="s">
        <v>1891</v>
      </c>
      <c r="D533" s="6" t="s">
        <v>903</v>
      </c>
      <c r="E533" s="29" t="s">
        <v>1892</v>
      </c>
      <c r="F533" s="6">
        <v>830</v>
      </c>
      <c r="G533" s="6" t="s">
        <v>26</v>
      </c>
      <c r="H533" s="6"/>
      <c r="I533" s="6"/>
      <c r="J533" s="6"/>
      <c r="K533" s="7">
        <v>41255</v>
      </c>
      <c r="L533" s="30">
        <v>2342400</v>
      </c>
      <c r="M533" s="30">
        <v>869086</v>
      </c>
      <c r="N533" s="6" t="s">
        <v>30</v>
      </c>
      <c r="O533" s="31">
        <v>43103</v>
      </c>
      <c r="P533" s="32" t="e">
        <f>VLOOKUP(Table311[[#This Row],[UNIT NO.]],[1]!Table35711[[#Headers],[#Data],[Unit '#]:[Application/Sold/ Unsold]],7,0)</f>
        <v>#REF!</v>
      </c>
      <c r="S533" s="64"/>
    </row>
    <row r="534" spans="2:19" ht="26.25" x14ac:dyDescent="0.25">
      <c r="B534" s="5">
        <f t="shared" si="8"/>
        <v>531</v>
      </c>
      <c r="C534" s="29" t="s">
        <v>1820</v>
      </c>
      <c r="D534" s="6" t="s">
        <v>903</v>
      </c>
      <c r="E534" s="29" t="s">
        <v>1893</v>
      </c>
      <c r="F534" s="6">
        <v>830</v>
      </c>
      <c r="G534" s="6" t="s">
        <v>26</v>
      </c>
      <c r="H534" s="6"/>
      <c r="I534" s="6"/>
      <c r="J534" s="6"/>
      <c r="K534" s="7">
        <v>41445</v>
      </c>
      <c r="L534" s="30">
        <v>2300000</v>
      </c>
      <c r="M534" s="30">
        <v>1947128</v>
      </c>
      <c r="N534" s="6" t="s">
        <v>144</v>
      </c>
      <c r="O534" s="31">
        <v>43103</v>
      </c>
      <c r="P534" s="32" t="e">
        <f>VLOOKUP(Table311[[#This Row],[UNIT NO.]],[1]!Table35711[[#Headers],[#Data],[Unit '#]:[Application/Sold/ Unsold]],7,0)</f>
        <v>#REF!</v>
      </c>
      <c r="S534" s="64"/>
    </row>
    <row r="535" spans="2:19" x14ac:dyDescent="0.25">
      <c r="B535" s="5">
        <f t="shared" si="8"/>
        <v>532</v>
      </c>
      <c r="C535" s="29" t="s">
        <v>1894</v>
      </c>
      <c r="D535" s="6" t="s">
        <v>903</v>
      </c>
      <c r="E535" s="29" t="s">
        <v>1895</v>
      </c>
      <c r="F535" s="6">
        <v>830</v>
      </c>
      <c r="G535" s="6" t="s">
        <v>26</v>
      </c>
      <c r="H535" s="6"/>
      <c r="I535" s="6"/>
      <c r="J535" s="6"/>
      <c r="K535" s="7">
        <v>41807</v>
      </c>
      <c r="L535" s="30">
        <v>2946950</v>
      </c>
      <c r="M535" s="30">
        <v>2847716</v>
      </c>
      <c r="N535" s="6" t="s">
        <v>165</v>
      </c>
      <c r="O535" s="31">
        <v>43103</v>
      </c>
      <c r="P535" s="32" t="e">
        <f>VLOOKUP(Table311[[#This Row],[UNIT NO.]],[1]!Table35711[[#Headers],[#Data],[Unit '#]:[Application/Sold/ Unsold]],7,0)</f>
        <v>#REF!</v>
      </c>
      <c r="S535" s="64"/>
    </row>
    <row r="536" spans="2:19" ht="39" x14ac:dyDescent="0.25">
      <c r="B536" s="5">
        <f t="shared" si="8"/>
        <v>533</v>
      </c>
      <c r="C536" s="29" t="s">
        <v>1896</v>
      </c>
      <c r="D536" s="6" t="s">
        <v>903</v>
      </c>
      <c r="E536" s="29" t="s">
        <v>1897</v>
      </c>
      <c r="F536" s="6">
        <v>830</v>
      </c>
      <c r="G536" s="6" t="s">
        <v>26</v>
      </c>
      <c r="H536" s="6"/>
      <c r="I536" s="6"/>
      <c r="J536" s="6"/>
      <c r="K536" s="7">
        <v>41425</v>
      </c>
      <c r="L536" s="30">
        <v>2946950</v>
      </c>
      <c r="M536" s="30">
        <v>2905397</v>
      </c>
      <c r="N536" s="6" t="s">
        <v>30</v>
      </c>
      <c r="O536" s="31">
        <v>43103</v>
      </c>
      <c r="P536" s="32" t="e">
        <f>VLOOKUP(Table311[[#This Row],[UNIT NO.]],[1]!Table35711[[#Headers],[#Data],[Unit '#]:[Application/Sold/ Unsold]],7,0)</f>
        <v>#REF!</v>
      </c>
      <c r="S536" s="64"/>
    </row>
    <row r="537" spans="2:19" ht="26.25" x14ac:dyDescent="0.25">
      <c r="B537" s="5">
        <f t="shared" si="8"/>
        <v>534</v>
      </c>
      <c r="C537" s="29" t="s">
        <v>1319</v>
      </c>
      <c r="D537" s="6" t="s">
        <v>903</v>
      </c>
      <c r="E537" s="29" t="s">
        <v>1898</v>
      </c>
      <c r="F537" s="6">
        <v>830</v>
      </c>
      <c r="G537" s="6" t="s">
        <v>26</v>
      </c>
      <c r="H537" s="6"/>
      <c r="I537" s="6"/>
      <c r="J537" s="6"/>
      <c r="K537" s="7">
        <v>41287</v>
      </c>
      <c r="L537" s="30">
        <v>2446500</v>
      </c>
      <c r="M537" s="30">
        <v>2152552</v>
      </c>
      <c r="N537" s="6" t="s">
        <v>30</v>
      </c>
      <c r="O537" s="31">
        <v>43103</v>
      </c>
      <c r="P537" s="32" t="e">
        <f>VLOOKUP(Table311[[#This Row],[UNIT NO.]],[1]!Table35711[[#Headers],[#Data],[Unit '#]:[Application/Sold/ Unsold]],7,0)</f>
        <v>#REF!</v>
      </c>
      <c r="S537" s="64"/>
    </row>
    <row r="538" spans="2:19" ht="26.25" x14ac:dyDescent="0.25">
      <c r="B538" s="5">
        <f t="shared" si="8"/>
        <v>535</v>
      </c>
      <c r="C538" s="29" t="s">
        <v>1899</v>
      </c>
      <c r="D538" s="6" t="s">
        <v>903</v>
      </c>
      <c r="E538" s="29" t="s">
        <v>1900</v>
      </c>
      <c r="F538" s="6">
        <v>830</v>
      </c>
      <c r="G538" s="6" t="s">
        <v>26</v>
      </c>
      <c r="H538" s="6"/>
      <c r="I538" s="6"/>
      <c r="J538" s="6"/>
      <c r="K538" s="7">
        <v>41432</v>
      </c>
      <c r="L538" s="30">
        <v>2663750</v>
      </c>
      <c r="M538" s="30">
        <v>2663750</v>
      </c>
      <c r="N538" s="6" t="s">
        <v>144</v>
      </c>
      <c r="O538" s="31">
        <v>43103</v>
      </c>
      <c r="P538" s="32" t="e">
        <f>VLOOKUP(Table311[[#This Row],[UNIT NO.]],[1]!Table35711[[#Headers],[#Data],[Unit '#]:[Application/Sold/ Unsold]],7,0)</f>
        <v>#REF!</v>
      </c>
      <c r="S538" s="64"/>
    </row>
    <row r="539" spans="2:19" ht="26.25" x14ac:dyDescent="0.25">
      <c r="B539" s="5">
        <f t="shared" si="8"/>
        <v>536</v>
      </c>
      <c r="C539" s="29" t="s">
        <v>1901</v>
      </c>
      <c r="D539" s="6" t="s">
        <v>903</v>
      </c>
      <c r="E539" s="29" t="s">
        <v>1902</v>
      </c>
      <c r="F539" s="6">
        <v>830</v>
      </c>
      <c r="G539" s="6" t="s">
        <v>26</v>
      </c>
      <c r="H539" s="6"/>
      <c r="I539" s="6"/>
      <c r="J539" s="6"/>
      <c r="K539" s="7">
        <v>41402</v>
      </c>
      <c r="L539" s="30">
        <v>2474283</v>
      </c>
      <c r="M539" s="30">
        <v>2333760</v>
      </c>
      <c r="N539" s="6" t="s">
        <v>27</v>
      </c>
      <c r="O539" s="31">
        <v>43103</v>
      </c>
      <c r="P539" s="32" t="e">
        <f>VLOOKUP(Table311[[#This Row],[UNIT NO.]],[1]!Table35711[[#Headers],[#Data],[Unit '#]:[Application/Sold/ Unsold]],7,0)</f>
        <v>#REF!</v>
      </c>
      <c r="S539" s="64"/>
    </row>
    <row r="540" spans="2:19" x14ac:dyDescent="0.25">
      <c r="B540" s="5">
        <f t="shared" si="8"/>
        <v>537</v>
      </c>
      <c r="C540" s="33" t="s">
        <v>1903</v>
      </c>
      <c r="D540" s="6" t="s">
        <v>903</v>
      </c>
      <c r="E540" s="33" t="s">
        <v>1904</v>
      </c>
      <c r="F540" s="34">
        <v>830</v>
      </c>
      <c r="G540" s="6" t="s">
        <v>26</v>
      </c>
      <c r="H540" s="6"/>
      <c r="I540" s="6"/>
      <c r="J540" s="6"/>
      <c r="K540" s="35">
        <v>42905</v>
      </c>
      <c r="L540" s="36">
        <v>2475000</v>
      </c>
      <c r="M540" s="30">
        <v>760978</v>
      </c>
      <c r="N540" s="6" t="s">
        <v>30</v>
      </c>
      <c r="O540" s="31">
        <v>43103</v>
      </c>
      <c r="P540" s="32" t="e">
        <f>VLOOKUP(Table311[[#This Row],[UNIT NO.]],[1]!Table35711[[#Headers],[#Data],[Unit '#]:[Application/Sold/ Unsold]],7,0)</f>
        <v>#REF!</v>
      </c>
      <c r="S540" s="64"/>
    </row>
    <row r="541" spans="2:19" ht="26.25" x14ac:dyDescent="0.25">
      <c r="B541" s="5">
        <f t="shared" si="8"/>
        <v>538</v>
      </c>
      <c r="C541" s="29" t="s">
        <v>1905</v>
      </c>
      <c r="D541" s="6" t="s">
        <v>903</v>
      </c>
      <c r="E541" s="29" t="s">
        <v>1906</v>
      </c>
      <c r="F541" s="6">
        <v>830</v>
      </c>
      <c r="G541" s="6" t="s">
        <v>26</v>
      </c>
      <c r="H541" s="6"/>
      <c r="I541" s="6"/>
      <c r="J541" s="6"/>
      <c r="K541" s="7">
        <v>41239</v>
      </c>
      <c r="L541" s="30">
        <v>2319400</v>
      </c>
      <c r="M541" s="30">
        <v>2148537</v>
      </c>
      <c r="N541" s="6" t="s">
        <v>30</v>
      </c>
      <c r="O541" s="31">
        <v>43103</v>
      </c>
      <c r="P541" s="32" t="e">
        <f>VLOOKUP(Table311[[#This Row],[UNIT NO.]],[1]!Table35711[[#Headers],[#Data],[Unit '#]:[Application/Sold/ Unsold]],7,0)</f>
        <v>#REF!</v>
      </c>
      <c r="S541" s="64"/>
    </row>
    <row r="542" spans="2:19" ht="39" x14ac:dyDescent="0.25">
      <c r="B542" s="5">
        <f t="shared" si="8"/>
        <v>539</v>
      </c>
      <c r="C542" s="29" t="s">
        <v>1907</v>
      </c>
      <c r="D542" s="6" t="s">
        <v>903</v>
      </c>
      <c r="E542" s="29" t="s">
        <v>1908</v>
      </c>
      <c r="F542" s="6">
        <v>830</v>
      </c>
      <c r="G542" s="6" t="s">
        <v>26</v>
      </c>
      <c r="H542" s="6"/>
      <c r="I542" s="6"/>
      <c r="J542" s="6"/>
      <c r="K542" s="7">
        <v>41304</v>
      </c>
      <c r="L542" s="30">
        <v>2239080</v>
      </c>
      <c r="M542" s="30">
        <v>1433536</v>
      </c>
      <c r="N542" s="6" t="s">
        <v>1492</v>
      </c>
      <c r="O542" s="31">
        <v>43103</v>
      </c>
      <c r="P542" s="32" t="e">
        <f>VLOOKUP(Table311[[#This Row],[UNIT NO.]],[1]!Table35711[[#Headers],[#Data],[Unit '#]:[Application/Sold/ Unsold]],7,0)</f>
        <v>#REF!</v>
      </c>
      <c r="S542" s="64"/>
    </row>
    <row r="543" spans="2:19" ht="26.25" x14ac:dyDescent="0.25">
      <c r="B543" s="5">
        <f t="shared" si="8"/>
        <v>540</v>
      </c>
      <c r="C543" s="29" t="s">
        <v>1909</v>
      </c>
      <c r="D543" s="6" t="s">
        <v>903</v>
      </c>
      <c r="E543" s="29" t="s">
        <v>1910</v>
      </c>
      <c r="F543" s="6">
        <v>830</v>
      </c>
      <c r="G543" s="6" t="s">
        <v>26</v>
      </c>
      <c r="H543" s="6"/>
      <c r="I543" s="6"/>
      <c r="J543" s="6"/>
      <c r="K543" s="7">
        <v>41178</v>
      </c>
      <c r="L543" s="30">
        <v>2254300</v>
      </c>
      <c r="M543" s="30">
        <v>2099323</v>
      </c>
      <c r="N543" s="6" t="s">
        <v>1492</v>
      </c>
      <c r="O543" s="31">
        <v>43103</v>
      </c>
      <c r="P543" s="32" t="e">
        <f>VLOOKUP(Table311[[#This Row],[UNIT NO.]],[1]!Table35711[[#Headers],[#Data],[Unit '#]:[Application/Sold/ Unsold]],7,0)</f>
        <v>#REF!</v>
      </c>
      <c r="S543" s="64"/>
    </row>
    <row r="544" spans="2:19" ht="26.25" x14ac:dyDescent="0.25">
      <c r="B544" s="5">
        <f t="shared" si="8"/>
        <v>541</v>
      </c>
      <c r="C544" s="29" t="s">
        <v>1911</v>
      </c>
      <c r="D544" s="6" t="s">
        <v>903</v>
      </c>
      <c r="E544" s="29" t="s">
        <v>1912</v>
      </c>
      <c r="F544" s="6">
        <v>830</v>
      </c>
      <c r="G544" s="6" t="s">
        <v>26</v>
      </c>
      <c r="H544" s="6"/>
      <c r="I544" s="6"/>
      <c r="J544" s="6"/>
      <c r="K544" s="7">
        <v>41280</v>
      </c>
      <c r="L544" s="30">
        <v>2304400</v>
      </c>
      <c r="M544" s="30">
        <v>2198895</v>
      </c>
      <c r="N544" s="6" t="s">
        <v>27</v>
      </c>
      <c r="O544" s="31">
        <v>43103</v>
      </c>
      <c r="P544" s="32" t="e">
        <f>VLOOKUP(Table311[[#This Row],[UNIT NO.]],[1]!Table35711[[#Headers],[#Data],[Unit '#]:[Application/Sold/ Unsold]],7,0)</f>
        <v>#REF!</v>
      </c>
      <c r="S544" s="64"/>
    </row>
    <row r="545" spans="2:19" ht="26.25" x14ac:dyDescent="0.25">
      <c r="B545" s="5">
        <f t="shared" si="8"/>
        <v>542</v>
      </c>
      <c r="C545" s="29" t="s">
        <v>1913</v>
      </c>
      <c r="D545" s="6" t="s">
        <v>903</v>
      </c>
      <c r="E545" s="29" t="s">
        <v>1914</v>
      </c>
      <c r="F545" s="6">
        <v>830</v>
      </c>
      <c r="G545" s="6" t="s">
        <v>26</v>
      </c>
      <c r="H545" s="6"/>
      <c r="I545" s="6"/>
      <c r="J545" s="6"/>
      <c r="K545" s="7">
        <v>41236</v>
      </c>
      <c r="L545" s="30">
        <v>2308438</v>
      </c>
      <c r="M545" s="30">
        <v>2078983</v>
      </c>
      <c r="N545" s="6" t="s">
        <v>30</v>
      </c>
      <c r="O545" s="31">
        <v>43103</v>
      </c>
      <c r="P545" s="32" t="e">
        <f>VLOOKUP(Table311[[#This Row],[UNIT NO.]],[1]!Table35711[[#Headers],[#Data],[Unit '#]:[Application/Sold/ Unsold]],7,0)</f>
        <v>#REF!</v>
      </c>
      <c r="S545" s="64"/>
    </row>
    <row r="546" spans="2:19" ht="26.25" x14ac:dyDescent="0.25">
      <c r="B546" s="5">
        <f t="shared" si="8"/>
        <v>543</v>
      </c>
      <c r="C546" s="29" t="s">
        <v>1915</v>
      </c>
      <c r="D546" s="6" t="s">
        <v>903</v>
      </c>
      <c r="E546" s="29" t="s">
        <v>1916</v>
      </c>
      <c r="F546" s="6">
        <v>830</v>
      </c>
      <c r="G546" s="6" t="s">
        <v>26</v>
      </c>
      <c r="H546" s="6"/>
      <c r="I546" s="6"/>
      <c r="J546" s="6"/>
      <c r="K546" s="7">
        <v>41243</v>
      </c>
      <c r="L546" s="30">
        <v>2116310</v>
      </c>
      <c r="M546" s="30">
        <v>269605</v>
      </c>
      <c r="N546" s="6" t="s">
        <v>30</v>
      </c>
      <c r="O546" s="31">
        <v>43103</v>
      </c>
      <c r="P546" s="32" t="e">
        <f>VLOOKUP(Table311[[#This Row],[UNIT NO.]],[1]!Table35711[[#Headers],[#Data],[Unit '#]:[Application/Sold/ Unsold]],7,0)</f>
        <v>#REF!</v>
      </c>
      <c r="S546" s="64"/>
    </row>
    <row r="547" spans="2:19" ht="39" x14ac:dyDescent="0.25">
      <c r="B547" s="5">
        <f t="shared" si="8"/>
        <v>544</v>
      </c>
      <c r="C547" s="29" t="s">
        <v>1917</v>
      </c>
      <c r="D547" s="6" t="s">
        <v>903</v>
      </c>
      <c r="E547" s="29" t="s">
        <v>1918</v>
      </c>
      <c r="F547" s="6">
        <v>830</v>
      </c>
      <c r="G547" s="6" t="s">
        <v>26</v>
      </c>
      <c r="H547" s="6"/>
      <c r="I547" s="6"/>
      <c r="J547" s="6"/>
      <c r="K547" s="7">
        <v>41678</v>
      </c>
      <c r="L547" s="30">
        <v>2544332</v>
      </c>
      <c r="M547" s="30">
        <v>2404936</v>
      </c>
      <c r="N547" s="6" t="s">
        <v>27</v>
      </c>
      <c r="O547" s="31">
        <v>43103</v>
      </c>
      <c r="P547" s="32" t="e">
        <f>VLOOKUP(Table311[[#This Row],[UNIT NO.]],[1]!Table35711[[#Headers],[#Data],[Unit '#]:[Application/Sold/ Unsold]],7,0)</f>
        <v>#REF!</v>
      </c>
      <c r="S547" s="64"/>
    </row>
    <row r="548" spans="2:19" ht="39" x14ac:dyDescent="0.25">
      <c r="B548" s="5">
        <f t="shared" si="8"/>
        <v>545</v>
      </c>
      <c r="C548" s="29" t="s">
        <v>1919</v>
      </c>
      <c r="D548" s="6" t="s">
        <v>903</v>
      </c>
      <c r="E548" s="29" t="s">
        <v>1920</v>
      </c>
      <c r="F548" s="6">
        <v>830</v>
      </c>
      <c r="G548" s="6" t="s">
        <v>26</v>
      </c>
      <c r="H548" s="6"/>
      <c r="I548" s="6"/>
      <c r="J548" s="6"/>
      <c r="K548" s="7">
        <v>41407</v>
      </c>
      <c r="L548" s="30">
        <v>2533177</v>
      </c>
      <c r="M548" s="30">
        <v>1808553</v>
      </c>
      <c r="N548" s="6" t="s">
        <v>165</v>
      </c>
      <c r="O548" s="31">
        <v>43103</v>
      </c>
      <c r="P548" s="32" t="e">
        <f>VLOOKUP(Table311[[#This Row],[UNIT NO.]],[1]!Table35711[[#Headers],[#Data],[Unit '#]:[Application/Sold/ Unsold]],7,0)</f>
        <v>#REF!</v>
      </c>
      <c r="S548" s="64"/>
    </row>
    <row r="549" spans="2:19" ht="26.25" x14ac:dyDescent="0.25">
      <c r="B549" s="5">
        <f t="shared" si="8"/>
        <v>546</v>
      </c>
      <c r="C549" s="29" t="s">
        <v>1921</v>
      </c>
      <c r="D549" s="6" t="s">
        <v>903</v>
      </c>
      <c r="E549" s="29" t="s">
        <v>1922</v>
      </c>
      <c r="F549" s="6">
        <v>830</v>
      </c>
      <c r="G549" s="6" t="s">
        <v>26</v>
      </c>
      <c r="H549" s="6"/>
      <c r="I549" s="6"/>
      <c r="J549" s="6"/>
      <c r="K549" s="7">
        <v>41290</v>
      </c>
      <c r="L549" s="30">
        <v>2340990</v>
      </c>
      <c r="M549" s="30">
        <v>2226565</v>
      </c>
      <c r="N549" s="6" t="s">
        <v>30</v>
      </c>
      <c r="O549" s="31">
        <v>43103</v>
      </c>
      <c r="P549" s="32" t="e">
        <f>VLOOKUP(Table311[[#This Row],[UNIT NO.]],[1]!Table35711[[#Headers],[#Data],[Unit '#]:[Application/Sold/ Unsold]],7,0)</f>
        <v>#REF!</v>
      </c>
      <c r="S549" s="64"/>
    </row>
    <row r="550" spans="2:19" ht="39" x14ac:dyDescent="0.25">
      <c r="B550" s="5">
        <f t="shared" si="8"/>
        <v>547</v>
      </c>
      <c r="C550" s="29" t="s">
        <v>1923</v>
      </c>
      <c r="D550" s="6" t="s">
        <v>903</v>
      </c>
      <c r="E550" s="29" t="s">
        <v>1924</v>
      </c>
      <c r="F550" s="6">
        <v>830</v>
      </c>
      <c r="G550" s="6" t="s">
        <v>26</v>
      </c>
      <c r="H550" s="6"/>
      <c r="I550" s="6"/>
      <c r="J550" s="6"/>
      <c r="K550" s="7">
        <v>41305</v>
      </c>
      <c r="L550" s="30">
        <v>2356500</v>
      </c>
      <c r="M550" s="30">
        <v>1994665</v>
      </c>
      <c r="N550" s="6" t="s">
        <v>30</v>
      </c>
      <c r="O550" s="31">
        <v>43103</v>
      </c>
      <c r="P550" s="32" t="e">
        <f>VLOOKUP(Table311[[#This Row],[UNIT NO.]],[1]!Table35711[[#Headers],[#Data],[Unit '#]:[Application/Sold/ Unsold]],7,0)</f>
        <v>#REF!</v>
      </c>
      <c r="S550" s="64"/>
    </row>
    <row r="551" spans="2:19" ht="26.25" x14ac:dyDescent="0.25">
      <c r="B551" s="5">
        <f t="shared" si="8"/>
        <v>548</v>
      </c>
      <c r="C551" s="29" t="s">
        <v>286</v>
      </c>
      <c r="D551" s="6" t="s">
        <v>903</v>
      </c>
      <c r="E551" s="29" t="s">
        <v>1925</v>
      </c>
      <c r="F551" s="6">
        <v>830</v>
      </c>
      <c r="G551" s="6" t="s">
        <v>26</v>
      </c>
      <c r="H551" s="6"/>
      <c r="I551" s="6"/>
      <c r="J551" s="6"/>
      <c r="K551" s="7">
        <v>41411</v>
      </c>
      <c r="L551" s="30">
        <v>2380000</v>
      </c>
      <c r="M551" s="30">
        <v>2278780</v>
      </c>
      <c r="N551" s="6" t="s">
        <v>27</v>
      </c>
      <c r="O551" s="31">
        <v>43103</v>
      </c>
      <c r="P551" s="32" t="e">
        <f>VLOOKUP(Table311[[#This Row],[UNIT NO.]],[1]!Table35711[[#Headers],[#Data],[Unit '#]:[Application/Sold/ Unsold]],7,0)</f>
        <v>#REF!</v>
      </c>
      <c r="S551" s="64"/>
    </row>
    <row r="552" spans="2:19" ht="39" x14ac:dyDescent="0.25">
      <c r="B552" s="5">
        <f t="shared" si="8"/>
        <v>549</v>
      </c>
      <c r="C552" s="29" t="s">
        <v>1926</v>
      </c>
      <c r="D552" s="6" t="s">
        <v>903</v>
      </c>
      <c r="E552" s="29" t="s">
        <v>1927</v>
      </c>
      <c r="F552" s="6">
        <v>830</v>
      </c>
      <c r="G552" s="6" t="s">
        <v>26</v>
      </c>
      <c r="H552" s="6"/>
      <c r="I552" s="6"/>
      <c r="J552" s="6"/>
      <c r="K552" s="7">
        <v>41321</v>
      </c>
      <c r="L552" s="30">
        <v>2304400</v>
      </c>
      <c r="M552" s="30">
        <v>2213067</v>
      </c>
      <c r="N552" s="6" t="s">
        <v>46</v>
      </c>
      <c r="O552" s="31">
        <v>43103</v>
      </c>
      <c r="P552" s="32" t="e">
        <f>VLOOKUP(Table311[[#This Row],[UNIT NO.]],[1]!Table35711[[#Headers],[#Data],[Unit '#]:[Application/Sold/ Unsold]],7,0)</f>
        <v>#REF!</v>
      </c>
      <c r="S552" s="64"/>
    </row>
    <row r="553" spans="2:19" ht="39" x14ac:dyDescent="0.25">
      <c r="B553" s="5">
        <f t="shared" si="8"/>
        <v>550</v>
      </c>
      <c r="C553" s="29" t="s">
        <v>1928</v>
      </c>
      <c r="D553" s="6" t="s">
        <v>903</v>
      </c>
      <c r="E553" s="29" t="s">
        <v>1929</v>
      </c>
      <c r="F553" s="6">
        <v>830</v>
      </c>
      <c r="G553" s="6" t="s">
        <v>26</v>
      </c>
      <c r="H553" s="6"/>
      <c r="I553" s="6"/>
      <c r="J553" s="6"/>
      <c r="K553" s="7">
        <v>41287</v>
      </c>
      <c r="L553" s="30">
        <v>2406500</v>
      </c>
      <c r="M553" s="30">
        <v>915531</v>
      </c>
      <c r="N553" s="6" t="s">
        <v>30</v>
      </c>
      <c r="O553" s="31">
        <v>43103</v>
      </c>
      <c r="P553" s="32" t="e">
        <f>VLOOKUP(Table311[[#This Row],[UNIT NO.]],[1]!Table35711[[#Headers],[#Data],[Unit '#]:[Application/Sold/ Unsold]],7,0)</f>
        <v>#REF!</v>
      </c>
      <c r="S553" s="64"/>
    </row>
    <row r="554" spans="2:19" ht="39" x14ac:dyDescent="0.25">
      <c r="B554" s="5">
        <f t="shared" si="8"/>
        <v>551</v>
      </c>
      <c r="C554" s="29" t="s">
        <v>1930</v>
      </c>
      <c r="D554" s="6" t="s">
        <v>903</v>
      </c>
      <c r="E554" s="29" t="s">
        <v>1931</v>
      </c>
      <c r="F554" s="6">
        <v>830</v>
      </c>
      <c r="G554" s="6" t="s">
        <v>26</v>
      </c>
      <c r="H554" s="6"/>
      <c r="I554" s="6"/>
      <c r="J554" s="6"/>
      <c r="K554" s="7">
        <v>41233</v>
      </c>
      <c r="L554" s="30">
        <v>2183938</v>
      </c>
      <c r="M554" s="30">
        <v>1339034</v>
      </c>
      <c r="N554" s="6" t="s">
        <v>57</v>
      </c>
      <c r="O554" s="31">
        <v>43103</v>
      </c>
      <c r="P554" s="32" t="e">
        <f>VLOOKUP(Table311[[#This Row],[UNIT NO.]],[1]!Table35711[[#Headers],[#Data],[Unit '#]:[Application/Sold/ Unsold]],7,0)</f>
        <v>#REF!</v>
      </c>
      <c r="S554" s="64"/>
    </row>
    <row r="555" spans="2:19" ht="26.25" x14ac:dyDescent="0.25">
      <c r="B555" s="5">
        <f t="shared" si="8"/>
        <v>552</v>
      </c>
      <c r="C555" s="29" t="s">
        <v>1932</v>
      </c>
      <c r="D555" s="6" t="s">
        <v>903</v>
      </c>
      <c r="E555" s="29" t="s">
        <v>1933</v>
      </c>
      <c r="F555" s="6">
        <v>830</v>
      </c>
      <c r="G555" s="6" t="s">
        <v>26</v>
      </c>
      <c r="H555" s="6"/>
      <c r="I555" s="6"/>
      <c r="J555" s="6"/>
      <c r="K555" s="7">
        <v>41308</v>
      </c>
      <c r="L555" s="30">
        <v>2406500</v>
      </c>
      <c r="M555" s="30">
        <v>1641257</v>
      </c>
      <c r="N555" s="6" t="s">
        <v>27</v>
      </c>
      <c r="O555" s="31">
        <v>43103</v>
      </c>
      <c r="P555" s="32" t="e">
        <f>VLOOKUP(Table311[[#This Row],[UNIT NO.]],[1]!Table35711[[#Headers],[#Data],[Unit '#]:[Application/Sold/ Unsold]],7,0)</f>
        <v>#REF!</v>
      </c>
      <c r="S555" s="64"/>
    </row>
    <row r="556" spans="2:19" ht="26.25" x14ac:dyDescent="0.25">
      <c r="B556" s="5">
        <f t="shared" si="8"/>
        <v>553</v>
      </c>
      <c r="C556" s="29" t="s">
        <v>1934</v>
      </c>
      <c r="D556" s="6" t="s">
        <v>903</v>
      </c>
      <c r="E556" s="29" t="s">
        <v>1935</v>
      </c>
      <c r="F556" s="6">
        <v>830</v>
      </c>
      <c r="G556" s="6" t="s">
        <v>26</v>
      </c>
      <c r="H556" s="6"/>
      <c r="I556" s="6"/>
      <c r="J556" s="6"/>
      <c r="K556" s="7">
        <v>41436</v>
      </c>
      <c r="L556" s="30">
        <v>2465425</v>
      </c>
      <c r="M556" s="30">
        <v>2287589</v>
      </c>
      <c r="N556" s="6" t="s">
        <v>27</v>
      </c>
      <c r="O556" s="31">
        <v>43103</v>
      </c>
      <c r="P556" s="32" t="e">
        <f>VLOOKUP(Table311[[#This Row],[UNIT NO.]],[1]!Table35711[[#Headers],[#Data],[Unit '#]:[Application/Sold/ Unsold]],7,0)</f>
        <v>#REF!</v>
      </c>
      <c r="S556" s="64"/>
    </row>
    <row r="557" spans="2:19" ht="26.25" x14ac:dyDescent="0.25">
      <c r="B557" s="5">
        <f t="shared" si="8"/>
        <v>554</v>
      </c>
      <c r="C557" s="29" t="s">
        <v>1936</v>
      </c>
      <c r="D557" s="6" t="s">
        <v>903</v>
      </c>
      <c r="E557" s="29" t="s">
        <v>1937</v>
      </c>
      <c r="F557" s="6">
        <v>830</v>
      </c>
      <c r="G557" s="6" t="s">
        <v>26</v>
      </c>
      <c r="H557" s="6"/>
      <c r="I557" s="6"/>
      <c r="J557" s="6"/>
      <c r="K557" s="7">
        <v>41427</v>
      </c>
      <c r="L557" s="30">
        <v>2505560</v>
      </c>
      <c r="M557" s="30">
        <v>2341795</v>
      </c>
      <c r="N557" s="6" t="s">
        <v>27</v>
      </c>
      <c r="O557" s="31">
        <v>43103</v>
      </c>
      <c r="P557" s="32" t="e">
        <f>VLOOKUP(Table311[[#This Row],[UNIT NO.]],[1]!Table35711[[#Headers],[#Data],[Unit '#]:[Application/Sold/ Unsold]],7,0)</f>
        <v>#REF!</v>
      </c>
      <c r="S557" s="64"/>
    </row>
    <row r="558" spans="2:19" ht="39" x14ac:dyDescent="0.25">
      <c r="B558" s="5">
        <f t="shared" si="8"/>
        <v>555</v>
      </c>
      <c r="C558" s="29" t="s">
        <v>1938</v>
      </c>
      <c r="D558" s="6" t="s">
        <v>903</v>
      </c>
      <c r="E558" s="29" t="s">
        <v>1939</v>
      </c>
      <c r="F558" s="6">
        <v>830</v>
      </c>
      <c r="G558" s="6" t="s">
        <v>26</v>
      </c>
      <c r="H558" s="6"/>
      <c r="I558" s="6"/>
      <c r="J558" s="6"/>
      <c r="K558" s="7">
        <v>41206</v>
      </c>
      <c r="L558" s="30">
        <v>2129340</v>
      </c>
      <c r="M558" s="30">
        <v>1490248</v>
      </c>
      <c r="N558" s="6" t="s">
        <v>30</v>
      </c>
      <c r="O558" s="31">
        <v>43103</v>
      </c>
      <c r="P558" s="32" t="e">
        <f>VLOOKUP(Table311[[#This Row],[UNIT NO.]],[1]!Table35711[[#Headers],[#Data],[Unit '#]:[Application/Sold/ Unsold]],7,0)</f>
        <v>#REF!</v>
      </c>
      <c r="S558" s="64"/>
    </row>
    <row r="559" spans="2:19" ht="26.25" x14ac:dyDescent="0.25">
      <c r="B559" s="5">
        <f t="shared" si="8"/>
        <v>556</v>
      </c>
      <c r="C559" s="29" t="s">
        <v>1940</v>
      </c>
      <c r="D559" s="6" t="s">
        <v>903</v>
      </c>
      <c r="E559" s="29" t="s">
        <v>1941</v>
      </c>
      <c r="F559" s="6">
        <v>830</v>
      </c>
      <c r="G559" s="6" t="s">
        <v>26</v>
      </c>
      <c r="H559" s="6"/>
      <c r="I559" s="6"/>
      <c r="J559" s="6"/>
      <c r="K559" s="7">
        <v>41253</v>
      </c>
      <c r="L559" s="30">
        <v>2281400</v>
      </c>
      <c r="M559" s="30">
        <v>550232</v>
      </c>
      <c r="N559" s="6" t="s">
        <v>30</v>
      </c>
      <c r="O559" s="31">
        <v>43103</v>
      </c>
      <c r="P559" s="32" t="e">
        <f>VLOOKUP(Table311[[#This Row],[UNIT NO.]],[1]!Table35711[[#Headers],[#Data],[Unit '#]:[Application/Sold/ Unsold]],7,0)</f>
        <v>#REF!</v>
      </c>
      <c r="S559" s="64"/>
    </row>
    <row r="560" spans="2:19" ht="26.25" x14ac:dyDescent="0.25">
      <c r="B560" s="5">
        <f t="shared" si="8"/>
        <v>557</v>
      </c>
      <c r="C560" s="29" t="s">
        <v>1942</v>
      </c>
      <c r="D560" s="6" t="s">
        <v>903</v>
      </c>
      <c r="E560" s="29" t="s">
        <v>1943</v>
      </c>
      <c r="F560" s="6">
        <v>830</v>
      </c>
      <c r="G560" s="6" t="s">
        <v>26</v>
      </c>
      <c r="H560" s="6"/>
      <c r="I560" s="6"/>
      <c r="J560" s="6"/>
      <c r="K560" s="7">
        <v>41206</v>
      </c>
      <c r="L560" s="30">
        <v>2129340</v>
      </c>
      <c r="M560" s="30">
        <v>2024726</v>
      </c>
      <c r="N560" s="6" t="s">
        <v>30</v>
      </c>
      <c r="O560" s="31">
        <v>43103</v>
      </c>
      <c r="P560" s="32" t="e">
        <f>VLOOKUP(Table311[[#This Row],[UNIT NO.]],[1]!Table35711[[#Headers],[#Data],[Unit '#]:[Application/Sold/ Unsold]],7,0)</f>
        <v>#REF!</v>
      </c>
      <c r="S560" s="64"/>
    </row>
    <row r="561" spans="2:19" ht="26.25" x14ac:dyDescent="0.25">
      <c r="B561" s="5">
        <f t="shared" si="8"/>
        <v>558</v>
      </c>
      <c r="C561" s="29" t="s">
        <v>1645</v>
      </c>
      <c r="D561" s="6" t="s">
        <v>903</v>
      </c>
      <c r="E561" s="29" t="s">
        <v>1944</v>
      </c>
      <c r="F561" s="6">
        <v>830</v>
      </c>
      <c r="G561" s="6" t="s">
        <v>26</v>
      </c>
      <c r="H561" s="6"/>
      <c r="I561" s="6"/>
      <c r="J561" s="6"/>
      <c r="K561" s="7">
        <v>41288</v>
      </c>
      <c r="L561" s="30">
        <v>2260000</v>
      </c>
      <c r="M561" s="30">
        <v>556731</v>
      </c>
      <c r="N561" s="6" t="s">
        <v>30</v>
      </c>
      <c r="O561" s="31">
        <v>43103</v>
      </c>
      <c r="P561" s="32" t="e">
        <f>VLOOKUP(Table311[[#This Row],[UNIT NO.]],[1]!Table35711[[#Headers],[#Data],[Unit '#]:[Application/Sold/ Unsold]],7,0)</f>
        <v>#REF!</v>
      </c>
      <c r="S561" s="64"/>
    </row>
    <row r="562" spans="2:19" ht="39" x14ac:dyDescent="0.25">
      <c r="B562" s="5">
        <f t="shared" si="8"/>
        <v>559</v>
      </c>
      <c r="C562" s="29" t="s">
        <v>1945</v>
      </c>
      <c r="D562" s="6" t="s">
        <v>903</v>
      </c>
      <c r="E562" s="29" t="s">
        <v>1946</v>
      </c>
      <c r="F562" s="6">
        <v>830</v>
      </c>
      <c r="G562" s="6" t="s">
        <v>26</v>
      </c>
      <c r="H562" s="6"/>
      <c r="I562" s="6"/>
      <c r="J562" s="6"/>
      <c r="K562" s="7">
        <v>41252</v>
      </c>
      <c r="L562" s="30">
        <v>2183938</v>
      </c>
      <c r="M562" s="30">
        <v>2079106</v>
      </c>
      <c r="N562" s="6" t="s">
        <v>144</v>
      </c>
      <c r="O562" s="31">
        <v>43103</v>
      </c>
      <c r="P562" s="32" t="e">
        <f>VLOOKUP(Table311[[#This Row],[UNIT NO.]],[1]!Table35711[[#Headers],[#Data],[Unit '#]:[Application/Sold/ Unsold]],7,0)</f>
        <v>#REF!</v>
      </c>
      <c r="S562" s="64"/>
    </row>
    <row r="563" spans="2:19" ht="26.25" x14ac:dyDescent="0.25">
      <c r="B563" s="5">
        <f t="shared" si="8"/>
        <v>560</v>
      </c>
      <c r="C563" s="29" t="s">
        <v>1947</v>
      </c>
      <c r="D563" s="6" t="s">
        <v>903</v>
      </c>
      <c r="E563" s="29" t="s">
        <v>1948</v>
      </c>
      <c r="F563" s="6">
        <v>830</v>
      </c>
      <c r="G563" s="6" t="s">
        <v>26</v>
      </c>
      <c r="H563" s="6"/>
      <c r="I563" s="6"/>
      <c r="J563" s="6"/>
      <c r="K563" s="7">
        <v>41325</v>
      </c>
      <c r="L563" s="30">
        <v>2408125</v>
      </c>
      <c r="M563" s="30">
        <v>1870949</v>
      </c>
      <c r="N563" s="6" t="s">
        <v>27</v>
      </c>
      <c r="O563" s="31">
        <v>43103</v>
      </c>
      <c r="P563" s="32" t="e">
        <f>VLOOKUP(Table311[[#This Row],[UNIT NO.]],[1]!Table35711[[#Headers],[#Data],[Unit '#]:[Application/Sold/ Unsold]],7,0)</f>
        <v>#REF!</v>
      </c>
      <c r="S563" s="64"/>
    </row>
    <row r="564" spans="2:19" ht="39" x14ac:dyDescent="0.25">
      <c r="B564" s="5">
        <f t="shared" si="8"/>
        <v>561</v>
      </c>
      <c r="C564" s="29" t="s">
        <v>1949</v>
      </c>
      <c r="D564" s="6" t="s">
        <v>903</v>
      </c>
      <c r="E564" s="29" t="s">
        <v>1950</v>
      </c>
      <c r="F564" s="6">
        <v>830</v>
      </c>
      <c r="G564" s="6" t="s">
        <v>26</v>
      </c>
      <c r="H564" s="6"/>
      <c r="I564" s="6"/>
      <c r="J564" s="6"/>
      <c r="K564" s="7">
        <v>41306</v>
      </c>
      <c r="L564" s="30">
        <v>2408125</v>
      </c>
      <c r="M564" s="30">
        <v>2364738</v>
      </c>
      <c r="N564" s="6" t="s">
        <v>27</v>
      </c>
      <c r="O564" s="31">
        <v>43103</v>
      </c>
      <c r="P564" s="32" t="e">
        <f>VLOOKUP(Table311[[#This Row],[UNIT NO.]],[1]!Table35711[[#Headers],[#Data],[Unit '#]:[Application/Sold/ Unsold]],7,0)</f>
        <v>#REF!</v>
      </c>
      <c r="S564" s="64"/>
    </row>
    <row r="565" spans="2:19" ht="39" x14ac:dyDescent="0.25">
      <c r="B565" s="5">
        <f t="shared" si="8"/>
        <v>562</v>
      </c>
      <c r="C565" s="29" t="s">
        <v>1951</v>
      </c>
      <c r="D565" s="6" t="s">
        <v>903</v>
      </c>
      <c r="E565" s="29" t="s">
        <v>1952</v>
      </c>
      <c r="F565" s="6">
        <v>830</v>
      </c>
      <c r="G565" s="6" t="s">
        <v>26</v>
      </c>
      <c r="H565" s="6"/>
      <c r="I565" s="6"/>
      <c r="J565" s="6"/>
      <c r="K565" s="7">
        <v>41315</v>
      </c>
      <c r="L565" s="30">
        <v>2423125</v>
      </c>
      <c r="M565" s="30">
        <v>2312593</v>
      </c>
      <c r="N565" s="6" t="s">
        <v>39</v>
      </c>
      <c r="O565" s="31">
        <v>43103</v>
      </c>
      <c r="P565" s="32" t="e">
        <f>VLOOKUP(Table311[[#This Row],[UNIT NO.]],[1]!Table35711[[#Headers],[#Data],[Unit '#]:[Application/Sold/ Unsold]],7,0)</f>
        <v>#REF!</v>
      </c>
      <c r="S565" s="64"/>
    </row>
    <row r="566" spans="2:19" ht="39" x14ac:dyDescent="0.25">
      <c r="B566" s="5">
        <f t="shared" si="8"/>
        <v>563</v>
      </c>
      <c r="C566" s="29" t="s">
        <v>1953</v>
      </c>
      <c r="D566" s="6" t="s">
        <v>903</v>
      </c>
      <c r="E566" s="29" t="s">
        <v>1954</v>
      </c>
      <c r="F566" s="6">
        <v>830</v>
      </c>
      <c r="G566" s="6" t="s">
        <v>26</v>
      </c>
      <c r="H566" s="6"/>
      <c r="I566" s="6"/>
      <c r="J566" s="6"/>
      <c r="K566" s="7">
        <v>41357</v>
      </c>
      <c r="L566" s="30">
        <v>2465620</v>
      </c>
      <c r="M566" s="30">
        <v>2096602</v>
      </c>
      <c r="N566" s="6" t="s">
        <v>30</v>
      </c>
      <c r="O566" s="31">
        <v>43103</v>
      </c>
      <c r="P566" s="32" t="e">
        <f>VLOOKUP(Table311[[#This Row],[UNIT NO.]],[1]!Table35711[[#Headers],[#Data],[Unit '#]:[Application/Sold/ Unsold]],7,0)</f>
        <v>#REF!</v>
      </c>
      <c r="S566" s="64"/>
    </row>
    <row r="567" spans="2:19" ht="26.25" x14ac:dyDescent="0.25">
      <c r="B567" s="5">
        <f t="shared" si="8"/>
        <v>564</v>
      </c>
      <c r="C567" s="29" t="s">
        <v>1955</v>
      </c>
      <c r="D567" s="6" t="s">
        <v>903</v>
      </c>
      <c r="E567" s="29" t="s">
        <v>1956</v>
      </c>
      <c r="F567" s="6">
        <v>830</v>
      </c>
      <c r="G567" s="6" t="s">
        <v>26</v>
      </c>
      <c r="H567" s="6"/>
      <c r="I567" s="6"/>
      <c r="J567" s="6"/>
      <c r="K567" s="7">
        <v>41206</v>
      </c>
      <c r="L567" s="30">
        <v>2142438</v>
      </c>
      <c r="M567" s="30">
        <v>2030077.25</v>
      </c>
      <c r="N567" s="6" t="s">
        <v>30</v>
      </c>
      <c r="O567" s="31">
        <v>43103</v>
      </c>
      <c r="P567" s="32" t="e">
        <f>VLOOKUP(Table311[[#This Row],[UNIT NO.]],[1]!Table35711[[#Headers],[#Data],[Unit '#]:[Application/Sold/ Unsold]],7,0)</f>
        <v>#REF!</v>
      </c>
      <c r="S567" s="64"/>
    </row>
    <row r="568" spans="2:19" x14ac:dyDescent="0.25">
      <c r="B568" s="5">
        <f t="shared" si="8"/>
        <v>565</v>
      </c>
      <c r="C568" s="33" t="s">
        <v>1957</v>
      </c>
      <c r="D568" s="6" t="s">
        <v>903</v>
      </c>
      <c r="E568" s="33" t="s">
        <v>1958</v>
      </c>
      <c r="F568" s="34">
        <v>830</v>
      </c>
      <c r="G568" s="6" t="s">
        <v>26</v>
      </c>
      <c r="H568" s="6"/>
      <c r="I568" s="6"/>
      <c r="J568" s="6"/>
      <c r="K568" s="35">
        <v>42759</v>
      </c>
      <c r="L568" s="36">
        <v>2900000</v>
      </c>
      <c r="M568" s="30">
        <f>838568-500000</f>
        <v>338568</v>
      </c>
      <c r="N568" s="6" t="s">
        <v>30</v>
      </c>
      <c r="O568" s="31">
        <v>43103</v>
      </c>
      <c r="P568" s="32" t="e">
        <f>VLOOKUP(Table311[[#This Row],[UNIT NO.]],[1]!Table35711[[#Headers],[#Data],[Unit '#]:[Application/Sold/ Unsold]],7,0)</f>
        <v>#REF!</v>
      </c>
      <c r="S568" s="64"/>
    </row>
    <row r="569" spans="2:19" ht="39" x14ac:dyDescent="0.25">
      <c r="B569" s="5">
        <f t="shared" si="8"/>
        <v>566</v>
      </c>
      <c r="C569" s="29" t="s">
        <v>1959</v>
      </c>
      <c r="D569" s="6" t="s">
        <v>903</v>
      </c>
      <c r="E569" s="29" t="s">
        <v>1960</v>
      </c>
      <c r="F569" s="6">
        <v>830</v>
      </c>
      <c r="G569" s="6" t="s">
        <v>26</v>
      </c>
      <c r="H569" s="6"/>
      <c r="I569" s="6"/>
      <c r="J569" s="6"/>
      <c r="K569" s="7">
        <v>41330</v>
      </c>
      <c r="L569" s="30">
        <v>2423125</v>
      </c>
      <c r="M569" s="30">
        <v>1270511</v>
      </c>
      <c r="N569" s="6" t="s">
        <v>27</v>
      </c>
      <c r="O569" s="31">
        <v>43103</v>
      </c>
      <c r="P569" s="32" t="e">
        <f>VLOOKUP(Table311[[#This Row],[UNIT NO.]],[1]!Table35711[[#Headers],[#Data],[Unit '#]:[Application/Sold/ Unsold]],7,0)</f>
        <v>#REF!</v>
      </c>
      <c r="S569" s="64"/>
    </row>
    <row r="570" spans="2:19" ht="26.25" x14ac:dyDescent="0.25">
      <c r="B570" s="5">
        <f t="shared" si="8"/>
        <v>567</v>
      </c>
      <c r="C570" s="29" t="s">
        <v>1961</v>
      </c>
      <c r="D570" s="6" t="s">
        <v>903</v>
      </c>
      <c r="E570" s="29" t="s">
        <v>1962</v>
      </c>
      <c r="F570" s="6">
        <v>830</v>
      </c>
      <c r="G570" s="6" t="s">
        <v>26</v>
      </c>
      <c r="H570" s="6"/>
      <c r="I570" s="6"/>
      <c r="J570" s="6"/>
      <c r="K570" s="7">
        <v>41275</v>
      </c>
      <c r="L570" s="30">
        <v>2322000</v>
      </c>
      <c r="M570" s="30">
        <v>2322000</v>
      </c>
      <c r="N570" s="6" t="s">
        <v>144</v>
      </c>
      <c r="O570" s="31">
        <v>43103</v>
      </c>
      <c r="P570" s="32" t="e">
        <f>VLOOKUP(Table311[[#This Row],[UNIT NO.]],[1]!Table35711[[#Headers],[#Data],[Unit '#]:[Application/Sold/ Unsold]],7,0)</f>
        <v>#REF!</v>
      </c>
      <c r="S570" s="64"/>
    </row>
    <row r="571" spans="2:19" ht="26.25" x14ac:dyDescent="0.25">
      <c r="B571" s="5">
        <f t="shared" si="8"/>
        <v>568</v>
      </c>
      <c r="C571" s="29" t="s">
        <v>423</v>
      </c>
      <c r="D571" s="6" t="s">
        <v>903</v>
      </c>
      <c r="E571" s="29" t="s">
        <v>1963</v>
      </c>
      <c r="F571" s="6">
        <v>830</v>
      </c>
      <c r="G571" s="6" t="s">
        <v>26</v>
      </c>
      <c r="H571" s="6"/>
      <c r="I571" s="6"/>
      <c r="J571" s="6"/>
      <c r="K571" s="7">
        <v>41346</v>
      </c>
      <c r="L571" s="30">
        <v>2408125</v>
      </c>
      <c r="M571" s="30">
        <v>1596926</v>
      </c>
      <c r="N571" s="6" t="s">
        <v>30</v>
      </c>
      <c r="O571" s="31">
        <v>43103</v>
      </c>
      <c r="P571" s="32" t="e">
        <f>VLOOKUP(Table311[[#This Row],[UNIT NO.]],[1]!Table35711[[#Headers],[#Data],[Unit '#]:[Application/Sold/ Unsold]],7,0)</f>
        <v>#REF!</v>
      </c>
      <c r="S571" s="64"/>
    </row>
    <row r="572" spans="2:19" ht="39" x14ac:dyDescent="0.25">
      <c r="B572" s="5">
        <f t="shared" si="8"/>
        <v>569</v>
      </c>
      <c r="C572" s="29" t="s">
        <v>1964</v>
      </c>
      <c r="D572" s="6" t="s">
        <v>903</v>
      </c>
      <c r="E572" s="29" t="s">
        <v>1965</v>
      </c>
      <c r="F572" s="6">
        <v>830</v>
      </c>
      <c r="G572" s="6" t="s">
        <v>26</v>
      </c>
      <c r="H572" s="6"/>
      <c r="I572" s="6"/>
      <c r="J572" s="6"/>
      <c r="K572" s="7">
        <v>42415</v>
      </c>
      <c r="L572" s="30">
        <v>2800000</v>
      </c>
      <c r="M572" s="30">
        <v>2689199</v>
      </c>
      <c r="N572" s="6" t="s">
        <v>46</v>
      </c>
      <c r="O572" s="31">
        <v>43103</v>
      </c>
      <c r="P572" s="32" t="e">
        <f>VLOOKUP(Table311[[#This Row],[UNIT NO.]],[1]!Table35711[[#Headers],[#Data],[Unit '#]:[Application/Sold/ Unsold]],7,0)</f>
        <v>#REF!</v>
      </c>
      <c r="S572" s="64"/>
    </row>
    <row r="573" spans="2:19" ht="26.25" x14ac:dyDescent="0.25">
      <c r="B573" s="5">
        <f t="shared" si="8"/>
        <v>570</v>
      </c>
      <c r="C573" s="29" t="s">
        <v>1966</v>
      </c>
      <c r="D573" s="6" t="s">
        <v>903</v>
      </c>
      <c r="E573" s="29" t="s">
        <v>1967</v>
      </c>
      <c r="F573" s="6">
        <v>830</v>
      </c>
      <c r="G573" s="6" t="s">
        <v>26</v>
      </c>
      <c r="H573" s="6"/>
      <c r="I573" s="6"/>
      <c r="J573" s="6"/>
      <c r="K573" s="7">
        <v>41271</v>
      </c>
      <c r="L573" s="30">
        <v>2283190</v>
      </c>
      <c r="M573" s="30">
        <v>1802346</v>
      </c>
      <c r="N573" s="6" t="s">
        <v>46</v>
      </c>
      <c r="O573" s="31">
        <v>43103</v>
      </c>
      <c r="P573" s="32" t="e">
        <f>VLOOKUP(Table311[[#This Row],[UNIT NO.]],[1]!Table35711[[#Headers],[#Data],[Unit '#]:[Application/Sold/ Unsold]],7,0)</f>
        <v>#REF!</v>
      </c>
      <c r="S573" s="64"/>
    </row>
    <row r="574" spans="2:19" x14ac:dyDescent="0.25">
      <c r="B574" s="5">
        <f t="shared" si="8"/>
        <v>571</v>
      </c>
      <c r="C574" s="33" t="s">
        <v>1968</v>
      </c>
      <c r="D574" s="6" t="s">
        <v>903</v>
      </c>
      <c r="E574" s="33" t="s">
        <v>1969</v>
      </c>
      <c r="F574" s="34">
        <v>830</v>
      </c>
      <c r="G574" s="6" t="s">
        <v>26</v>
      </c>
      <c r="H574" s="6"/>
      <c r="I574" s="6"/>
      <c r="J574" s="6"/>
      <c r="K574" s="35">
        <v>42605</v>
      </c>
      <c r="L574" s="36">
        <v>2731500</v>
      </c>
      <c r="M574" s="30">
        <v>2585825</v>
      </c>
      <c r="N574" s="6" t="s">
        <v>39</v>
      </c>
      <c r="O574" s="31">
        <v>43103</v>
      </c>
      <c r="P574" s="32" t="e">
        <f>VLOOKUP(Table311[[#This Row],[UNIT NO.]],[1]!Table35711[[#Headers],[#Data],[Unit '#]:[Application/Sold/ Unsold]],7,0)</f>
        <v>#REF!</v>
      </c>
      <c r="S574" s="64"/>
    </row>
    <row r="575" spans="2:19" ht="39" x14ac:dyDescent="0.25">
      <c r="B575" s="5">
        <f t="shared" si="8"/>
        <v>572</v>
      </c>
      <c r="C575" s="29" t="s">
        <v>1970</v>
      </c>
      <c r="D575" s="6" t="s">
        <v>903</v>
      </c>
      <c r="E575" s="29" t="s">
        <v>1971</v>
      </c>
      <c r="F575" s="6">
        <v>830</v>
      </c>
      <c r="G575" s="6" t="s">
        <v>26</v>
      </c>
      <c r="H575" s="6"/>
      <c r="I575" s="6"/>
      <c r="J575" s="6"/>
      <c r="K575" s="7">
        <v>41351</v>
      </c>
      <c r="L575" s="30">
        <v>2441000</v>
      </c>
      <c r="M575" s="30">
        <v>1640979</v>
      </c>
      <c r="N575" s="6" t="s">
        <v>30</v>
      </c>
      <c r="O575" s="31">
        <v>43103</v>
      </c>
      <c r="P575" s="32" t="e">
        <f>VLOOKUP(Table311[[#This Row],[UNIT NO.]],[1]!Table35711[[#Headers],[#Data],[Unit '#]:[Application/Sold/ Unsold]],7,0)</f>
        <v>#REF!</v>
      </c>
      <c r="S575" s="64"/>
    </row>
    <row r="576" spans="2:19" ht="26.25" x14ac:dyDescent="0.25">
      <c r="B576" s="5">
        <f t="shared" si="8"/>
        <v>573</v>
      </c>
      <c r="C576" s="29" t="s">
        <v>1972</v>
      </c>
      <c r="D576" s="6" t="s">
        <v>903</v>
      </c>
      <c r="E576" s="29" t="s">
        <v>1973</v>
      </c>
      <c r="F576" s="6">
        <v>830</v>
      </c>
      <c r="G576" s="6" t="s">
        <v>26</v>
      </c>
      <c r="H576" s="6"/>
      <c r="I576" s="6"/>
      <c r="J576" s="6"/>
      <c r="K576" s="7">
        <v>41306</v>
      </c>
      <c r="L576" s="30">
        <v>2399500</v>
      </c>
      <c r="M576" s="30">
        <v>2398762</v>
      </c>
      <c r="N576" s="6" t="s">
        <v>30</v>
      </c>
      <c r="O576" s="31">
        <v>43103</v>
      </c>
      <c r="P576" s="32" t="e">
        <f>VLOOKUP(Table311[[#This Row],[UNIT NO.]],[1]!Table35711[[#Headers],[#Data],[Unit '#]:[Application/Sold/ Unsold]],7,0)</f>
        <v>#REF!</v>
      </c>
      <c r="S576" s="64"/>
    </row>
    <row r="577" spans="2:19" ht="39" x14ac:dyDescent="0.25">
      <c r="B577" s="5">
        <f t="shared" si="8"/>
        <v>574</v>
      </c>
      <c r="C577" s="29" t="s">
        <v>1974</v>
      </c>
      <c r="D577" s="6" t="s">
        <v>903</v>
      </c>
      <c r="E577" s="29" t="s">
        <v>1975</v>
      </c>
      <c r="F577" s="6">
        <v>1000</v>
      </c>
      <c r="G577" s="6" t="s">
        <v>26</v>
      </c>
      <c r="H577" s="6"/>
      <c r="I577" s="6"/>
      <c r="J577" s="6"/>
      <c r="K577" s="7">
        <v>41343</v>
      </c>
      <c r="L577" s="30">
        <v>2628045</v>
      </c>
      <c r="M577" s="30">
        <v>1144000</v>
      </c>
      <c r="N577" s="6" t="s">
        <v>30</v>
      </c>
      <c r="O577" s="31">
        <v>43103</v>
      </c>
      <c r="P577" s="32" t="e">
        <f>VLOOKUP(Table311[[#This Row],[UNIT NO.]],[1]!Table35711[[#Headers],[#Data],[Unit '#]:[Application/Sold/ Unsold]],7,0)</f>
        <v>#REF!</v>
      </c>
      <c r="S577" s="64"/>
    </row>
    <row r="578" spans="2:19" ht="26.25" x14ac:dyDescent="0.25">
      <c r="B578" s="5">
        <f t="shared" si="8"/>
        <v>575</v>
      </c>
      <c r="C578" s="29" t="s">
        <v>1976</v>
      </c>
      <c r="D578" s="6" t="s">
        <v>903</v>
      </c>
      <c r="E578" s="29" t="s">
        <v>1977</v>
      </c>
      <c r="F578" s="6">
        <v>1000</v>
      </c>
      <c r="G578" s="6" t="s">
        <v>26</v>
      </c>
      <c r="H578" s="6"/>
      <c r="I578" s="6"/>
      <c r="J578" s="6"/>
      <c r="K578" s="7">
        <v>41315</v>
      </c>
      <c r="L578" s="30">
        <v>2635000</v>
      </c>
      <c r="M578" s="30">
        <v>1712319</v>
      </c>
      <c r="N578" s="6" t="s">
        <v>30</v>
      </c>
      <c r="O578" s="31">
        <v>43103</v>
      </c>
      <c r="P578" s="32" t="e">
        <f>VLOOKUP(Table311[[#This Row],[UNIT NO.]],[1]!Table35711[[#Headers],[#Data],[Unit '#]:[Application/Sold/ Unsold]],7,0)</f>
        <v>#REF!</v>
      </c>
      <c r="S578" s="64"/>
    </row>
    <row r="579" spans="2:19" ht="26.25" x14ac:dyDescent="0.25">
      <c r="B579" s="5">
        <f t="shared" si="8"/>
        <v>576</v>
      </c>
      <c r="C579" s="29" t="s">
        <v>1978</v>
      </c>
      <c r="D579" s="6" t="s">
        <v>903</v>
      </c>
      <c r="E579" s="29" t="s">
        <v>1979</v>
      </c>
      <c r="F579" s="6">
        <v>1000</v>
      </c>
      <c r="G579" s="6" t="s">
        <v>26</v>
      </c>
      <c r="H579" s="6"/>
      <c r="I579" s="6"/>
      <c r="J579" s="6"/>
      <c r="K579" s="7">
        <v>41211</v>
      </c>
      <c r="L579" s="30">
        <v>2631735</v>
      </c>
      <c r="M579" s="30">
        <v>526347</v>
      </c>
      <c r="N579" s="6" t="s">
        <v>30</v>
      </c>
      <c r="O579" s="31">
        <v>43103</v>
      </c>
      <c r="P579" s="32" t="e">
        <f>VLOOKUP(Table311[[#This Row],[UNIT NO.]],[1]!Table35711[[#Headers],[#Data],[Unit '#]:[Application/Sold/ Unsold]],7,0)</f>
        <v>#REF!</v>
      </c>
      <c r="S579" s="64"/>
    </row>
    <row r="580" spans="2:19" ht="26.25" x14ac:dyDescent="0.25">
      <c r="B580" s="5">
        <f t="shared" si="8"/>
        <v>577</v>
      </c>
      <c r="C580" s="29" t="s">
        <v>1980</v>
      </c>
      <c r="D580" s="6" t="s">
        <v>903</v>
      </c>
      <c r="E580" s="29" t="s">
        <v>1981</v>
      </c>
      <c r="F580" s="6">
        <v>1000</v>
      </c>
      <c r="G580" s="6" t="s">
        <v>26</v>
      </c>
      <c r="H580" s="6"/>
      <c r="I580" s="6"/>
      <c r="J580" s="6"/>
      <c r="K580" s="7">
        <v>41343</v>
      </c>
      <c r="L580" s="30">
        <v>2628045</v>
      </c>
      <c r="M580" s="30">
        <v>1144000</v>
      </c>
      <c r="N580" s="6" t="s">
        <v>30</v>
      </c>
      <c r="O580" s="31">
        <v>43103</v>
      </c>
      <c r="P580" s="32" t="e">
        <f>VLOOKUP(Table311[[#This Row],[UNIT NO.]],[1]!Table35711[[#Headers],[#Data],[Unit '#]:[Application/Sold/ Unsold]],7,0)</f>
        <v>#REF!</v>
      </c>
      <c r="S580" s="64"/>
    </row>
    <row r="581" spans="2:19" ht="39" x14ac:dyDescent="0.25">
      <c r="B581" s="5">
        <f t="shared" si="8"/>
        <v>578</v>
      </c>
      <c r="C581" s="29" t="s">
        <v>1982</v>
      </c>
      <c r="D581" s="6" t="s">
        <v>903</v>
      </c>
      <c r="E581" s="29" t="s">
        <v>1983</v>
      </c>
      <c r="F581" s="6">
        <v>1000</v>
      </c>
      <c r="G581" s="6" t="s">
        <v>26</v>
      </c>
      <c r="H581" s="6"/>
      <c r="I581" s="6"/>
      <c r="J581" s="6"/>
      <c r="K581" s="7">
        <v>41273</v>
      </c>
      <c r="L581" s="30">
        <v>1683545</v>
      </c>
      <c r="M581" s="30">
        <v>1655555</v>
      </c>
      <c r="N581" s="6" t="s">
        <v>30</v>
      </c>
      <c r="O581" s="31">
        <v>43103</v>
      </c>
      <c r="P581" s="32" t="e">
        <f>VLOOKUP(Table311[[#This Row],[UNIT NO.]],[1]!Table35711[[#Headers],[#Data],[Unit '#]:[Application/Sold/ Unsold]],7,0)</f>
        <v>#REF!</v>
      </c>
      <c r="S581" s="64"/>
    </row>
    <row r="582" spans="2:19" ht="26.25" x14ac:dyDescent="0.25">
      <c r="B582" s="5">
        <f t="shared" ref="B582:B645" si="9">B581+1</f>
        <v>579</v>
      </c>
      <c r="C582" s="29" t="s">
        <v>1984</v>
      </c>
      <c r="D582" s="6" t="s">
        <v>903</v>
      </c>
      <c r="E582" s="29" t="s">
        <v>1985</v>
      </c>
      <c r="F582" s="6">
        <v>1000</v>
      </c>
      <c r="G582" s="6" t="s">
        <v>26</v>
      </c>
      <c r="H582" s="6"/>
      <c r="I582" s="6"/>
      <c r="J582" s="6"/>
      <c r="K582" s="7">
        <v>41246</v>
      </c>
      <c r="L582" s="30">
        <v>2531000</v>
      </c>
      <c r="M582" s="30">
        <v>2452883</v>
      </c>
      <c r="N582" s="6" t="s">
        <v>500</v>
      </c>
      <c r="O582" s="31">
        <v>43103</v>
      </c>
      <c r="P582" s="32" t="e">
        <f>VLOOKUP(Table311[[#This Row],[UNIT NO.]],[1]!Table35711[[#Headers],[#Data],[Unit '#]:[Application/Sold/ Unsold]],7,0)</f>
        <v>#REF!</v>
      </c>
      <c r="S582" s="64"/>
    </row>
    <row r="583" spans="2:19" ht="26.25" x14ac:dyDescent="0.25">
      <c r="B583" s="5">
        <f t="shared" si="9"/>
        <v>580</v>
      </c>
      <c r="C583" s="29" t="s">
        <v>1984</v>
      </c>
      <c r="D583" s="6" t="s">
        <v>903</v>
      </c>
      <c r="E583" s="29" t="s">
        <v>1986</v>
      </c>
      <c r="F583" s="6">
        <v>1000</v>
      </c>
      <c r="G583" s="6" t="s">
        <v>26</v>
      </c>
      <c r="H583" s="6"/>
      <c r="I583" s="6"/>
      <c r="J583" s="6"/>
      <c r="K583" s="7">
        <v>41246</v>
      </c>
      <c r="L583" s="30">
        <v>2581000</v>
      </c>
      <c r="M583" s="30">
        <v>2568655</v>
      </c>
      <c r="N583" s="6" t="s">
        <v>500</v>
      </c>
      <c r="O583" s="31">
        <v>43103</v>
      </c>
      <c r="P583" s="32" t="e">
        <f>VLOOKUP(Table311[[#This Row],[UNIT NO.]],[1]!Table35711[[#Headers],[#Data],[Unit '#]:[Application/Sold/ Unsold]],7,0)</f>
        <v>#REF!</v>
      </c>
      <c r="S583" s="64"/>
    </row>
    <row r="584" spans="2:19" x14ac:dyDescent="0.25">
      <c r="B584" s="5">
        <f t="shared" si="9"/>
        <v>581</v>
      </c>
      <c r="C584" s="29" t="s">
        <v>1987</v>
      </c>
      <c r="D584" s="6" t="s">
        <v>903</v>
      </c>
      <c r="E584" s="29" t="s">
        <v>1988</v>
      </c>
      <c r="F584" s="6">
        <v>1000</v>
      </c>
      <c r="G584" s="6" t="s">
        <v>26</v>
      </c>
      <c r="H584" s="6"/>
      <c r="I584" s="6"/>
      <c r="J584" s="6"/>
      <c r="K584" s="7">
        <v>41269</v>
      </c>
      <c r="L584" s="30">
        <v>2673545</v>
      </c>
      <c r="M584" s="30">
        <v>534775</v>
      </c>
      <c r="N584" s="6" t="s">
        <v>30</v>
      </c>
      <c r="O584" s="31">
        <v>43103</v>
      </c>
      <c r="P584" s="32" t="e">
        <f>VLOOKUP(Table311[[#This Row],[UNIT NO.]],[1]!Table35711[[#Headers],[#Data],[Unit '#]:[Application/Sold/ Unsold]],7,0)</f>
        <v>#REF!</v>
      </c>
      <c r="S584" s="64"/>
    </row>
    <row r="585" spans="2:19" ht="26.25" x14ac:dyDescent="0.25">
      <c r="B585" s="5">
        <f t="shared" si="9"/>
        <v>582</v>
      </c>
      <c r="C585" s="29" t="s">
        <v>1989</v>
      </c>
      <c r="D585" s="6" t="s">
        <v>903</v>
      </c>
      <c r="E585" s="29" t="s">
        <v>1990</v>
      </c>
      <c r="F585" s="6">
        <v>1000</v>
      </c>
      <c r="G585" s="6" t="s">
        <v>26</v>
      </c>
      <c r="H585" s="6"/>
      <c r="I585" s="6"/>
      <c r="J585" s="6"/>
      <c r="K585" s="7">
        <v>41315</v>
      </c>
      <c r="L585" s="30">
        <v>2721950</v>
      </c>
      <c r="M585" s="30">
        <v>2677896</v>
      </c>
      <c r="N585" s="6" t="s">
        <v>27</v>
      </c>
      <c r="O585" s="31">
        <v>43103</v>
      </c>
      <c r="P585" s="32" t="e">
        <f>VLOOKUP(Table311[[#This Row],[UNIT NO.]],[1]!Table35711[[#Headers],[#Data],[Unit '#]:[Application/Sold/ Unsold]],7,0)</f>
        <v>#REF!</v>
      </c>
      <c r="S585" s="64"/>
    </row>
    <row r="586" spans="2:19" x14ac:dyDescent="0.25">
      <c r="B586" s="5">
        <f t="shared" si="9"/>
        <v>583</v>
      </c>
      <c r="C586" s="29" t="s">
        <v>1991</v>
      </c>
      <c r="D586" s="6" t="s">
        <v>903</v>
      </c>
      <c r="E586" s="29" t="s">
        <v>1992</v>
      </c>
      <c r="F586" s="6">
        <v>1000</v>
      </c>
      <c r="G586" s="6" t="s">
        <v>26</v>
      </c>
      <c r="H586" s="6"/>
      <c r="I586" s="6"/>
      <c r="J586" s="6"/>
      <c r="K586" s="7">
        <v>41952</v>
      </c>
      <c r="L586" s="30">
        <v>3485500</v>
      </c>
      <c r="M586" s="30">
        <v>3229784</v>
      </c>
      <c r="N586" s="6" t="s">
        <v>30</v>
      </c>
      <c r="O586" s="31">
        <v>43103</v>
      </c>
      <c r="P586" s="32" t="e">
        <f>VLOOKUP(Table311[[#This Row],[UNIT NO.]],[1]!Table35711[[#Headers],[#Data],[Unit '#]:[Application/Sold/ Unsold]],7,0)</f>
        <v>#REF!</v>
      </c>
      <c r="S586" s="64"/>
    </row>
    <row r="587" spans="2:19" x14ac:dyDescent="0.25">
      <c r="B587" s="5">
        <f t="shared" si="9"/>
        <v>584</v>
      </c>
      <c r="C587" s="29" t="s">
        <v>1993</v>
      </c>
      <c r="D587" s="6" t="s">
        <v>903</v>
      </c>
      <c r="E587" s="29" t="s">
        <v>1994</v>
      </c>
      <c r="F587" s="6">
        <v>1000</v>
      </c>
      <c r="G587" s="6" t="s">
        <v>26</v>
      </c>
      <c r="H587" s="6"/>
      <c r="I587" s="6"/>
      <c r="J587" s="6"/>
      <c r="K587" s="7">
        <v>41327</v>
      </c>
      <c r="L587" s="30">
        <v>2940000</v>
      </c>
      <c r="M587" s="30">
        <v>2887296</v>
      </c>
      <c r="N587" s="6" t="s">
        <v>30</v>
      </c>
      <c r="O587" s="31">
        <v>43103</v>
      </c>
      <c r="P587" s="32" t="e">
        <f>VLOOKUP(Table311[[#This Row],[UNIT NO.]],[1]!Table35711[[#Headers],[#Data],[Unit '#]:[Application/Sold/ Unsold]],7,0)</f>
        <v>#REF!</v>
      </c>
      <c r="S587" s="64"/>
    </row>
    <row r="588" spans="2:19" ht="26.25" x14ac:dyDescent="0.25">
      <c r="B588" s="5">
        <f t="shared" si="9"/>
        <v>585</v>
      </c>
      <c r="C588" s="29" t="s">
        <v>1995</v>
      </c>
      <c r="D588" s="6" t="s">
        <v>903</v>
      </c>
      <c r="E588" s="29" t="s">
        <v>1996</v>
      </c>
      <c r="F588" s="6">
        <v>1000</v>
      </c>
      <c r="G588" s="6" t="s">
        <v>26</v>
      </c>
      <c r="H588" s="6"/>
      <c r="I588" s="6"/>
      <c r="J588" s="6"/>
      <c r="K588" s="7">
        <v>41392</v>
      </c>
      <c r="L588" s="30">
        <v>2920200</v>
      </c>
      <c r="M588" s="30">
        <v>2600017</v>
      </c>
      <c r="N588" s="6" t="s">
        <v>30</v>
      </c>
      <c r="O588" s="31">
        <v>43103</v>
      </c>
      <c r="P588" s="32" t="e">
        <f>VLOOKUP(Table311[[#This Row],[UNIT NO.]],[1]!Table35711[[#Headers],[#Data],[Unit '#]:[Application/Sold/ Unsold]],7,0)</f>
        <v>#REF!</v>
      </c>
      <c r="S588" s="64"/>
    </row>
    <row r="589" spans="2:19" ht="39" x14ac:dyDescent="0.25">
      <c r="B589" s="5">
        <f t="shared" si="9"/>
        <v>586</v>
      </c>
      <c r="C589" s="29" t="s">
        <v>1997</v>
      </c>
      <c r="D589" s="6" t="s">
        <v>903</v>
      </c>
      <c r="E589" s="29" t="s">
        <v>1998</v>
      </c>
      <c r="F589" s="6">
        <v>1000</v>
      </c>
      <c r="G589" s="6" t="s">
        <v>26</v>
      </c>
      <c r="H589" s="6"/>
      <c r="I589" s="6"/>
      <c r="J589" s="6"/>
      <c r="K589" s="7">
        <v>41315</v>
      </c>
      <c r="L589" s="30">
        <v>2821000</v>
      </c>
      <c r="M589" s="30">
        <v>2770600</v>
      </c>
      <c r="N589" s="6" t="s">
        <v>144</v>
      </c>
      <c r="O589" s="31">
        <v>43103</v>
      </c>
      <c r="P589" s="32" t="e">
        <f>VLOOKUP(Table311[[#This Row],[UNIT NO.]],[1]!Table35711[[#Headers],[#Data],[Unit '#]:[Application/Sold/ Unsold]],7,0)</f>
        <v>#REF!</v>
      </c>
      <c r="S589" s="64"/>
    </row>
    <row r="590" spans="2:19" ht="39" x14ac:dyDescent="0.25">
      <c r="B590" s="5">
        <f t="shared" si="9"/>
        <v>587</v>
      </c>
      <c r="C590" s="29" t="s">
        <v>1999</v>
      </c>
      <c r="D590" s="6" t="s">
        <v>903</v>
      </c>
      <c r="E590" s="29" t="s">
        <v>2000</v>
      </c>
      <c r="F590" s="6">
        <v>1000</v>
      </c>
      <c r="G590" s="6" t="s">
        <v>26</v>
      </c>
      <c r="H590" s="6"/>
      <c r="I590" s="6"/>
      <c r="J590" s="6"/>
      <c r="K590" s="7">
        <v>41259</v>
      </c>
      <c r="L590" s="30">
        <v>2533545</v>
      </c>
      <c r="M590" s="30">
        <v>2487387</v>
      </c>
      <c r="N590" s="6" t="s">
        <v>30</v>
      </c>
      <c r="O590" s="31">
        <v>43103</v>
      </c>
      <c r="P590" s="32" t="e">
        <f>VLOOKUP(Table311[[#This Row],[UNIT NO.]],[1]!Table35711[[#Headers],[#Data],[Unit '#]:[Application/Sold/ Unsold]],7,0)</f>
        <v>#REF!</v>
      </c>
      <c r="S590" s="64"/>
    </row>
    <row r="591" spans="2:19" ht="26.25" x14ac:dyDescent="0.25">
      <c r="B591" s="5">
        <f t="shared" si="9"/>
        <v>588</v>
      </c>
      <c r="C591" s="29" t="s">
        <v>2001</v>
      </c>
      <c r="D591" s="6" t="s">
        <v>903</v>
      </c>
      <c r="E591" s="29" t="s">
        <v>2002</v>
      </c>
      <c r="F591" s="6">
        <v>1000</v>
      </c>
      <c r="G591" s="6" t="s">
        <v>26</v>
      </c>
      <c r="H591" s="6"/>
      <c r="I591" s="6"/>
      <c r="J591" s="6"/>
      <c r="K591" s="7">
        <v>41278</v>
      </c>
      <c r="L591" s="30">
        <v>2633545</v>
      </c>
      <c r="M591" s="30">
        <v>720721</v>
      </c>
      <c r="N591" s="6" t="s">
        <v>30</v>
      </c>
      <c r="O591" s="31">
        <v>43103</v>
      </c>
      <c r="P591" s="32" t="e">
        <f>VLOOKUP(Table311[[#This Row],[UNIT NO.]],[1]!Table35711[[#Headers],[#Data],[Unit '#]:[Application/Sold/ Unsold]],7,0)</f>
        <v>#REF!</v>
      </c>
      <c r="S591" s="64"/>
    </row>
    <row r="592" spans="2:19" ht="26.25" x14ac:dyDescent="0.25">
      <c r="B592" s="5">
        <f t="shared" si="9"/>
        <v>589</v>
      </c>
      <c r="C592" s="29" t="s">
        <v>839</v>
      </c>
      <c r="D592" s="6" t="s">
        <v>903</v>
      </c>
      <c r="E592" s="29" t="s">
        <v>2003</v>
      </c>
      <c r="F592" s="6">
        <v>1000</v>
      </c>
      <c r="G592" s="6" t="s">
        <v>26</v>
      </c>
      <c r="H592" s="6"/>
      <c r="I592" s="6"/>
      <c r="J592" s="6"/>
      <c r="K592" s="7">
        <v>41259</v>
      </c>
      <c r="L592" s="30">
        <v>2583545</v>
      </c>
      <c r="M592" s="30">
        <v>2541399</v>
      </c>
      <c r="N592" s="6" t="s">
        <v>30</v>
      </c>
      <c r="O592" s="31">
        <v>43103</v>
      </c>
      <c r="P592" s="32" t="e">
        <f>VLOOKUP(Table311[[#This Row],[UNIT NO.]],[1]!Table35711[[#Headers],[#Data],[Unit '#]:[Application/Sold/ Unsold]],7,0)</f>
        <v>#REF!</v>
      </c>
      <c r="S592" s="64"/>
    </row>
    <row r="593" spans="2:19" ht="26.25" x14ac:dyDescent="0.25">
      <c r="B593" s="5">
        <f t="shared" si="9"/>
        <v>590</v>
      </c>
      <c r="C593" s="29" t="s">
        <v>2004</v>
      </c>
      <c r="D593" s="6" t="s">
        <v>903</v>
      </c>
      <c r="E593" s="29" t="s">
        <v>2005</v>
      </c>
      <c r="F593" s="6">
        <v>1000</v>
      </c>
      <c r="G593" s="6" t="s">
        <v>26</v>
      </c>
      <c r="H593" s="6"/>
      <c r="I593" s="6"/>
      <c r="J593" s="6"/>
      <c r="K593" s="7">
        <v>41391</v>
      </c>
      <c r="L593" s="30">
        <v>2797425</v>
      </c>
      <c r="M593" s="30">
        <v>559489</v>
      </c>
      <c r="N593" s="6" t="s">
        <v>30</v>
      </c>
      <c r="O593" s="31">
        <v>43103</v>
      </c>
      <c r="P593" s="32" t="e">
        <f>VLOOKUP(Table311[[#This Row],[UNIT NO.]],[1]!Table35711[[#Headers],[#Data],[Unit '#]:[Application/Sold/ Unsold]],7,0)</f>
        <v>#REF!</v>
      </c>
      <c r="S593" s="64"/>
    </row>
    <row r="594" spans="2:19" ht="26.25" x14ac:dyDescent="0.25">
      <c r="B594" s="5">
        <f t="shared" si="9"/>
        <v>591</v>
      </c>
      <c r="C594" s="29" t="s">
        <v>2006</v>
      </c>
      <c r="D594" s="6" t="s">
        <v>903</v>
      </c>
      <c r="E594" s="29" t="s">
        <v>2007</v>
      </c>
      <c r="F594" s="6">
        <v>1000</v>
      </c>
      <c r="G594" s="6" t="s">
        <v>26</v>
      </c>
      <c r="H594" s="6"/>
      <c r="I594" s="6"/>
      <c r="J594" s="6"/>
      <c r="K594" s="7">
        <v>42400</v>
      </c>
      <c r="L594" s="30">
        <v>3250000</v>
      </c>
      <c r="M594" s="30">
        <v>3209752</v>
      </c>
      <c r="N594" s="6" t="s">
        <v>46</v>
      </c>
      <c r="O594" s="31">
        <v>43103</v>
      </c>
      <c r="P594" s="32" t="e">
        <f>VLOOKUP(Table311[[#This Row],[UNIT NO.]],[1]!Table35711[[#Headers],[#Data],[Unit '#]:[Application/Sold/ Unsold]],7,0)</f>
        <v>#REF!</v>
      </c>
      <c r="S594" s="64"/>
    </row>
    <row r="595" spans="2:19" ht="39" x14ac:dyDescent="0.25">
      <c r="B595" s="5">
        <f t="shared" si="9"/>
        <v>592</v>
      </c>
      <c r="C595" s="29" t="s">
        <v>2008</v>
      </c>
      <c r="D595" s="6" t="s">
        <v>903</v>
      </c>
      <c r="E595" s="29" t="s">
        <v>2009</v>
      </c>
      <c r="F595" s="6">
        <v>1000</v>
      </c>
      <c r="G595" s="6" t="s">
        <v>26</v>
      </c>
      <c r="H595" s="6"/>
      <c r="I595" s="6"/>
      <c r="J595" s="6"/>
      <c r="K595" s="7">
        <v>41463</v>
      </c>
      <c r="L595" s="30">
        <v>2710000</v>
      </c>
      <c r="M595" s="30">
        <f>2429817-50000</f>
        <v>2379817</v>
      </c>
      <c r="N595" s="6" t="s">
        <v>30</v>
      </c>
      <c r="O595" s="31">
        <v>43103</v>
      </c>
      <c r="P595" s="32" t="e">
        <f>VLOOKUP(Table311[[#This Row],[UNIT NO.]],[1]!Table35711[[#Headers],[#Data],[Unit '#]:[Application/Sold/ Unsold]],7,0)</f>
        <v>#REF!</v>
      </c>
      <c r="S595" s="64"/>
    </row>
    <row r="596" spans="2:19" x14ac:dyDescent="0.25">
      <c r="B596" s="5">
        <f t="shared" si="9"/>
        <v>593</v>
      </c>
      <c r="C596" s="29" t="s">
        <v>1234</v>
      </c>
      <c r="D596" s="6" t="s">
        <v>903</v>
      </c>
      <c r="E596" s="29" t="s">
        <v>2010</v>
      </c>
      <c r="F596" s="6">
        <v>1000</v>
      </c>
      <c r="G596" s="6" t="s">
        <v>26</v>
      </c>
      <c r="H596" s="6"/>
      <c r="I596" s="6"/>
      <c r="J596" s="6"/>
      <c r="K596" s="7">
        <v>41183</v>
      </c>
      <c r="L596" s="30">
        <v>2596950</v>
      </c>
      <c r="M596" s="30">
        <v>504118</v>
      </c>
      <c r="N596" s="6" t="s">
        <v>30</v>
      </c>
      <c r="O596" s="31">
        <v>43103</v>
      </c>
      <c r="P596" s="32" t="e">
        <f>VLOOKUP(Table311[[#This Row],[UNIT NO.]],[1]!Table35711[[#Headers],[#Data],[Unit '#]:[Application/Sold/ Unsold]],7,0)</f>
        <v>#REF!</v>
      </c>
      <c r="S596" s="64"/>
    </row>
    <row r="597" spans="2:19" ht="26.25" x14ac:dyDescent="0.25">
      <c r="B597" s="5">
        <f t="shared" si="9"/>
        <v>594</v>
      </c>
      <c r="C597" s="29" t="s">
        <v>2011</v>
      </c>
      <c r="D597" s="6" t="s">
        <v>903</v>
      </c>
      <c r="E597" s="29" t="s">
        <v>2012</v>
      </c>
      <c r="F597" s="6">
        <v>1000</v>
      </c>
      <c r="G597" s="6" t="s">
        <v>26</v>
      </c>
      <c r="H597" s="6"/>
      <c r="I597" s="6"/>
      <c r="J597" s="6"/>
      <c r="K597" s="7">
        <v>41425</v>
      </c>
      <c r="L597" s="30">
        <v>2912425</v>
      </c>
      <c r="M597" s="30">
        <v>2207604</v>
      </c>
      <c r="N597" s="6" t="s">
        <v>30</v>
      </c>
      <c r="O597" s="31">
        <v>43103</v>
      </c>
      <c r="P597" s="32" t="e">
        <f>VLOOKUP(Table311[[#This Row],[UNIT NO.]],[1]!Table35711[[#Headers],[#Data],[Unit '#]:[Application/Sold/ Unsold]],7,0)</f>
        <v>#REF!</v>
      </c>
      <c r="S597" s="64"/>
    </row>
    <row r="598" spans="2:19" ht="39" x14ac:dyDescent="0.25">
      <c r="B598" s="5">
        <f t="shared" si="9"/>
        <v>595</v>
      </c>
      <c r="C598" s="29" t="s">
        <v>2013</v>
      </c>
      <c r="D598" s="6" t="s">
        <v>903</v>
      </c>
      <c r="E598" s="29" t="s">
        <v>2014</v>
      </c>
      <c r="F598" s="6">
        <v>1000</v>
      </c>
      <c r="G598" s="6" t="s">
        <v>26</v>
      </c>
      <c r="H598" s="6"/>
      <c r="I598" s="6"/>
      <c r="J598" s="6"/>
      <c r="K598" s="7">
        <v>42428</v>
      </c>
      <c r="L598" s="30">
        <v>3280000</v>
      </c>
      <c r="M598" s="30">
        <v>2999681</v>
      </c>
      <c r="N598" s="6" t="s">
        <v>46</v>
      </c>
      <c r="O598" s="31">
        <v>43103</v>
      </c>
      <c r="P598" s="32" t="e">
        <f>VLOOKUP(Table311[[#This Row],[UNIT NO.]],[1]!Table35711[[#Headers],[#Data],[Unit '#]:[Application/Sold/ Unsold]],7,0)</f>
        <v>#REF!</v>
      </c>
      <c r="S598" s="64"/>
    </row>
    <row r="599" spans="2:19" ht="26.25" x14ac:dyDescent="0.25">
      <c r="B599" s="5">
        <f t="shared" si="9"/>
        <v>596</v>
      </c>
      <c r="C599" s="29" t="s">
        <v>2015</v>
      </c>
      <c r="D599" s="6" t="s">
        <v>903</v>
      </c>
      <c r="E599" s="29" t="s">
        <v>2016</v>
      </c>
      <c r="F599" s="6">
        <v>1000</v>
      </c>
      <c r="G599" s="6" t="s">
        <v>26</v>
      </c>
      <c r="H599" s="6"/>
      <c r="I599" s="6"/>
      <c r="J599" s="6"/>
      <c r="K599" s="7">
        <v>41342</v>
      </c>
      <c r="L599" s="30">
        <v>2667140</v>
      </c>
      <c r="M599" s="30">
        <v>1200214</v>
      </c>
      <c r="N599" s="6" t="s">
        <v>30</v>
      </c>
      <c r="O599" s="31">
        <v>43103</v>
      </c>
      <c r="P599" s="32" t="e">
        <f>VLOOKUP(Table311[[#This Row],[UNIT NO.]],[1]!Table35711[[#Headers],[#Data],[Unit '#]:[Application/Sold/ Unsold]],7,0)</f>
        <v>#REF!</v>
      </c>
      <c r="S599" s="64"/>
    </row>
    <row r="600" spans="2:19" ht="26.25" x14ac:dyDescent="0.25">
      <c r="B600" s="5">
        <f t="shared" si="9"/>
        <v>597</v>
      </c>
      <c r="C600" s="29" t="s">
        <v>2017</v>
      </c>
      <c r="D600" s="6" t="s">
        <v>903</v>
      </c>
      <c r="E600" s="29" t="s">
        <v>2018</v>
      </c>
      <c r="F600" s="6">
        <v>1000</v>
      </c>
      <c r="G600" s="6" t="s">
        <v>26</v>
      </c>
      <c r="H600" s="6"/>
      <c r="I600" s="6"/>
      <c r="J600" s="6"/>
      <c r="K600" s="7">
        <v>41282</v>
      </c>
      <c r="L600" s="30">
        <v>2681000</v>
      </c>
      <c r="M600" s="30">
        <v>2221737</v>
      </c>
      <c r="N600" s="6" t="s">
        <v>30</v>
      </c>
      <c r="O600" s="31">
        <v>43103</v>
      </c>
      <c r="P600" s="32" t="e">
        <f>VLOOKUP(Table311[[#This Row],[UNIT NO.]],[1]!Table35711[[#Headers],[#Data],[Unit '#]:[Application/Sold/ Unsold]],7,0)</f>
        <v>#REF!</v>
      </c>
      <c r="S600" s="64"/>
    </row>
    <row r="601" spans="2:19" ht="39" x14ac:dyDescent="0.25">
      <c r="B601" s="5">
        <f t="shared" si="9"/>
        <v>598</v>
      </c>
      <c r="C601" s="29" t="s">
        <v>2019</v>
      </c>
      <c r="D601" s="6" t="s">
        <v>903</v>
      </c>
      <c r="E601" s="29" t="s">
        <v>2020</v>
      </c>
      <c r="F601" s="6">
        <v>1000</v>
      </c>
      <c r="G601" s="6" t="s">
        <v>26</v>
      </c>
      <c r="H601" s="6"/>
      <c r="I601" s="6"/>
      <c r="J601" s="6"/>
      <c r="K601" s="7">
        <v>42306</v>
      </c>
      <c r="L601" s="30">
        <v>3303400</v>
      </c>
      <c r="M601" s="30">
        <v>3226572</v>
      </c>
      <c r="N601" s="6" t="s">
        <v>46</v>
      </c>
      <c r="O601" s="31">
        <v>43103</v>
      </c>
      <c r="P601" s="32" t="e">
        <f>VLOOKUP(Table311[[#This Row],[UNIT NO.]],[1]!Table35711[[#Headers],[#Data],[Unit '#]:[Application/Sold/ Unsold]],7,0)</f>
        <v>#REF!</v>
      </c>
      <c r="S601" s="64"/>
    </row>
    <row r="602" spans="2:19" ht="26.25" x14ac:dyDescent="0.25">
      <c r="B602" s="5">
        <f t="shared" si="9"/>
        <v>599</v>
      </c>
      <c r="C602" s="29" t="s">
        <v>2021</v>
      </c>
      <c r="D602" s="6" t="s">
        <v>903</v>
      </c>
      <c r="E602" s="29" t="s">
        <v>2022</v>
      </c>
      <c r="F602" s="6">
        <v>1000</v>
      </c>
      <c r="G602" s="6" t="s">
        <v>26</v>
      </c>
      <c r="H602" s="6"/>
      <c r="I602" s="6"/>
      <c r="J602" s="6"/>
      <c r="K602" s="7">
        <v>41282</v>
      </c>
      <c r="L602" s="30">
        <v>2681000</v>
      </c>
      <c r="M602" s="30">
        <v>2221737</v>
      </c>
      <c r="N602" s="6" t="s">
        <v>30</v>
      </c>
      <c r="O602" s="31">
        <v>43103</v>
      </c>
      <c r="P602" s="32" t="e">
        <f>VLOOKUP(Table311[[#This Row],[UNIT NO.]],[1]!Table35711[[#Headers],[#Data],[Unit '#]:[Application/Sold/ Unsold]],7,0)</f>
        <v>#REF!</v>
      </c>
      <c r="S602" s="64"/>
    </row>
    <row r="603" spans="2:19" ht="26.25" x14ac:dyDescent="0.25">
      <c r="B603" s="5">
        <f t="shared" si="9"/>
        <v>600</v>
      </c>
      <c r="C603" s="29" t="s">
        <v>1363</v>
      </c>
      <c r="D603" s="6" t="s">
        <v>903</v>
      </c>
      <c r="E603" s="29" t="s">
        <v>2023</v>
      </c>
      <c r="F603" s="6">
        <v>1000</v>
      </c>
      <c r="G603" s="6" t="s">
        <v>26</v>
      </c>
      <c r="H603" s="6"/>
      <c r="I603" s="6"/>
      <c r="J603" s="6"/>
      <c r="K603" s="7">
        <v>41736</v>
      </c>
      <c r="L603" s="30">
        <v>3280000</v>
      </c>
      <c r="M603" s="30">
        <v>3020644</v>
      </c>
      <c r="N603" s="6" t="s">
        <v>30</v>
      </c>
      <c r="O603" s="31">
        <v>43103</v>
      </c>
      <c r="P603" s="32" t="e">
        <f>VLOOKUP(Table311[[#This Row],[UNIT NO.]],[1]!Table35711[[#Headers],[#Data],[Unit '#]:[Application/Sold/ Unsold]],7,0)</f>
        <v>#REF!</v>
      </c>
      <c r="S603" s="64"/>
    </row>
    <row r="604" spans="2:19" ht="26.25" x14ac:dyDescent="0.25">
      <c r="B604" s="5">
        <f t="shared" si="9"/>
        <v>601</v>
      </c>
      <c r="C604" s="29" t="s">
        <v>2024</v>
      </c>
      <c r="D604" s="6" t="s">
        <v>903</v>
      </c>
      <c r="E604" s="29" t="s">
        <v>2025</v>
      </c>
      <c r="F604" s="6">
        <v>1000</v>
      </c>
      <c r="G604" s="6" t="s">
        <v>26</v>
      </c>
      <c r="H604" s="6"/>
      <c r="I604" s="6"/>
      <c r="J604" s="6"/>
      <c r="K604" s="7">
        <v>41282</v>
      </c>
      <c r="L604" s="30">
        <v>2681000</v>
      </c>
      <c r="M604" s="30">
        <v>2221737</v>
      </c>
      <c r="N604" s="6" t="s">
        <v>30</v>
      </c>
      <c r="O604" s="31">
        <v>43103</v>
      </c>
      <c r="P604" s="32" t="e">
        <f>VLOOKUP(Table311[[#This Row],[UNIT NO.]],[1]!Table35711[[#Headers],[#Data],[Unit '#]:[Application/Sold/ Unsold]],7,0)</f>
        <v>#REF!</v>
      </c>
      <c r="S604" s="64"/>
    </row>
    <row r="605" spans="2:19" ht="26.25" x14ac:dyDescent="0.25">
      <c r="B605" s="5">
        <f t="shared" si="9"/>
        <v>602</v>
      </c>
      <c r="C605" s="29" t="s">
        <v>2026</v>
      </c>
      <c r="D605" s="6" t="s">
        <v>903</v>
      </c>
      <c r="E605" s="29" t="s">
        <v>2027</v>
      </c>
      <c r="F605" s="6">
        <v>1000</v>
      </c>
      <c r="G605" s="6" t="s">
        <v>26</v>
      </c>
      <c r="H605" s="6"/>
      <c r="I605" s="6"/>
      <c r="J605" s="6"/>
      <c r="K605" s="7">
        <v>41376</v>
      </c>
      <c r="L605" s="30">
        <v>2772425</v>
      </c>
      <c r="M605" s="30">
        <v>2723144</v>
      </c>
      <c r="N605" s="6" t="s">
        <v>46</v>
      </c>
      <c r="O605" s="31">
        <v>43103</v>
      </c>
      <c r="P605" s="32" t="e">
        <f>VLOOKUP(Table311[[#This Row],[UNIT NO.]],[1]!Table35711[[#Headers],[#Data],[Unit '#]:[Application/Sold/ Unsold]],7,0)</f>
        <v>#REF!</v>
      </c>
      <c r="S605" s="64"/>
    </row>
    <row r="606" spans="2:19" ht="26.25" x14ac:dyDescent="0.25">
      <c r="B606" s="5">
        <f t="shared" si="9"/>
        <v>603</v>
      </c>
      <c r="C606" s="29" t="s">
        <v>2028</v>
      </c>
      <c r="D606" s="6" t="s">
        <v>903</v>
      </c>
      <c r="E606" s="29" t="s">
        <v>2029</v>
      </c>
      <c r="F606" s="6">
        <v>1000</v>
      </c>
      <c r="G606" s="6" t="s">
        <v>26</v>
      </c>
      <c r="H606" s="6"/>
      <c r="I606" s="6"/>
      <c r="J606" s="6"/>
      <c r="K606" s="7">
        <v>41450</v>
      </c>
      <c r="L606" s="30">
        <v>2871500</v>
      </c>
      <c r="M606" s="30">
        <v>992115</v>
      </c>
      <c r="N606" s="6" t="s">
        <v>30</v>
      </c>
      <c r="O606" s="31">
        <v>43103</v>
      </c>
      <c r="P606" s="32" t="e">
        <f>VLOOKUP(Table311[[#This Row],[UNIT NO.]],[1]!Table35711[[#Headers],[#Data],[Unit '#]:[Application/Sold/ Unsold]],7,0)</f>
        <v>#REF!</v>
      </c>
      <c r="S606" s="64"/>
    </row>
    <row r="607" spans="2:19" ht="26.25" x14ac:dyDescent="0.25">
      <c r="B607" s="5">
        <f t="shared" si="9"/>
        <v>604</v>
      </c>
      <c r="C607" s="29" t="s">
        <v>2030</v>
      </c>
      <c r="D607" s="6" t="s">
        <v>903</v>
      </c>
      <c r="E607" s="29" t="s">
        <v>2031</v>
      </c>
      <c r="F607" s="6">
        <v>1000</v>
      </c>
      <c r="G607" s="6" t="s">
        <v>26</v>
      </c>
      <c r="H607" s="6"/>
      <c r="I607" s="6"/>
      <c r="J607" s="6"/>
      <c r="K607" s="7">
        <v>41336</v>
      </c>
      <c r="L607" s="30">
        <v>2661000</v>
      </c>
      <c r="M607" s="30">
        <v>2547252</v>
      </c>
      <c r="N607" s="6" t="s">
        <v>30</v>
      </c>
      <c r="O607" s="31">
        <v>43103</v>
      </c>
      <c r="P607" s="32" t="e">
        <f>VLOOKUP(Table311[[#This Row],[UNIT NO.]],[1]!Table35711[[#Headers],[#Data],[Unit '#]:[Application/Sold/ Unsold]],7,0)</f>
        <v>#REF!</v>
      </c>
      <c r="S607" s="64"/>
    </row>
    <row r="608" spans="2:19" ht="26.25" x14ac:dyDescent="0.25">
      <c r="B608" s="5">
        <f t="shared" si="9"/>
        <v>605</v>
      </c>
      <c r="C608" s="29" t="s">
        <v>2032</v>
      </c>
      <c r="D608" s="6" t="s">
        <v>903</v>
      </c>
      <c r="E608" s="29" t="s">
        <v>2033</v>
      </c>
      <c r="F608" s="6">
        <v>1000</v>
      </c>
      <c r="G608" s="6" t="s">
        <v>26</v>
      </c>
      <c r="H608" s="6"/>
      <c r="I608" s="6"/>
      <c r="J608" s="6"/>
      <c r="K608" s="7">
        <v>41433</v>
      </c>
      <c r="L608" s="30">
        <v>2852150</v>
      </c>
      <c r="M608" s="30">
        <v>2803669</v>
      </c>
      <c r="N608" s="6" t="s">
        <v>46</v>
      </c>
      <c r="O608" s="31">
        <v>43103</v>
      </c>
      <c r="P608" s="32" t="e">
        <f>VLOOKUP(Table311[[#This Row],[UNIT NO.]],[1]!Table35711[[#Headers],[#Data],[Unit '#]:[Application/Sold/ Unsold]],7,0)</f>
        <v>#REF!</v>
      </c>
      <c r="S608" s="64"/>
    </row>
    <row r="609" spans="2:19" ht="39" x14ac:dyDescent="0.25">
      <c r="B609" s="5">
        <f t="shared" si="9"/>
        <v>606</v>
      </c>
      <c r="C609" s="29" t="s">
        <v>2034</v>
      </c>
      <c r="D609" s="6" t="s">
        <v>903</v>
      </c>
      <c r="E609" s="29" t="s">
        <v>2035</v>
      </c>
      <c r="F609" s="6">
        <v>1000</v>
      </c>
      <c r="G609" s="6" t="s">
        <v>26</v>
      </c>
      <c r="H609" s="6"/>
      <c r="I609" s="6"/>
      <c r="J609" s="6"/>
      <c r="K609" s="7">
        <v>41160</v>
      </c>
      <c r="L609" s="30">
        <v>2483375</v>
      </c>
      <c r="M609" s="30">
        <v>2440812</v>
      </c>
      <c r="N609" s="6" t="s">
        <v>144</v>
      </c>
      <c r="O609" s="31">
        <v>43103</v>
      </c>
      <c r="P609" s="32" t="e">
        <f>VLOOKUP(Table311[[#This Row],[UNIT NO.]],[1]!Table35711[[#Headers],[#Data],[Unit '#]:[Application/Sold/ Unsold]],7,0)</f>
        <v>#REF!</v>
      </c>
      <c r="S609" s="64"/>
    </row>
    <row r="610" spans="2:19" ht="26.25" x14ac:dyDescent="0.25">
      <c r="B610" s="5">
        <f t="shared" si="9"/>
        <v>607</v>
      </c>
      <c r="C610" s="29" t="s">
        <v>1873</v>
      </c>
      <c r="D610" s="6" t="s">
        <v>903</v>
      </c>
      <c r="E610" s="29" t="s">
        <v>2036</v>
      </c>
      <c r="F610" s="6">
        <v>1000</v>
      </c>
      <c r="G610" s="6" t="s">
        <v>26</v>
      </c>
      <c r="H610" s="6"/>
      <c r="I610" s="6"/>
      <c r="J610" s="6"/>
      <c r="K610" s="7">
        <v>42413</v>
      </c>
      <c r="L610" s="30">
        <v>3200000</v>
      </c>
      <c r="M610" s="30">
        <v>3160530</v>
      </c>
      <c r="N610" s="6" t="s">
        <v>46</v>
      </c>
      <c r="O610" s="31">
        <v>43103</v>
      </c>
      <c r="P610" s="32" t="e">
        <f>VLOOKUP(Table311[[#This Row],[UNIT NO.]],[1]!Table35711[[#Headers],[#Data],[Unit '#]:[Application/Sold/ Unsold]],7,0)</f>
        <v>#REF!</v>
      </c>
      <c r="S610" s="64"/>
    </row>
    <row r="611" spans="2:19" ht="39" x14ac:dyDescent="0.25">
      <c r="B611" s="5">
        <f t="shared" si="9"/>
        <v>608</v>
      </c>
      <c r="C611" s="29" t="s">
        <v>2037</v>
      </c>
      <c r="D611" s="6" t="s">
        <v>903</v>
      </c>
      <c r="E611" s="29" t="s">
        <v>2038</v>
      </c>
      <c r="F611" s="6">
        <v>1000</v>
      </c>
      <c r="G611" s="6" t="s">
        <v>26</v>
      </c>
      <c r="H611" s="6"/>
      <c r="I611" s="6"/>
      <c r="J611" s="6"/>
      <c r="K611" s="7">
        <v>42369</v>
      </c>
      <c r="L611" s="30">
        <v>3329000</v>
      </c>
      <c r="M611" s="30">
        <v>3294284</v>
      </c>
      <c r="N611" s="6" t="s">
        <v>46</v>
      </c>
      <c r="O611" s="31">
        <v>43103</v>
      </c>
      <c r="P611" s="32" t="e">
        <f>VLOOKUP(Table311[[#This Row],[UNIT NO.]],[1]!Table35711[[#Headers],[#Data],[Unit '#]:[Application/Sold/ Unsold]],7,0)</f>
        <v>#REF!</v>
      </c>
      <c r="S611" s="64"/>
    </row>
    <row r="612" spans="2:19" ht="26.25" x14ac:dyDescent="0.25">
      <c r="B612" s="5">
        <f t="shared" si="9"/>
        <v>609</v>
      </c>
      <c r="C612" s="29" t="s">
        <v>2039</v>
      </c>
      <c r="D612" s="6" t="s">
        <v>903</v>
      </c>
      <c r="E612" s="29" t="s">
        <v>2040</v>
      </c>
      <c r="F612" s="6">
        <v>1000</v>
      </c>
      <c r="G612" s="6" t="s">
        <v>26</v>
      </c>
      <c r="H612" s="6"/>
      <c r="I612" s="6"/>
      <c r="J612" s="6"/>
      <c r="K612" s="7">
        <v>41412</v>
      </c>
      <c r="L612" s="30">
        <v>2715000</v>
      </c>
      <c r="M612" s="30">
        <v>2666704</v>
      </c>
      <c r="N612" s="6" t="s">
        <v>27</v>
      </c>
      <c r="O612" s="31">
        <v>43103</v>
      </c>
      <c r="P612" s="32" t="e">
        <f>VLOOKUP(Table311[[#This Row],[UNIT NO.]],[1]!Table35711[[#Headers],[#Data],[Unit '#]:[Application/Sold/ Unsold]],7,0)</f>
        <v>#REF!</v>
      </c>
      <c r="S612" s="64"/>
    </row>
    <row r="613" spans="2:19" ht="39" x14ac:dyDescent="0.25">
      <c r="B613" s="5">
        <f t="shared" si="9"/>
        <v>610</v>
      </c>
      <c r="C613" s="29" t="s">
        <v>2041</v>
      </c>
      <c r="D613" s="6" t="s">
        <v>903</v>
      </c>
      <c r="E613" s="29" t="s">
        <v>2042</v>
      </c>
      <c r="F613" s="6">
        <v>1000</v>
      </c>
      <c r="G613" s="6" t="s">
        <v>26</v>
      </c>
      <c r="H613" s="6"/>
      <c r="I613" s="6"/>
      <c r="J613" s="6"/>
      <c r="K613" s="7">
        <v>41427</v>
      </c>
      <c r="L613" s="30">
        <v>2686250</v>
      </c>
      <c r="M613" s="30">
        <v>2519954</v>
      </c>
      <c r="N613" s="6" t="s">
        <v>27</v>
      </c>
      <c r="O613" s="31">
        <v>43103</v>
      </c>
      <c r="P613" s="32" t="e">
        <f>VLOOKUP(Table311[[#This Row],[UNIT NO.]],[1]!Table35711[[#Headers],[#Data],[Unit '#]:[Application/Sold/ Unsold]],7,0)</f>
        <v>#REF!</v>
      </c>
      <c r="S613" s="64"/>
    </row>
    <row r="614" spans="2:19" ht="39" x14ac:dyDescent="0.25">
      <c r="B614" s="5">
        <f t="shared" si="9"/>
        <v>611</v>
      </c>
      <c r="C614" s="29" t="s">
        <v>2043</v>
      </c>
      <c r="D614" s="6" t="s">
        <v>903</v>
      </c>
      <c r="E614" s="29" t="s">
        <v>2044</v>
      </c>
      <c r="F614" s="6">
        <v>1000</v>
      </c>
      <c r="G614" s="6" t="s">
        <v>26</v>
      </c>
      <c r="H614" s="6"/>
      <c r="I614" s="6"/>
      <c r="J614" s="6"/>
      <c r="K614" s="7">
        <v>41415</v>
      </c>
      <c r="L614" s="30">
        <v>2672375</v>
      </c>
      <c r="M614" s="30">
        <v>2626368</v>
      </c>
      <c r="N614" s="6" t="s">
        <v>30</v>
      </c>
      <c r="O614" s="31">
        <v>43103</v>
      </c>
      <c r="P614" s="32" t="e">
        <f>VLOOKUP(Table311[[#This Row],[UNIT NO.]],[1]!Table35711[[#Headers],[#Data],[Unit '#]:[Application/Sold/ Unsold]],7,0)</f>
        <v>#REF!</v>
      </c>
      <c r="S614" s="64"/>
    </row>
    <row r="615" spans="2:19" ht="26.25" x14ac:dyDescent="0.25">
      <c r="B615" s="5">
        <f t="shared" si="9"/>
        <v>612</v>
      </c>
      <c r="C615" s="29" t="s">
        <v>2045</v>
      </c>
      <c r="D615" s="6" t="s">
        <v>903</v>
      </c>
      <c r="E615" s="29" t="s">
        <v>2046</v>
      </c>
      <c r="F615" s="6">
        <v>1000</v>
      </c>
      <c r="G615" s="6" t="s">
        <v>26</v>
      </c>
      <c r="H615" s="6"/>
      <c r="I615" s="6"/>
      <c r="J615" s="6"/>
      <c r="K615" s="7">
        <v>41359</v>
      </c>
      <c r="L615" s="30">
        <v>2712375</v>
      </c>
      <c r="M615" s="30">
        <v>1658665</v>
      </c>
      <c r="N615" s="6" t="s">
        <v>30</v>
      </c>
      <c r="O615" s="31">
        <v>43103</v>
      </c>
      <c r="P615" s="32" t="e">
        <f>VLOOKUP(Table311[[#This Row],[UNIT NO.]],[1]!Table35711[[#Headers],[#Data],[Unit '#]:[Application/Sold/ Unsold]],7,0)</f>
        <v>#REF!</v>
      </c>
      <c r="S615" s="64"/>
    </row>
    <row r="616" spans="2:19" ht="26.25" x14ac:dyDescent="0.25">
      <c r="B616" s="5">
        <f t="shared" si="9"/>
        <v>613</v>
      </c>
      <c r="C616" s="29" t="s">
        <v>2047</v>
      </c>
      <c r="D616" s="6" t="s">
        <v>903</v>
      </c>
      <c r="E616" s="29" t="s">
        <v>2048</v>
      </c>
      <c r="F616" s="6">
        <v>1000</v>
      </c>
      <c r="G616" s="6" t="s">
        <v>26</v>
      </c>
      <c r="H616" s="6"/>
      <c r="I616" s="6"/>
      <c r="J616" s="6"/>
      <c r="K616" s="7">
        <v>41411</v>
      </c>
      <c r="L616" s="30">
        <v>2765000</v>
      </c>
      <c r="M616" s="30">
        <v>2718106</v>
      </c>
      <c r="N616" s="6" t="s">
        <v>30</v>
      </c>
      <c r="O616" s="31">
        <v>43103</v>
      </c>
      <c r="P616" s="32" t="e">
        <f>VLOOKUP(Table311[[#This Row],[UNIT NO.]],[1]!Table35711[[#Headers],[#Data],[Unit '#]:[Application/Sold/ Unsold]],7,0)</f>
        <v>#REF!</v>
      </c>
      <c r="S616" s="64"/>
    </row>
    <row r="617" spans="2:19" ht="26.25" x14ac:dyDescent="0.25">
      <c r="B617" s="5">
        <f t="shared" si="9"/>
        <v>614</v>
      </c>
      <c r="C617" s="29" t="s">
        <v>2049</v>
      </c>
      <c r="D617" s="6" t="s">
        <v>903</v>
      </c>
      <c r="E617" s="29" t="s">
        <v>2050</v>
      </c>
      <c r="F617" s="6">
        <v>1000</v>
      </c>
      <c r="G617" s="6" t="s">
        <v>26</v>
      </c>
      <c r="H617" s="6"/>
      <c r="I617" s="6"/>
      <c r="J617" s="6"/>
      <c r="K617" s="7">
        <v>41621</v>
      </c>
      <c r="L617" s="30">
        <v>2778750</v>
      </c>
      <c r="M617" s="30">
        <v>2703339</v>
      </c>
      <c r="N617" s="6" t="s">
        <v>46</v>
      </c>
      <c r="O617" s="31">
        <v>43103</v>
      </c>
      <c r="P617" s="32" t="e">
        <f>VLOOKUP(Table311[[#This Row],[UNIT NO.]],[1]!Table35711[[#Headers],[#Data],[Unit '#]:[Application/Sold/ Unsold]],7,0)</f>
        <v>#REF!</v>
      </c>
      <c r="S617" s="64"/>
    </row>
    <row r="618" spans="2:19" ht="26.25" x14ac:dyDescent="0.25">
      <c r="B618" s="5">
        <f t="shared" si="9"/>
        <v>615</v>
      </c>
      <c r="C618" s="29" t="s">
        <v>2051</v>
      </c>
      <c r="D618" s="6" t="s">
        <v>903</v>
      </c>
      <c r="E618" s="29" t="s">
        <v>2052</v>
      </c>
      <c r="F618" s="6">
        <v>1000</v>
      </c>
      <c r="G618" s="6" t="s">
        <v>26</v>
      </c>
      <c r="H618" s="6"/>
      <c r="I618" s="6"/>
      <c r="J618" s="6"/>
      <c r="K618" s="7">
        <v>41274</v>
      </c>
      <c r="L618" s="30">
        <v>2481000</v>
      </c>
      <c r="M618" s="30">
        <v>2308005</v>
      </c>
      <c r="N618" s="6" t="s">
        <v>27</v>
      </c>
      <c r="O618" s="31">
        <v>43103</v>
      </c>
      <c r="P618" s="32" t="e">
        <f>VLOOKUP(Table311[[#This Row],[UNIT NO.]],[1]!Table35711[[#Headers],[#Data],[Unit '#]:[Application/Sold/ Unsold]],7,0)</f>
        <v>#REF!</v>
      </c>
      <c r="S618" s="64"/>
    </row>
    <row r="619" spans="2:19" ht="26.25" x14ac:dyDescent="0.25">
      <c r="B619" s="5">
        <f t="shared" si="9"/>
        <v>616</v>
      </c>
      <c r="C619" s="29" t="s">
        <v>2053</v>
      </c>
      <c r="D619" s="6" t="s">
        <v>903</v>
      </c>
      <c r="E619" s="29" t="s">
        <v>2054</v>
      </c>
      <c r="F619" s="6">
        <v>1000</v>
      </c>
      <c r="G619" s="6" t="s">
        <v>26</v>
      </c>
      <c r="H619" s="6"/>
      <c r="I619" s="6"/>
      <c r="J619" s="6"/>
      <c r="K619" s="7">
        <v>41621</v>
      </c>
      <c r="L619" s="30">
        <v>2864350</v>
      </c>
      <c r="M619" s="30">
        <v>2361735</v>
      </c>
      <c r="N619" s="6" t="s">
        <v>30</v>
      </c>
      <c r="O619" s="31">
        <v>43103</v>
      </c>
      <c r="P619" s="32" t="e">
        <f>VLOOKUP(Table311[[#This Row],[UNIT NO.]],[1]!Table35711[[#Headers],[#Data],[Unit '#]:[Application/Sold/ Unsold]],7,0)</f>
        <v>#REF!</v>
      </c>
      <c r="S619" s="64"/>
    </row>
    <row r="620" spans="2:19" ht="39" x14ac:dyDescent="0.25">
      <c r="B620" s="5">
        <f t="shared" si="9"/>
        <v>617</v>
      </c>
      <c r="C620" s="29" t="s">
        <v>2055</v>
      </c>
      <c r="D620" s="6" t="s">
        <v>903</v>
      </c>
      <c r="E620" s="29" t="s">
        <v>2056</v>
      </c>
      <c r="F620" s="6">
        <v>1000</v>
      </c>
      <c r="G620" s="6" t="s">
        <v>26</v>
      </c>
      <c r="H620" s="6"/>
      <c r="I620" s="6"/>
      <c r="J620" s="6"/>
      <c r="K620" s="7">
        <v>41255</v>
      </c>
      <c r="L620" s="30">
        <v>2519140</v>
      </c>
      <c r="M620" s="30">
        <v>2476726</v>
      </c>
      <c r="N620" s="6" t="s">
        <v>30</v>
      </c>
      <c r="O620" s="31">
        <v>43103</v>
      </c>
      <c r="P620" s="32" t="e">
        <f>VLOOKUP(Table311[[#This Row],[UNIT NO.]],[1]!Table35711[[#Headers],[#Data],[Unit '#]:[Application/Sold/ Unsold]],7,0)</f>
        <v>#REF!</v>
      </c>
      <c r="S620" s="64"/>
    </row>
    <row r="621" spans="2:19" ht="26.25" x14ac:dyDescent="0.25">
      <c r="B621" s="5">
        <f t="shared" si="9"/>
        <v>618</v>
      </c>
      <c r="C621" s="29" t="s">
        <v>2057</v>
      </c>
      <c r="D621" s="6" t="s">
        <v>903</v>
      </c>
      <c r="E621" s="29" t="s">
        <v>2058</v>
      </c>
      <c r="F621" s="6">
        <v>1000</v>
      </c>
      <c r="G621" s="6" t="s">
        <v>26</v>
      </c>
      <c r="H621" s="6"/>
      <c r="I621" s="6"/>
      <c r="J621" s="6"/>
      <c r="K621" s="7">
        <v>41219</v>
      </c>
      <c r="L621" s="30">
        <v>2466795</v>
      </c>
      <c r="M621" s="30">
        <v>2421853</v>
      </c>
      <c r="N621" s="6" t="s">
        <v>30</v>
      </c>
      <c r="O621" s="31">
        <v>43103</v>
      </c>
      <c r="P621" s="32" t="e">
        <f>VLOOKUP(Table311[[#This Row],[UNIT NO.]],[1]!Table35711[[#Headers],[#Data],[Unit '#]:[Application/Sold/ Unsold]],7,0)</f>
        <v>#REF!</v>
      </c>
      <c r="S621" s="64"/>
    </row>
    <row r="622" spans="2:19" ht="26.25" x14ac:dyDescent="0.25">
      <c r="B622" s="5">
        <f t="shared" si="9"/>
        <v>619</v>
      </c>
      <c r="C622" s="29" t="s">
        <v>2059</v>
      </c>
      <c r="D622" s="6" t="s">
        <v>903</v>
      </c>
      <c r="E622" s="29" t="s">
        <v>2060</v>
      </c>
      <c r="F622" s="6">
        <v>1000</v>
      </c>
      <c r="G622" s="6" t="s">
        <v>26</v>
      </c>
      <c r="H622" s="6"/>
      <c r="I622" s="6"/>
      <c r="J622" s="6"/>
      <c r="K622" s="7">
        <v>41224</v>
      </c>
      <c r="L622" s="30">
        <v>2466795</v>
      </c>
      <c r="M622" s="30">
        <v>2466795</v>
      </c>
      <c r="N622" s="6" t="s">
        <v>46</v>
      </c>
      <c r="O622" s="31">
        <v>43103</v>
      </c>
      <c r="P622" s="32" t="e">
        <f>VLOOKUP(Table311[[#This Row],[UNIT NO.]],[1]!Table35711[[#Headers],[#Data],[Unit '#]:[Application/Sold/ Unsold]],7,0)</f>
        <v>#REF!</v>
      </c>
      <c r="S622" s="64"/>
    </row>
    <row r="623" spans="2:19" ht="39" x14ac:dyDescent="0.25">
      <c r="B623" s="5">
        <f t="shared" si="9"/>
        <v>620</v>
      </c>
      <c r="C623" s="29" t="s">
        <v>2061</v>
      </c>
      <c r="D623" s="6" t="s">
        <v>903</v>
      </c>
      <c r="E623" s="29" t="s">
        <v>2062</v>
      </c>
      <c r="F623" s="6">
        <v>1000</v>
      </c>
      <c r="G623" s="6" t="s">
        <v>26</v>
      </c>
      <c r="H623" s="6"/>
      <c r="I623" s="6"/>
      <c r="J623" s="6"/>
      <c r="K623" s="7">
        <v>42306</v>
      </c>
      <c r="L623" s="30">
        <v>3173800</v>
      </c>
      <c r="M623" s="30">
        <v>2655126</v>
      </c>
      <c r="N623" s="6" t="s">
        <v>46</v>
      </c>
      <c r="O623" s="31">
        <v>43103</v>
      </c>
      <c r="P623" s="32" t="e">
        <f>VLOOKUP(Table311[[#This Row],[UNIT NO.]],[1]!Table35711[[#Headers],[#Data],[Unit '#]:[Application/Sold/ Unsold]],7,0)</f>
        <v>#REF!</v>
      </c>
      <c r="S623" s="64"/>
    </row>
    <row r="624" spans="2:19" ht="26.25" x14ac:dyDescent="0.25">
      <c r="B624" s="5">
        <f t="shared" si="9"/>
        <v>621</v>
      </c>
      <c r="C624" s="29" t="s">
        <v>2063</v>
      </c>
      <c r="D624" s="6" t="s">
        <v>903</v>
      </c>
      <c r="E624" s="29" t="s">
        <v>2064</v>
      </c>
      <c r="F624" s="6">
        <v>1000</v>
      </c>
      <c r="G624" s="6" t="s">
        <v>26</v>
      </c>
      <c r="H624" s="6"/>
      <c r="I624" s="6"/>
      <c r="J624" s="6"/>
      <c r="K624" s="7">
        <v>41712</v>
      </c>
      <c r="L624" s="30">
        <v>2896780</v>
      </c>
      <c r="M624" s="30">
        <v>2393830</v>
      </c>
      <c r="N624" s="6" t="s">
        <v>30</v>
      </c>
      <c r="O624" s="31">
        <v>43103</v>
      </c>
      <c r="P624" s="32" t="e">
        <f>VLOOKUP(Table311[[#This Row],[UNIT NO.]],[1]!Table35711[[#Headers],[#Data],[Unit '#]:[Application/Sold/ Unsold]],7,0)</f>
        <v>#REF!</v>
      </c>
      <c r="S624" s="64"/>
    </row>
    <row r="625" spans="2:19" ht="26.25" x14ac:dyDescent="0.25">
      <c r="B625" s="5">
        <f t="shared" si="9"/>
        <v>622</v>
      </c>
      <c r="C625" s="29" t="s">
        <v>292</v>
      </c>
      <c r="D625" s="6" t="s">
        <v>903</v>
      </c>
      <c r="E625" s="29" t="s">
        <v>2065</v>
      </c>
      <c r="F625" s="6">
        <v>1000</v>
      </c>
      <c r="G625" s="6" t="s">
        <v>26</v>
      </c>
      <c r="H625" s="6"/>
      <c r="I625" s="6"/>
      <c r="J625" s="6"/>
      <c r="K625" s="7">
        <v>41857</v>
      </c>
      <c r="L625" s="30">
        <v>3230000</v>
      </c>
      <c r="M625" s="30">
        <v>2583704</v>
      </c>
      <c r="N625" s="6" t="s">
        <v>27</v>
      </c>
      <c r="O625" s="31">
        <v>43103</v>
      </c>
      <c r="P625" s="32" t="e">
        <f>VLOOKUP(Table311[[#This Row],[UNIT NO.]],[1]!Table35711[[#Headers],[#Data],[Unit '#]:[Application/Sold/ Unsold]],7,0)</f>
        <v>#REF!</v>
      </c>
      <c r="S625" s="64"/>
    </row>
    <row r="626" spans="2:19" ht="39" x14ac:dyDescent="0.25">
      <c r="B626" s="5">
        <f t="shared" si="9"/>
        <v>623</v>
      </c>
      <c r="C626" s="29" t="s">
        <v>2066</v>
      </c>
      <c r="D626" s="6" t="s">
        <v>903</v>
      </c>
      <c r="E626" s="29" t="s">
        <v>2067</v>
      </c>
      <c r="F626" s="6">
        <v>1000</v>
      </c>
      <c r="G626" s="6" t="s">
        <v>26</v>
      </c>
      <c r="H626" s="6"/>
      <c r="I626" s="6"/>
      <c r="J626" s="6"/>
      <c r="K626" s="7">
        <v>41364</v>
      </c>
      <c r="L626" s="30">
        <v>2658000</v>
      </c>
      <c r="M626" s="30">
        <v>2044028</v>
      </c>
      <c r="N626" s="6" t="s">
        <v>30</v>
      </c>
      <c r="O626" s="31">
        <v>43103</v>
      </c>
      <c r="P626" s="32" t="e">
        <f>VLOOKUP(Table311[[#This Row],[UNIT NO.]],[1]!Table35711[[#Headers],[#Data],[Unit '#]:[Application/Sold/ Unsold]],7,0)</f>
        <v>#REF!</v>
      </c>
      <c r="S626" s="64"/>
    </row>
    <row r="627" spans="2:19" ht="26.25" x14ac:dyDescent="0.25">
      <c r="B627" s="5">
        <f t="shared" si="9"/>
        <v>624</v>
      </c>
      <c r="C627" s="29" t="s">
        <v>2068</v>
      </c>
      <c r="D627" s="6" t="s">
        <v>903</v>
      </c>
      <c r="E627" s="29" t="s">
        <v>2069</v>
      </c>
      <c r="F627" s="6">
        <v>1000</v>
      </c>
      <c r="G627" s="6" t="s">
        <v>26</v>
      </c>
      <c r="H627" s="6"/>
      <c r="I627" s="6"/>
      <c r="J627" s="6"/>
      <c r="K627" s="7">
        <v>42513</v>
      </c>
      <c r="L627" s="30">
        <v>3080000</v>
      </c>
      <c r="M627" s="30">
        <v>2859780</v>
      </c>
      <c r="N627" s="6" t="s">
        <v>46</v>
      </c>
      <c r="O627" s="31">
        <v>43103</v>
      </c>
      <c r="P627" s="32" t="e">
        <f>VLOOKUP(Table311[[#This Row],[UNIT NO.]],[1]!Table35711[[#Headers],[#Data],[Unit '#]:[Application/Sold/ Unsold]],7,0)</f>
        <v>#REF!</v>
      </c>
      <c r="S627" s="64"/>
    </row>
    <row r="628" spans="2:19" ht="39" x14ac:dyDescent="0.25">
      <c r="B628" s="5">
        <f t="shared" si="9"/>
        <v>625</v>
      </c>
      <c r="C628" s="29" t="s">
        <v>2070</v>
      </c>
      <c r="D628" s="6" t="s">
        <v>903</v>
      </c>
      <c r="E628" s="29" t="s">
        <v>2071</v>
      </c>
      <c r="F628" s="6">
        <v>1000</v>
      </c>
      <c r="G628" s="6" t="s">
        <v>26</v>
      </c>
      <c r="H628" s="6"/>
      <c r="I628" s="6"/>
      <c r="J628" s="6"/>
      <c r="K628" s="7">
        <v>41259</v>
      </c>
      <c r="L628" s="30">
        <v>2344545</v>
      </c>
      <c r="M628" s="30">
        <v>2303882</v>
      </c>
      <c r="N628" s="6" t="s">
        <v>144</v>
      </c>
      <c r="O628" s="31">
        <v>43103</v>
      </c>
      <c r="P628" s="32" t="e">
        <f>VLOOKUP(Table311[[#This Row],[UNIT NO.]],[1]!Table35711[[#Headers],[#Data],[Unit '#]:[Application/Sold/ Unsold]],7,0)</f>
        <v>#REF!</v>
      </c>
      <c r="S628" s="64"/>
    </row>
    <row r="629" spans="2:19" ht="26.25" x14ac:dyDescent="0.25">
      <c r="B629" s="5">
        <f t="shared" si="9"/>
        <v>626</v>
      </c>
      <c r="C629" s="29" t="s">
        <v>2072</v>
      </c>
      <c r="D629" s="6" t="s">
        <v>903</v>
      </c>
      <c r="E629" s="29" t="s">
        <v>2073</v>
      </c>
      <c r="F629" s="6">
        <v>1000</v>
      </c>
      <c r="G629" s="6" t="s">
        <v>26</v>
      </c>
      <c r="H629" s="6"/>
      <c r="I629" s="6"/>
      <c r="J629" s="6"/>
      <c r="K629" s="7">
        <v>41353</v>
      </c>
      <c r="L629" s="30">
        <v>2439045</v>
      </c>
      <c r="M629" s="30">
        <f>687809-200000</f>
        <v>487809</v>
      </c>
      <c r="N629" s="6" t="s">
        <v>30</v>
      </c>
      <c r="O629" s="31">
        <v>43103</v>
      </c>
      <c r="P629" s="32" t="e">
        <f>VLOOKUP(Table311[[#This Row],[UNIT NO.]],[1]!Table35711[[#Headers],[#Data],[Unit '#]:[Application/Sold/ Unsold]],7,0)</f>
        <v>#REF!</v>
      </c>
      <c r="S629" s="64"/>
    </row>
    <row r="630" spans="2:19" ht="26.25" x14ac:dyDescent="0.25">
      <c r="B630" s="5">
        <f t="shared" si="9"/>
        <v>627</v>
      </c>
      <c r="C630" s="29" t="s">
        <v>2074</v>
      </c>
      <c r="D630" s="6" t="s">
        <v>903</v>
      </c>
      <c r="E630" s="29" t="s">
        <v>2075</v>
      </c>
      <c r="F630" s="6">
        <v>1000</v>
      </c>
      <c r="G630" s="6" t="s">
        <v>26</v>
      </c>
      <c r="H630" s="6"/>
      <c r="I630" s="6"/>
      <c r="J630" s="6"/>
      <c r="K630" s="7">
        <v>41289</v>
      </c>
      <c r="L630" s="30">
        <v>2332140</v>
      </c>
      <c r="M630" s="30">
        <v>1980824</v>
      </c>
      <c r="N630" s="6" t="s">
        <v>27</v>
      </c>
      <c r="O630" s="31">
        <v>43103</v>
      </c>
      <c r="P630" s="32" t="e">
        <f>VLOOKUP(Table311[[#This Row],[UNIT NO.]],[1]!Table35711[[#Headers],[#Data],[Unit '#]:[Application/Sold/ Unsold]],7,0)</f>
        <v>#REF!</v>
      </c>
      <c r="S630" s="64"/>
    </row>
    <row r="631" spans="2:19" ht="26.25" x14ac:dyDescent="0.25">
      <c r="B631" s="5">
        <f t="shared" si="9"/>
        <v>628</v>
      </c>
      <c r="C631" s="29" t="s">
        <v>2076</v>
      </c>
      <c r="D631" s="6" t="s">
        <v>903</v>
      </c>
      <c r="E631" s="29" t="s">
        <v>2077</v>
      </c>
      <c r="F631" s="6">
        <v>1000</v>
      </c>
      <c r="G631" s="6" t="s">
        <v>26</v>
      </c>
      <c r="H631" s="6"/>
      <c r="I631" s="6"/>
      <c r="J631" s="6"/>
      <c r="K631" s="7">
        <v>41315</v>
      </c>
      <c r="L631" s="30">
        <v>2344545</v>
      </c>
      <c r="M631" s="30">
        <v>2227322</v>
      </c>
      <c r="N631" s="6" t="s">
        <v>57</v>
      </c>
      <c r="O631" s="31">
        <v>43103</v>
      </c>
      <c r="P631" s="32" t="e">
        <f>VLOOKUP(Table311[[#This Row],[UNIT NO.]],[1]!Table35711[[#Headers],[#Data],[Unit '#]:[Application/Sold/ Unsold]],7,0)</f>
        <v>#REF!</v>
      </c>
      <c r="S631" s="64"/>
    </row>
    <row r="632" spans="2:19" ht="51.75" x14ac:dyDescent="0.25">
      <c r="B632" s="5">
        <f t="shared" si="9"/>
        <v>629</v>
      </c>
      <c r="C632" s="29" t="s">
        <v>2078</v>
      </c>
      <c r="D632" s="6" t="s">
        <v>903</v>
      </c>
      <c r="E632" s="29" t="s">
        <v>2079</v>
      </c>
      <c r="F632" s="6">
        <v>1000</v>
      </c>
      <c r="G632" s="6" t="s">
        <v>26</v>
      </c>
      <c r="H632" s="6"/>
      <c r="I632" s="6"/>
      <c r="J632" s="6"/>
      <c r="K632" s="7">
        <v>42023</v>
      </c>
      <c r="L632" s="30">
        <v>3219400</v>
      </c>
      <c r="M632" s="30">
        <v>3161578</v>
      </c>
      <c r="N632" s="6" t="s">
        <v>46</v>
      </c>
      <c r="O632" s="31">
        <v>43103</v>
      </c>
      <c r="P632" s="32" t="e">
        <f>VLOOKUP(Table311[[#This Row],[UNIT NO.]],[1]!Table35711[[#Headers],[#Data],[Unit '#]:[Application/Sold/ Unsold]],7,0)</f>
        <v>#REF!</v>
      </c>
      <c r="S632" s="64"/>
    </row>
    <row r="633" spans="2:19" ht="26.25" x14ac:dyDescent="0.25">
      <c r="B633" s="5">
        <f t="shared" si="9"/>
        <v>630</v>
      </c>
      <c r="C633" s="29" t="s">
        <v>2080</v>
      </c>
      <c r="D633" s="6" t="s">
        <v>903</v>
      </c>
      <c r="E633" s="29" t="s">
        <v>2081</v>
      </c>
      <c r="F633" s="6">
        <v>1000</v>
      </c>
      <c r="G633" s="6" t="s">
        <v>26</v>
      </c>
      <c r="H633" s="6"/>
      <c r="I633" s="6"/>
      <c r="J633" s="6"/>
      <c r="K633" s="7">
        <v>41487</v>
      </c>
      <c r="L633" s="30">
        <v>2675000</v>
      </c>
      <c r="M633" s="30">
        <v>2626261</v>
      </c>
      <c r="N633" s="6" t="s">
        <v>30</v>
      </c>
      <c r="O633" s="31">
        <v>43103</v>
      </c>
      <c r="P633" s="32" t="e">
        <f>VLOOKUP(Table311[[#This Row],[UNIT NO.]],[1]!Table35711[[#Headers],[#Data],[Unit '#]:[Application/Sold/ Unsold]],7,0)</f>
        <v>#REF!</v>
      </c>
      <c r="S633" s="64"/>
    </row>
    <row r="634" spans="2:19" ht="26.25" x14ac:dyDescent="0.25">
      <c r="B634" s="5">
        <f t="shared" si="9"/>
        <v>631</v>
      </c>
      <c r="C634" s="29" t="s">
        <v>2082</v>
      </c>
      <c r="D634" s="6" t="s">
        <v>903</v>
      </c>
      <c r="E634" s="29" t="s">
        <v>2083</v>
      </c>
      <c r="F634" s="6">
        <v>1000</v>
      </c>
      <c r="G634" s="6" t="s">
        <v>26</v>
      </c>
      <c r="H634" s="6"/>
      <c r="I634" s="6"/>
      <c r="J634" s="6"/>
      <c r="K634" s="7">
        <v>41420</v>
      </c>
      <c r="L634" s="30">
        <v>2635000</v>
      </c>
      <c r="M634" s="30">
        <v>2585909</v>
      </c>
      <c r="N634" s="6" t="s">
        <v>27</v>
      </c>
      <c r="O634" s="31">
        <v>43103</v>
      </c>
      <c r="P634" s="32" t="e">
        <f>VLOOKUP(Table311[[#This Row],[UNIT NO.]],[1]!Table35711[[#Headers],[#Data],[Unit '#]:[Application/Sold/ Unsold]],7,0)</f>
        <v>#REF!</v>
      </c>
      <c r="S634" s="64"/>
    </row>
    <row r="635" spans="2:19" ht="26.25" x14ac:dyDescent="0.25">
      <c r="B635" s="5">
        <f t="shared" si="9"/>
        <v>632</v>
      </c>
      <c r="C635" s="29" t="s">
        <v>2084</v>
      </c>
      <c r="D635" s="6" t="s">
        <v>903</v>
      </c>
      <c r="E635" s="29" t="s">
        <v>2085</v>
      </c>
      <c r="F635" s="6">
        <v>1000</v>
      </c>
      <c r="G635" s="6" t="s">
        <v>26</v>
      </c>
      <c r="H635" s="6"/>
      <c r="I635" s="6"/>
      <c r="J635" s="6"/>
      <c r="K635" s="7">
        <v>41482</v>
      </c>
      <c r="L635" s="30">
        <v>2675000</v>
      </c>
      <c r="M635" s="30">
        <v>2626261</v>
      </c>
      <c r="N635" s="6" t="s">
        <v>30</v>
      </c>
      <c r="O635" s="31">
        <v>43103</v>
      </c>
      <c r="P635" s="32" t="e">
        <f>VLOOKUP(Table311[[#This Row],[UNIT NO.]],[1]!Table35711[[#Headers],[#Data],[Unit '#]:[Application/Sold/ Unsold]],7,0)</f>
        <v>#REF!</v>
      </c>
      <c r="S635" s="64"/>
    </row>
    <row r="636" spans="2:19" ht="26.25" x14ac:dyDescent="0.25">
      <c r="B636" s="5">
        <f t="shared" si="9"/>
        <v>633</v>
      </c>
      <c r="C636" s="29" t="s">
        <v>2086</v>
      </c>
      <c r="D636" s="6" t="s">
        <v>903</v>
      </c>
      <c r="E636" s="29" t="s">
        <v>2087</v>
      </c>
      <c r="F636" s="6">
        <v>1000</v>
      </c>
      <c r="G636" s="6" t="s">
        <v>26</v>
      </c>
      <c r="H636" s="6"/>
      <c r="I636" s="6"/>
      <c r="J636" s="6"/>
      <c r="K636" s="7">
        <v>41195</v>
      </c>
      <c r="L636" s="30">
        <v>2708140</v>
      </c>
      <c r="M636" s="30">
        <v>947850</v>
      </c>
      <c r="N636" s="6" t="s">
        <v>30</v>
      </c>
      <c r="O636" s="31">
        <v>43103</v>
      </c>
      <c r="P636" s="32" t="e">
        <f>VLOOKUP(Table311[[#This Row],[UNIT NO.]],[1]!Table35711[[#Headers],[#Data],[Unit '#]:[Application/Sold/ Unsold]],7,0)</f>
        <v>#REF!</v>
      </c>
      <c r="S636" s="64"/>
    </row>
    <row r="637" spans="2:19" ht="26.25" x14ac:dyDescent="0.25">
      <c r="B637" s="5">
        <f t="shared" si="9"/>
        <v>634</v>
      </c>
      <c r="C637" s="29" t="s">
        <v>2088</v>
      </c>
      <c r="D637" s="6" t="s">
        <v>903</v>
      </c>
      <c r="E637" s="29" t="s">
        <v>2089</v>
      </c>
      <c r="F637" s="6">
        <v>1000</v>
      </c>
      <c r="G637" s="6" t="s">
        <v>26</v>
      </c>
      <c r="H637" s="6"/>
      <c r="I637" s="6"/>
      <c r="J637" s="6"/>
      <c r="K637" s="7">
        <v>41288</v>
      </c>
      <c r="L637" s="30">
        <v>2856950</v>
      </c>
      <c r="M637" s="30">
        <v>2807577</v>
      </c>
      <c r="N637" s="6" t="s">
        <v>30</v>
      </c>
      <c r="O637" s="31">
        <v>43103</v>
      </c>
      <c r="P637" s="32" t="e">
        <f>VLOOKUP(Table311[[#This Row],[UNIT NO.]],[1]!Table35711[[#Headers],[#Data],[Unit '#]:[Application/Sold/ Unsold]],7,0)</f>
        <v>#REF!</v>
      </c>
      <c r="S637" s="64"/>
    </row>
    <row r="638" spans="2:19" ht="39" x14ac:dyDescent="0.25">
      <c r="B638" s="5">
        <f t="shared" si="9"/>
        <v>635</v>
      </c>
      <c r="C638" s="29" t="s">
        <v>2090</v>
      </c>
      <c r="D638" s="6" t="s">
        <v>903</v>
      </c>
      <c r="E638" s="29" t="s">
        <v>2091</v>
      </c>
      <c r="F638" s="6">
        <v>1000</v>
      </c>
      <c r="G638" s="6" t="s">
        <v>26</v>
      </c>
      <c r="H638" s="6"/>
      <c r="I638" s="6"/>
      <c r="J638" s="6"/>
      <c r="K638" s="7">
        <v>41175</v>
      </c>
      <c r="L638" s="30">
        <v>2890760</v>
      </c>
      <c r="M638" s="30">
        <v>1787030</v>
      </c>
      <c r="N638" s="6" t="s">
        <v>27</v>
      </c>
      <c r="O638" s="31">
        <v>43103</v>
      </c>
      <c r="P638" s="32" t="e">
        <f>VLOOKUP(Table311[[#This Row],[UNIT NO.]],[1]!Table35711[[#Headers],[#Data],[Unit '#]:[Application/Sold/ Unsold]],7,0)</f>
        <v>#REF!</v>
      </c>
      <c r="S638" s="64"/>
    </row>
    <row r="639" spans="2:19" ht="26.25" x14ac:dyDescent="0.25">
      <c r="B639" s="5">
        <f t="shared" si="9"/>
        <v>636</v>
      </c>
      <c r="C639" s="29" t="s">
        <v>2092</v>
      </c>
      <c r="D639" s="6" t="s">
        <v>903</v>
      </c>
      <c r="E639" s="29" t="s">
        <v>2093</v>
      </c>
      <c r="F639" s="6">
        <v>1000</v>
      </c>
      <c r="G639" s="6" t="s">
        <v>26</v>
      </c>
      <c r="H639" s="6"/>
      <c r="I639" s="6"/>
      <c r="J639" s="6"/>
      <c r="K639" s="7">
        <v>41557</v>
      </c>
      <c r="L639" s="30">
        <v>2783140</v>
      </c>
      <c r="M639" s="30">
        <v>974100</v>
      </c>
      <c r="N639" s="6" t="s">
        <v>30</v>
      </c>
      <c r="O639" s="31">
        <v>43103</v>
      </c>
      <c r="P639" s="32" t="e">
        <f>VLOOKUP(Table311[[#This Row],[UNIT NO.]],[1]!Table35711[[#Headers],[#Data],[Unit '#]:[Application/Sold/ Unsold]],7,0)</f>
        <v>#REF!</v>
      </c>
      <c r="S639" s="64"/>
    </row>
    <row r="640" spans="2:19" ht="26.25" x14ac:dyDescent="0.25">
      <c r="B640" s="5">
        <f t="shared" si="9"/>
        <v>637</v>
      </c>
      <c r="C640" s="29" t="s">
        <v>2094</v>
      </c>
      <c r="D640" s="6" t="s">
        <v>903</v>
      </c>
      <c r="E640" s="29" t="s">
        <v>2095</v>
      </c>
      <c r="F640" s="6">
        <v>1000</v>
      </c>
      <c r="G640" s="6" t="s">
        <v>26</v>
      </c>
      <c r="H640" s="6"/>
      <c r="I640" s="6"/>
      <c r="J640" s="6"/>
      <c r="K640" s="7">
        <v>41217</v>
      </c>
      <c r="L640" s="30">
        <v>2758140</v>
      </c>
      <c r="M640" s="30">
        <v>2710567</v>
      </c>
      <c r="N640" s="6" t="s">
        <v>30</v>
      </c>
      <c r="O640" s="31">
        <v>43103</v>
      </c>
      <c r="P640" s="32" t="e">
        <f>VLOOKUP(Table311[[#This Row],[UNIT NO.]],[1]!Table35711[[#Headers],[#Data],[Unit '#]:[Application/Sold/ Unsold]],7,0)</f>
        <v>#REF!</v>
      </c>
      <c r="S640" s="64"/>
    </row>
    <row r="641" spans="2:19" ht="26.25" x14ac:dyDescent="0.25">
      <c r="B641" s="5">
        <f t="shared" si="9"/>
        <v>638</v>
      </c>
      <c r="C641" s="29" t="s">
        <v>2096</v>
      </c>
      <c r="D641" s="6" t="s">
        <v>903</v>
      </c>
      <c r="E641" s="29" t="s">
        <v>2097</v>
      </c>
      <c r="F641" s="6">
        <v>1000</v>
      </c>
      <c r="G641" s="6" t="s">
        <v>26</v>
      </c>
      <c r="H641" s="6"/>
      <c r="I641" s="6"/>
      <c r="J641" s="6"/>
      <c r="K641" s="7">
        <v>41254</v>
      </c>
      <c r="L641" s="30">
        <v>2786950</v>
      </c>
      <c r="M641" s="30">
        <v>2738853</v>
      </c>
      <c r="N641" s="6" t="s">
        <v>30</v>
      </c>
      <c r="O641" s="31">
        <v>43103</v>
      </c>
      <c r="P641" s="32" t="e">
        <f>VLOOKUP(Table311[[#This Row],[UNIT NO.]],[1]!Table35711[[#Headers],[#Data],[Unit '#]:[Application/Sold/ Unsold]],7,0)</f>
        <v>#REF!</v>
      </c>
      <c r="S641" s="64"/>
    </row>
    <row r="642" spans="2:19" ht="26.25" x14ac:dyDescent="0.25">
      <c r="B642" s="5">
        <f t="shared" si="9"/>
        <v>639</v>
      </c>
      <c r="C642" s="29" t="s">
        <v>2098</v>
      </c>
      <c r="D642" s="6" t="s">
        <v>903</v>
      </c>
      <c r="E642" s="29" t="s">
        <v>2099</v>
      </c>
      <c r="F642" s="6">
        <v>1000</v>
      </c>
      <c r="G642" s="6" t="s">
        <v>26</v>
      </c>
      <c r="H642" s="6"/>
      <c r="I642" s="6"/>
      <c r="J642" s="6"/>
      <c r="K642" s="7">
        <v>41415</v>
      </c>
      <c r="L642" s="30">
        <v>3172300</v>
      </c>
      <c r="M642" s="30">
        <v>2230305</v>
      </c>
      <c r="N642" s="6" t="s">
        <v>57</v>
      </c>
      <c r="O642" s="31">
        <v>43103</v>
      </c>
      <c r="P642" s="32" t="e">
        <f>VLOOKUP(Table311[[#This Row],[UNIT NO.]],[1]!Table35711[[#Headers],[#Data],[Unit '#]:[Application/Sold/ Unsold]],7,0)</f>
        <v>#REF!</v>
      </c>
      <c r="S642" s="64"/>
    </row>
    <row r="643" spans="2:19" ht="26.25" x14ac:dyDescent="0.25">
      <c r="B643" s="5">
        <f t="shared" si="9"/>
        <v>640</v>
      </c>
      <c r="C643" s="29" t="s">
        <v>2100</v>
      </c>
      <c r="D643" s="6" t="s">
        <v>903</v>
      </c>
      <c r="E643" s="29" t="s">
        <v>2101</v>
      </c>
      <c r="F643" s="6">
        <v>1000</v>
      </c>
      <c r="G643" s="6" t="s">
        <v>26</v>
      </c>
      <c r="H643" s="6"/>
      <c r="I643" s="6"/>
      <c r="J643" s="6"/>
      <c r="K643" s="7">
        <v>41752</v>
      </c>
      <c r="L643" s="30">
        <v>3240000</v>
      </c>
      <c r="M643" s="30">
        <v>3225240</v>
      </c>
      <c r="N643" s="6" t="s">
        <v>30</v>
      </c>
      <c r="O643" s="31">
        <v>43103</v>
      </c>
      <c r="P643" s="32" t="e">
        <f>VLOOKUP(Table311[[#This Row],[UNIT NO.]],[1]!Table35711[[#Headers],[#Data],[Unit '#]:[Application/Sold/ Unsold]],7,0)</f>
        <v>#REF!</v>
      </c>
      <c r="S643" s="64"/>
    </row>
    <row r="644" spans="2:19" ht="26.25" x14ac:dyDescent="0.25">
      <c r="B644" s="5">
        <f t="shared" si="9"/>
        <v>641</v>
      </c>
      <c r="C644" s="29" t="s">
        <v>2102</v>
      </c>
      <c r="D644" s="6" t="s">
        <v>903</v>
      </c>
      <c r="E644" s="29" t="s">
        <v>2103</v>
      </c>
      <c r="F644" s="6">
        <v>1000</v>
      </c>
      <c r="G644" s="6" t="s">
        <v>26</v>
      </c>
      <c r="H644" s="6"/>
      <c r="I644" s="6"/>
      <c r="J644" s="6"/>
      <c r="K644" s="7">
        <v>41325</v>
      </c>
      <c r="L644" s="30">
        <v>2992045</v>
      </c>
      <c r="M644" s="30">
        <v>2505236</v>
      </c>
      <c r="N644" s="6" t="s">
        <v>27</v>
      </c>
      <c r="O644" s="31">
        <v>43103</v>
      </c>
      <c r="P644" s="32" t="e">
        <f>VLOOKUP(Table311[[#This Row],[UNIT NO.]],[1]!Table35711[[#Headers],[#Data],[Unit '#]:[Application/Sold/ Unsold]],7,0)</f>
        <v>#REF!</v>
      </c>
      <c r="S644" s="64"/>
    </row>
    <row r="645" spans="2:19" ht="26.25" x14ac:dyDescent="0.25">
      <c r="B645" s="5">
        <f t="shared" si="9"/>
        <v>642</v>
      </c>
      <c r="C645" s="29" t="s">
        <v>2104</v>
      </c>
      <c r="D645" s="6" t="s">
        <v>903</v>
      </c>
      <c r="E645" s="29" t="s">
        <v>2105</v>
      </c>
      <c r="F645" s="6">
        <v>1000</v>
      </c>
      <c r="G645" s="6" t="s">
        <v>26</v>
      </c>
      <c r="H645" s="6"/>
      <c r="I645" s="6"/>
      <c r="J645" s="6"/>
      <c r="K645" s="7">
        <v>41301</v>
      </c>
      <c r="L645" s="30">
        <v>2990000</v>
      </c>
      <c r="M645" s="30">
        <v>1345501</v>
      </c>
      <c r="N645" s="6" t="s">
        <v>30</v>
      </c>
      <c r="O645" s="31">
        <v>43103</v>
      </c>
      <c r="P645" s="32" t="e">
        <f>VLOOKUP(Table311[[#This Row],[UNIT NO.]],[1]!Table35711[[#Headers],[#Data],[Unit '#]:[Application/Sold/ Unsold]],7,0)</f>
        <v>#REF!</v>
      </c>
      <c r="S645" s="64"/>
    </row>
    <row r="646" spans="2:19" ht="26.25" x14ac:dyDescent="0.25">
      <c r="B646" s="5">
        <f t="shared" ref="B646:B709" si="10">B645+1</f>
        <v>643</v>
      </c>
      <c r="C646" s="29" t="s">
        <v>2106</v>
      </c>
      <c r="D646" s="6" t="s">
        <v>903</v>
      </c>
      <c r="E646" s="29" t="s">
        <v>2107</v>
      </c>
      <c r="F646" s="6">
        <v>1000</v>
      </c>
      <c r="G646" s="6" t="s">
        <v>26</v>
      </c>
      <c r="H646" s="6"/>
      <c r="I646" s="6"/>
      <c r="J646" s="6"/>
      <c r="K646" s="7">
        <v>41674</v>
      </c>
      <c r="L646" s="30">
        <v>3110250</v>
      </c>
      <c r="M646" s="30">
        <v>2681564</v>
      </c>
      <c r="N646" s="6" t="s">
        <v>27</v>
      </c>
      <c r="O646" s="31">
        <v>43103</v>
      </c>
      <c r="P646" s="32" t="e">
        <f>VLOOKUP(Table311[[#This Row],[UNIT NO.]],[1]!Table35711[[#Headers],[#Data],[Unit '#]:[Application/Sold/ Unsold]],7,0)</f>
        <v>#REF!</v>
      </c>
      <c r="S646" s="64"/>
    </row>
    <row r="647" spans="2:19" ht="26.25" x14ac:dyDescent="0.25">
      <c r="B647" s="5">
        <f t="shared" si="10"/>
        <v>644</v>
      </c>
      <c r="C647" s="29" t="s">
        <v>2108</v>
      </c>
      <c r="D647" s="6" t="s">
        <v>903</v>
      </c>
      <c r="E647" s="29" t="s">
        <v>2109</v>
      </c>
      <c r="F647" s="6">
        <v>1000</v>
      </c>
      <c r="G647" s="6" t="s">
        <v>26</v>
      </c>
      <c r="H647" s="6"/>
      <c r="I647" s="6"/>
      <c r="J647" s="6"/>
      <c r="K647" s="7">
        <v>41727</v>
      </c>
      <c r="L647" s="30">
        <v>3235250</v>
      </c>
      <c r="M647" s="30">
        <v>2759122</v>
      </c>
      <c r="N647" s="6" t="s">
        <v>416</v>
      </c>
      <c r="O647" s="31">
        <v>43103</v>
      </c>
      <c r="P647" s="32" t="e">
        <f>VLOOKUP(Table311[[#This Row],[UNIT NO.]],[1]!Table35711[[#Headers],[#Data],[Unit '#]:[Application/Sold/ Unsold]],7,0)</f>
        <v>#REF!</v>
      </c>
      <c r="S647" s="64"/>
    </row>
    <row r="648" spans="2:19" ht="26.25" x14ac:dyDescent="0.25">
      <c r="B648" s="5">
        <f t="shared" si="10"/>
        <v>645</v>
      </c>
      <c r="C648" s="29" t="s">
        <v>23</v>
      </c>
      <c r="D648" s="6" t="s">
        <v>903</v>
      </c>
      <c r="E648" s="29" t="s">
        <v>2110</v>
      </c>
      <c r="F648" s="6">
        <v>1000</v>
      </c>
      <c r="G648" s="6" t="s">
        <v>26</v>
      </c>
      <c r="H648" s="6"/>
      <c r="I648" s="6"/>
      <c r="J648" s="6"/>
      <c r="K648" s="7">
        <v>41342</v>
      </c>
      <c r="L648" s="30">
        <v>2852140</v>
      </c>
      <c r="M648" s="30">
        <v>2802854</v>
      </c>
      <c r="N648" s="6" t="s">
        <v>27</v>
      </c>
      <c r="O648" s="31">
        <v>43103</v>
      </c>
      <c r="P648" s="32" t="e">
        <f>VLOOKUP(Table311[[#This Row],[UNIT NO.]],[1]!Table35711[[#Headers],[#Data],[Unit '#]:[Application/Sold/ Unsold]],7,0)</f>
        <v>#REF!</v>
      </c>
      <c r="S648" s="64"/>
    </row>
    <row r="649" spans="2:19" ht="26.25" x14ac:dyDescent="0.25">
      <c r="B649" s="5">
        <f t="shared" si="10"/>
        <v>646</v>
      </c>
      <c r="C649" s="29" t="s">
        <v>2111</v>
      </c>
      <c r="D649" s="6" t="s">
        <v>903</v>
      </c>
      <c r="E649" s="29" t="s">
        <v>2112</v>
      </c>
      <c r="F649" s="6">
        <v>1000</v>
      </c>
      <c r="G649" s="6" t="s">
        <v>26</v>
      </c>
      <c r="H649" s="6"/>
      <c r="I649" s="6"/>
      <c r="J649" s="6"/>
      <c r="K649" s="7">
        <v>41266</v>
      </c>
      <c r="L649" s="30">
        <v>2876000</v>
      </c>
      <c r="M649" s="30">
        <v>575201</v>
      </c>
      <c r="N649" s="6" t="s">
        <v>30</v>
      </c>
      <c r="O649" s="31">
        <v>43103</v>
      </c>
      <c r="P649" s="32" t="e">
        <f>VLOOKUP(Table311[[#This Row],[UNIT NO.]],[1]!Table35711[[#Headers],[#Data],[Unit '#]:[Application/Sold/ Unsold]],7,0)</f>
        <v>#REF!</v>
      </c>
      <c r="S649" s="64"/>
    </row>
    <row r="650" spans="2:19" ht="26.25" x14ac:dyDescent="0.25">
      <c r="B650" s="5">
        <f t="shared" si="10"/>
        <v>647</v>
      </c>
      <c r="C650" s="29" t="s">
        <v>2113</v>
      </c>
      <c r="D650" s="6" t="s">
        <v>903</v>
      </c>
      <c r="E650" s="29" t="s">
        <v>2114</v>
      </c>
      <c r="F650" s="6">
        <v>1000</v>
      </c>
      <c r="G650" s="6" t="s">
        <v>26</v>
      </c>
      <c r="H650" s="6"/>
      <c r="I650" s="6"/>
      <c r="J650" s="6"/>
      <c r="K650" s="7">
        <v>41305</v>
      </c>
      <c r="L650" s="30">
        <v>2771985</v>
      </c>
      <c r="M650" s="30">
        <v>2636163</v>
      </c>
      <c r="N650" s="6" t="s">
        <v>30</v>
      </c>
      <c r="O650" s="31">
        <v>43103</v>
      </c>
      <c r="P650" s="32" t="e">
        <f>VLOOKUP(Table311[[#This Row],[UNIT NO.]],[1]!Table35711[[#Headers],[#Data],[Unit '#]:[Application/Sold/ Unsold]],7,0)</f>
        <v>#REF!</v>
      </c>
      <c r="S650" s="64"/>
    </row>
    <row r="651" spans="2:19" ht="26.25" x14ac:dyDescent="0.25">
      <c r="B651" s="5">
        <f t="shared" si="10"/>
        <v>648</v>
      </c>
      <c r="C651" s="29" t="s">
        <v>2115</v>
      </c>
      <c r="D651" s="6" t="s">
        <v>903</v>
      </c>
      <c r="E651" s="29" t="s">
        <v>2116</v>
      </c>
      <c r="F651" s="6">
        <v>1000</v>
      </c>
      <c r="G651" s="6" t="s">
        <v>26</v>
      </c>
      <c r="H651" s="6"/>
      <c r="I651" s="6"/>
      <c r="J651" s="6"/>
      <c r="K651" s="7">
        <v>41416</v>
      </c>
      <c r="L651" s="30">
        <v>2925000</v>
      </c>
      <c r="M651" s="30">
        <v>2658617</v>
      </c>
      <c r="N651" s="6" t="s">
        <v>30</v>
      </c>
      <c r="O651" s="31">
        <v>43103</v>
      </c>
      <c r="P651" s="32" t="e">
        <f>VLOOKUP(Table311[[#This Row],[UNIT NO.]],[1]!Table35711[[#Headers],[#Data],[Unit '#]:[Application/Sold/ Unsold]],7,0)</f>
        <v>#REF!</v>
      </c>
      <c r="S651" s="64"/>
    </row>
    <row r="652" spans="2:19" ht="26.25" x14ac:dyDescent="0.25">
      <c r="B652" s="5">
        <f t="shared" si="10"/>
        <v>649</v>
      </c>
      <c r="C652" s="29" t="s">
        <v>2117</v>
      </c>
      <c r="D652" s="6" t="s">
        <v>903</v>
      </c>
      <c r="E652" s="29" t="s">
        <v>2118</v>
      </c>
      <c r="F652" s="6">
        <v>1000</v>
      </c>
      <c r="G652" s="6" t="s">
        <v>26</v>
      </c>
      <c r="H652" s="6"/>
      <c r="I652" s="6"/>
      <c r="J652" s="6"/>
      <c r="K652" s="7">
        <v>41350</v>
      </c>
      <c r="L652" s="30">
        <v>2784450</v>
      </c>
      <c r="M652" s="30">
        <v>2733717</v>
      </c>
      <c r="N652" s="6" t="s">
        <v>27</v>
      </c>
      <c r="O652" s="31">
        <v>43103</v>
      </c>
      <c r="P652" s="32" t="e">
        <f>VLOOKUP(Table311[[#This Row],[UNIT NO.]],[1]!Table35711[[#Headers],[#Data],[Unit '#]:[Application/Sold/ Unsold]],7,0)</f>
        <v>#REF!</v>
      </c>
      <c r="S652" s="64"/>
    </row>
    <row r="653" spans="2:19" ht="26.25" x14ac:dyDescent="0.25">
      <c r="B653" s="5">
        <f t="shared" si="10"/>
        <v>650</v>
      </c>
      <c r="C653" s="29" t="s">
        <v>2119</v>
      </c>
      <c r="D653" s="6" t="s">
        <v>903</v>
      </c>
      <c r="E653" s="29" t="s">
        <v>2120</v>
      </c>
      <c r="F653" s="6">
        <v>1000</v>
      </c>
      <c r="G653" s="6" t="s">
        <v>26</v>
      </c>
      <c r="H653" s="6"/>
      <c r="I653" s="6"/>
      <c r="J653" s="6"/>
      <c r="K653" s="7">
        <v>41239</v>
      </c>
      <c r="L653" s="30">
        <v>2739450</v>
      </c>
      <c r="M653" s="30">
        <v>2337913</v>
      </c>
      <c r="N653" s="6" t="s">
        <v>46</v>
      </c>
      <c r="O653" s="31">
        <v>43103</v>
      </c>
      <c r="P653" s="32" t="e">
        <f>VLOOKUP(Table311[[#This Row],[UNIT NO.]],[1]!Table35711[[#Headers],[#Data],[Unit '#]:[Application/Sold/ Unsold]],7,0)</f>
        <v>#REF!</v>
      </c>
      <c r="S653" s="64"/>
    </row>
    <row r="654" spans="2:19" ht="26.25" x14ac:dyDescent="0.25">
      <c r="B654" s="5">
        <f t="shared" si="10"/>
        <v>651</v>
      </c>
      <c r="C654" s="29" t="s">
        <v>2121</v>
      </c>
      <c r="D654" s="6" t="s">
        <v>903</v>
      </c>
      <c r="E654" s="29" t="s">
        <v>2122</v>
      </c>
      <c r="F654" s="6">
        <v>1000</v>
      </c>
      <c r="G654" s="6" t="s">
        <v>26</v>
      </c>
      <c r="H654" s="6"/>
      <c r="I654" s="6"/>
      <c r="J654" s="6"/>
      <c r="K654" s="7">
        <v>41315</v>
      </c>
      <c r="L654" s="30">
        <v>2775000</v>
      </c>
      <c r="M654" s="30">
        <v>2726867</v>
      </c>
      <c r="N654" s="6" t="s">
        <v>46</v>
      </c>
      <c r="O654" s="31">
        <v>43103</v>
      </c>
      <c r="P654" s="32" t="e">
        <f>VLOOKUP(Table311[[#This Row],[UNIT NO.]],[1]!Table35711[[#Headers],[#Data],[Unit '#]:[Application/Sold/ Unsold]],7,0)</f>
        <v>#REF!</v>
      </c>
      <c r="S654" s="64"/>
    </row>
    <row r="655" spans="2:19" ht="39" x14ac:dyDescent="0.25">
      <c r="B655" s="5">
        <f t="shared" si="10"/>
        <v>652</v>
      </c>
      <c r="C655" s="29" t="s">
        <v>2123</v>
      </c>
      <c r="D655" s="6" t="s">
        <v>903</v>
      </c>
      <c r="E655" s="29" t="s">
        <v>2124</v>
      </c>
      <c r="F655" s="6">
        <v>1000</v>
      </c>
      <c r="G655" s="6" t="s">
        <v>26</v>
      </c>
      <c r="H655" s="6"/>
      <c r="I655" s="6"/>
      <c r="J655" s="6"/>
      <c r="K655" s="7">
        <v>41325</v>
      </c>
      <c r="L655" s="30">
        <v>2894795</v>
      </c>
      <c r="M655" s="30">
        <v>2843024</v>
      </c>
      <c r="N655" s="6" t="s">
        <v>27</v>
      </c>
      <c r="O655" s="31">
        <v>43103</v>
      </c>
      <c r="P655" s="32" t="e">
        <f>VLOOKUP(Table311[[#This Row],[UNIT NO.]],[1]!Table35711[[#Headers],[#Data],[Unit '#]:[Application/Sold/ Unsold]],7,0)</f>
        <v>#REF!</v>
      </c>
      <c r="S655" s="64"/>
    </row>
    <row r="656" spans="2:19" ht="26.25" x14ac:dyDescent="0.25">
      <c r="B656" s="5">
        <f t="shared" si="10"/>
        <v>653</v>
      </c>
      <c r="C656" s="29" t="s">
        <v>251</v>
      </c>
      <c r="D656" s="6" t="s">
        <v>903</v>
      </c>
      <c r="E656" s="29" t="s">
        <v>2125</v>
      </c>
      <c r="F656" s="6">
        <v>1000</v>
      </c>
      <c r="G656" s="6" t="s">
        <v>26</v>
      </c>
      <c r="H656" s="6"/>
      <c r="I656" s="6"/>
      <c r="J656" s="6"/>
      <c r="K656" s="7">
        <v>41369</v>
      </c>
      <c r="L656" s="30">
        <v>2945140</v>
      </c>
      <c r="M656" s="30">
        <v>2824636</v>
      </c>
      <c r="N656" s="6" t="s">
        <v>984</v>
      </c>
      <c r="O656" s="31">
        <v>43103</v>
      </c>
      <c r="P656" s="32" t="e">
        <f>VLOOKUP(Table311[[#This Row],[UNIT NO.]],[1]!Table35711[[#Headers],[#Data],[Unit '#]:[Application/Sold/ Unsold]],7,0)</f>
        <v>#REF!</v>
      </c>
      <c r="S656" s="64"/>
    </row>
    <row r="657" spans="2:19" ht="26.25" x14ac:dyDescent="0.25">
      <c r="B657" s="5">
        <f t="shared" si="10"/>
        <v>654</v>
      </c>
      <c r="C657" s="29" t="s">
        <v>839</v>
      </c>
      <c r="D657" s="6" t="s">
        <v>903</v>
      </c>
      <c r="E657" s="29" t="s">
        <v>2126</v>
      </c>
      <c r="F657" s="6">
        <v>1000</v>
      </c>
      <c r="G657" s="6" t="s">
        <v>26</v>
      </c>
      <c r="H657" s="6"/>
      <c r="I657" s="6"/>
      <c r="J657" s="6"/>
      <c r="K657" s="7">
        <v>41359</v>
      </c>
      <c r="L657" s="30">
        <v>2835000</v>
      </c>
      <c r="M657" s="30">
        <v>2693249</v>
      </c>
      <c r="N657" s="6" t="s">
        <v>57</v>
      </c>
      <c r="O657" s="31">
        <v>43103</v>
      </c>
      <c r="P657" s="32" t="e">
        <f>VLOOKUP(Table311[[#This Row],[UNIT NO.]],[1]!Table35711[[#Headers],[#Data],[Unit '#]:[Application/Sold/ Unsold]],7,0)</f>
        <v>#REF!</v>
      </c>
      <c r="S657" s="64"/>
    </row>
    <row r="658" spans="2:19" ht="26.25" x14ac:dyDescent="0.25">
      <c r="B658" s="5">
        <f t="shared" si="10"/>
        <v>655</v>
      </c>
      <c r="C658" s="29" t="s">
        <v>2127</v>
      </c>
      <c r="D658" s="6" t="s">
        <v>903</v>
      </c>
      <c r="E658" s="29" t="s">
        <v>2128</v>
      </c>
      <c r="F658" s="6">
        <v>1000</v>
      </c>
      <c r="G658" s="6" t="s">
        <v>26</v>
      </c>
      <c r="H658" s="6"/>
      <c r="I658" s="6"/>
      <c r="J658" s="6"/>
      <c r="K658" s="7">
        <v>41335</v>
      </c>
      <c r="L658" s="30">
        <v>2869795</v>
      </c>
      <c r="M658" s="30">
        <v>2429403</v>
      </c>
      <c r="N658" s="6" t="s">
        <v>27</v>
      </c>
      <c r="O658" s="31">
        <v>43103</v>
      </c>
      <c r="P658" s="32" t="e">
        <f>VLOOKUP(Table311[[#This Row],[UNIT NO.]],[1]!Table35711[[#Headers],[#Data],[Unit '#]:[Application/Sold/ Unsold]],7,0)</f>
        <v>#REF!</v>
      </c>
      <c r="S658" s="64"/>
    </row>
    <row r="659" spans="2:19" ht="39" x14ac:dyDescent="0.25">
      <c r="B659" s="5">
        <f t="shared" si="10"/>
        <v>656</v>
      </c>
      <c r="C659" s="29" t="s">
        <v>2129</v>
      </c>
      <c r="D659" s="6" t="s">
        <v>903</v>
      </c>
      <c r="E659" s="29" t="s">
        <v>2130</v>
      </c>
      <c r="F659" s="6">
        <v>1000</v>
      </c>
      <c r="G659" s="6" t="s">
        <v>26</v>
      </c>
      <c r="H659" s="6"/>
      <c r="I659" s="6"/>
      <c r="J659" s="6"/>
      <c r="K659" s="7">
        <v>41269</v>
      </c>
      <c r="L659" s="30">
        <v>2786985</v>
      </c>
      <c r="M659" s="30">
        <v>2248906</v>
      </c>
      <c r="N659" s="6" t="s">
        <v>30</v>
      </c>
      <c r="O659" s="31">
        <v>43103</v>
      </c>
      <c r="P659" s="32" t="e">
        <f>VLOOKUP(Table311[[#This Row],[UNIT NO.]],[1]!Table35711[[#Headers],[#Data],[Unit '#]:[Application/Sold/ Unsold]],7,0)</f>
        <v>#REF!</v>
      </c>
      <c r="S659" s="64"/>
    </row>
    <row r="660" spans="2:19" ht="26.25" x14ac:dyDescent="0.25">
      <c r="B660" s="5">
        <f t="shared" si="10"/>
        <v>657</v>
      </c>
      <c r="C660" s="29" t="s">
        <v>2131</v>
      </c>
      <c r="D660" s="6" t="s">
        <v>903</v>
      </c>
      <c r="E660" s="29" t="s">
        <v>2132</v>
      </c>
      <c r="F660" s="6">
        <v>1000</v>
      </c>
      <c r="G660" s="6" t="s">
        <v>26</v>
      </c>
      <c r="H660" s="6"/>
      <c r="I660" s="6"/>
      <c r="J660" s="6"/>
      <c r="K660" s="7">
        <v>41600</v>
      </c>
      <c r="L660" s="30">
        <v>3080000</v>
      </c>
      <c r="M660" s="30">
        <v>1718166</v>
      </c>
      <c r="N660" s="6" t="s">
        <v>46</v>
      </c>
      <c r="O660" s="31">
        <v>43103</v>
      </c>
      <c r="P660" s="32" t="e">
        <f>VLOOKUP(Table311[[#This Row],[UNIT NO.]],[1]!Table35711[[#Headers],[#Data],[Unit '#]:[Application/Sold/ Unsold]],7,0)</f>
        <v>#REF!</v>
      </c>
      <c r="S660" s="64"/>
    </row>
    <row r="661" spans="2:19" ht="26.25" x14ac:dyDescent="0.25">
      <c r="B661" s="5">
        <f t="shared" si="10"/>
        <v>658</v>
      </c>
      <c r="C661" s="29" t="s">
        <v>2133</v>
      </c>
      <c r="D661" s="6" t="s">
        <v>903</v>
      </c>
      <c r="E661" s="29" t="s">
        <v>2134</v>
      </c>
      <c r="F661" s="6">
        <v>1000</v>
      </c>
      <c r="G661" s="6" t="s">
        <v>26</v>
      </c>
      <c r="H661" s="6"/>
      <c r="I661" s="6"/>
      <c r="J661" s="6"/>
      <c r="K661" s="7">
        <v>41289</v>
      </c>
      <c r="L661" s="30">
        <v>2800295</v>
      </c>
      <c r="M661" s="30">
        <v>1037105</v>
      </c>
      <c r="N661" s="6" t="s">
        <v>27</v>
      </c>
      <c r="O661" s="31">
        <v>43103</v>
      </c>
      <c r="P661" s="32" t="e">
        <f>VLOOKUP(Table311[[#This Row],[UNIT NO.]],[1]!Table35711[[#Headers],[#Data],[Unit '#]:[Application/Sold/ Unsold]],7,0)</f>
        <v>#REF!</v>
      </c>
      <c r="S661" s="64"/>
    </row>
    <row r="662" spans="2:19" x14ac:dyDescent="0.25">
      <c r="B662" s="5">
        <f t="shared" si="10"/>
        <v>659</v>
      </c>
      <c r="C662" s="29" t="s">
        <v>2135</v>
      </c>
      <c r="D662" s="6" t="s">
        <v>903</v>
      </c>
      <c r="E662" s="29" t="s">
        <v>2136</v>
      </c>
      <c r="F662" s="6">
        <v>1000</v>
      </c>
      <c r="G662" s="6" t="s">
        <v>26</v>
      </c>
      <c r="H662" s="6"/>
      <c r="I662" s="6"/>
      <c r="J662" s="6"/>
      <c r="K662" s="7">
        <v>41443</v>
      </c>
      <c r="L662" s="30">
        <v>2675295</v>
      </c>
      <c r="M662" s="30">
        <v>2626554</v>
      </c>
      <c r="N662" s="6" t="s">
        <v>30</v>
      </c>
      <c r="O662" s="31">
        <v>43103</v>
      </c>
      <c r="P662" s="32" t="e">
        <f>VLOOKUP(Table311[[#This Row],[UNIT NO.]],[1]!Table35711[[#Headers],[#Data],[Unit '#]:[Application/Sold/ Unsold]],7,0)</f>
        <v>#REF!</v>
      </c>
      <c r="S662" s="64"/>
    </row>
    <row r="663" spans="2:19" ht="26.25" x14ac:dyDescent="0.25">
      <c r="B663" s="5">
        <f t="shared" si="10"/>
        <v>660</v>
      </c>
      <c r="C663" s="29" t="s">
        <v>2137</v>
      </c>
      <c r="D663" s="6" t="s">
        <v>903</v>
      </c>
      <c r="E663" s="29" t="s">
        <v>2138</v>
      </c>
      <c r="F663" s="6">
        <v>1000</v>
      </c>
      <c r="G663" s="6" t="s">
        <v>26</v>
      </c>
      <c r="H663" s="6"/>
      <c r="I663" s="6"/>
      <c r="J663" s="6"/>
      <c r="K663" s="7">
        <v>41300</v>
      </c>
      <c r="L663" s="30">
        <v>2767760</v>
      </c>
      <c r="M663" s="30">
        <v>2493338</v>
      </c>
      <c r="N663" s="6" t="s">
        <v>144</v>
      </c>
      <c r="O663" s="31">
        <v>43103</v>
      </c>
      <c r="P663" s="32" t="e">
        <f>VLOOKUP(Table311[[#This Row],[UNIT NO.]],[1]!Table35711[[#Headers],[#Data],[Unit '#]:[Application/Sold/ Unsold]],7,0)</f>
        <v>#REF!</v>
      </c>
      <c r="S663" s="64"/>
    </row>
    <row r="664" spans="2:19" ht="26.25" x14ac:dyDescent="0.25">
      <c r="B664" s="5">
        <f t="shared" si="10"/>
        <v>661</v>
      </c>
      <c r="C664" s="29" t="s">
        <v>2139</v>
      </c>
      <c r="D664" s="6" t="s">
        <v>903</v>
      </c>
      <c r="E664" s="29" t="s">
        <v>2140</v>
      </c>
      <c r="F664" s="6">
        <v>1000</v>
      </c>
      <c r="G664" s="6" t="s">
        <v>26</v>
      </c>
      <c r="H664" s="6"/>
      <c r="I664" s="6"/>
      <c r="J664" s="6"/>
      <c r="K664" s="7">
        <v>41674</v>
      </c>
      <c r="L664" s="30">
        <v>3164000</v>
      </c>
      <c r="M664" s="30">
        <v>2722844</v>
      </c>
      <c r="N664" s="6" t="s">
        <v>27</v>
      </c>
      <c r="O664" s="31">
        <v>43103</v>
      </c>
      <c r="P664" s="32" t="e">
        <f>VLOOKUP(Table311[[#This Row],[UNIT NO.]],[1]!Table35711[[#Headers],[#Data],[Unit '#]:[Application/Sold/ Unsold]],7,0)</f>
        <v>#REF!</v>
      </c>
      <c r="S664" s="64"/>
    </row>
    <row r="665" spans="2:19" ht="26.25" x14ac:dyDescent="0.25">
      <c r="B665" s="5">
        <f t="shared" si="10"/>
        <v>662</v>
      </c>
      <c r="C665" s="29" t="s">
        <v>2141</v>
      </c>
      <c r="D665" s="6" t="s">
        <v>903</v>
      </c>
      <c r="E665" s="29" t="s">
        <v>2142</v>
      </c>
      <c r="F665" s="6">
        <v>1000</v>
      </c>
      <c r="G665" s="6" t="s">
        <v>26</v>
      </c>
      <c r="H665" s="6"/>
      <c r="I665" s="6"/>
      <c r="J665" s="6"/>
      <c r="K665" s="7">
        <v>41557</v>
      </c>
      <c r="L665" s="30">
        <v>3151000</v>
      </c>
      <c r="M665" s="30">
        <v>3097255</v>
      </c>
      <c r="N665" s="6" t="s">
        <v>46</v>
      </c>
      <c r="O665" s="31">
        <v>43103</v>
      </c>
      <c r="P665" s="32" t="e">
        <f>VLOOKUP(Table311[[#This Row],[UNIT NO.]],[1]!Table35711[[#Headers],[#Data],[Unit '#]:[Application/Sold/ Unsold]],7,0)</f>
        <v>#REF!</v>
      </c>
      <c r="S665" s="64"/>
    </row>
    <row r="666" spans="2:19" ht="26.25" x14ac:dyDescent="0.25">
      <c r="B666" s="5">
        <f t="shared" si="10"/>
        <v>663</v>
      </c>
      <c r="C666" s="29" t="s">
        <v>2143</v>
      </c>
      <c r="D666" s="6" t="s">
        <v>903</v>
      </c>
      <c r="E666" s="29" t="s">
        <v>2144</v>
      </c>
      <c r="F666" s="6">
        <v>1000</v>
      </c>
      <c r="G666" s="6" t="s">
        <v>26</v>
      </c>
      <c r="H666" s="6"/>
      <c r="I666" s="6"/>
      <c r="J666" s="6"/>
      <c r="K666" s="7">
        <v>41169</v>
      </c>
      <c r="L666" s="30">
        <v>2636250</v>
      </c>
      <c r="M666" s="30">
        <v>2507306</v>
      </c>
      <c r="N666" s="6" t="s">
        <v>27</v>
      </c>
      <c r="O666" s="31">
        <v>43103</v>
      </c>
      <c r="P666" s="32" t="e">
        <f>VLOOKUP(Table311[[#This Row],[UNIT NO.]],[1]!Table35711[[#Headers],[#Data],[Unit '#]:[Application/Sold/ Unsold]],7,0)</f>
        <v>#REF!</v>
      </c>
      <c r="S666" s="64"/>
    </row>
    <row r="667" spans="2:19" ht="26.25" x14ac:dyDescent="0.25">
      <c r="B667" s="5">
        <f t="shared" si="10"/>
        <v>664</v>
      </c>
      <c r="C667" s="29" t="s">
        <v>315</v>
      </c>
      <c r="D667" s="6" t="s">
        <v>903</v>
      </c>
      <c r="E667" s="29" t="s">
        <v>2145</v>
      </c>
      <c r="F667" s="6">
        <v>1000</v>
      </c>
      <c r="G667" s="6" t="s">
        <v>26</v>
      </c>
      <c r="H667" s="6"/>
      <c r="I667" s="6"/>
      <c r="J667" s="6"/>
      <c r="K667" s="7">
        <v>42459</v>
      </c>
      <c r="L667" s="30">
        <v>3136000</v>
      </c>
      <c r="M667" s="30">
        <v>2744167</v>
      </c>
      <c r="N667" s="6" t="s">
        <v>46</v>
      </c>
      <c r="O667" s="31">
        <v>43103</v>
      </c>
      <c r="P667" s="32" t="e">
        <f>VLOOKUP(Table311[[#This Row],[UNIT NO.]],[1]!Table35711[[#Headers],[#Data],[Unit '#]:[Application/Sold/ Unsold]],7,0)</f>
        <v>#REF!</v>
      </c>
      <c r="S667" s="64"/>
    </row>
    <row r="668" spans="2:19" ht="26.25" x14ac:dyDescent="0.25">
      <c r="B668" s="5">
        <f t="shared" si="10"/>
        <v>665</v>
      </c>
      <c r="C668" s="29" t="s">
        <v>2146</v>
      </c>
      <c r="D668" s="6" t="s">
        <v>903</v>
      </c>
      <c r="E668" s="29" t="s">
        <v>2147</v>
      </c>
      <c r="F668" s="6">
        <v>1000</v>
      </c>
      <c r="G668" s="6" t="s">
        <v>26</v>
      </c>
      <c r="H668" s="6"/>
      <c r="I668" s="6"/>
      <c r="J668" s="6"/>
      <c r="K668" s="7">
        <v>42384</v>
      </c>
      <c r="L668" s="30">
        <v>3600000</v>
      </c>
      <c r="M668" s="30">
        <v>3554305</v>
      </c>
      <c r="N668" s="6" t="s">
        <v>46</v>
      </c>
      <c r="O668" s="31">
        <v>43103</v>
      </c>
      <c r="P668" s="32" t="e">
        <f>VLOOKUP(Table311[[#This Row],[UNIT NO.]],[1]!Table35711[[#Headers],[#Data],[Unit '#]:[Application/Sold/ Unsold]],7,0)</f>
        <v>#REF!</v>
      </c>
      <c r="S668" s="64"/>
    </row>
    <row r="669" spans="2:19" ht="26.25" x14ac:dyDescent="0.25">
      <c r="B669" s="5">
        <f t="shared" si="10"/>
        <v>666</v>
      </c>
      <c r="C669" s="29" t="s">
        <v>2148</v>
      </c>
      <c r="D669" s="6" t="s">
        <v>903</v>
      </c>
      <c r="E669" s="29" t="s">
        <v>2149</v>
      </c>
      <c r="F669" s="6">
        <v>1000</v>
      </c>
      <c r="G669" s="6" t="s">
        <v>26</v>
      </c>
      <c r="H669" s="6"/>
      <c r="I669" s="6"/>
      <c r="J669" s="6"/>
      <c r="K669" s="7">
        <v>41344</v>
      </c>
      <c r="L669" s="30">
        <v>2797545</v>
      </c>
      <c r="M669" s="30">
        <v>2567622</v>
      </c>
      <c r="N669" s="6" t="s">
        <v>144</v>
      </c>
      <c r="O669" s="31">
        <v>43103</v>
      </c>
      <c r="P669" s="32" t="e">
        <f>VLOOKUP(Table311[[#This Row],[UNIT NO.]],[1]!Table35711[[#Headers],[#Data],[Unit '#]:[Application/Sold/ Unsold]],7,0)</f>
        <v>#REF!</v>
      </c>
      <c r="S669" s="64"/>
    </row>
    <row r="670" spans="2:19" ht="26.25" x14ac:dyDescent="0.25">
      <c r="B670" s="5">
        <f t="shared" si="10"/>
        <v>667</v>
      </c>
      <c r="C670" s="29" t="s">
        <v>2150</v>
      </c>
      <c r="D670" s="6" t="s">
        <v>903</v>
      </c>
      <c r="E670" s="29" t="s">
        <v>2151</v>
      </c>
      <c r="F670" s="6">
        <v>1000</v>
      </c>
      <c r="G670" s="6" t="s">
        <v>26</v>
      </c>
      <c r="H670" s="6"/>
      <c r="I670" s="6"/>
      <c r="J670" s="6"/>
      <c r="K670" s="7">
        <v>41205</v>
      </c>
      <c r="L670" s="30">
        <v>2833140</v>
      </c>
      <c r="M670" s="30">
        <v>2737640</v>
      </c>
      <c r="N670" s="6" t="s">
        <v>27</v>
      </c>
      <c r="O670" s="31">
        <v>43103</v>
      </c>
      <c r="P670" s="32" t="e">
        <f>VLOOKUP(Table311[[#This Row],[UNIT NO.]],[1]!Table35711[[#Headers],[#Data],[Unit '#]:[Application/Sold/ Unsold]],7,0)</f>
        <v>#REF!</v>
      </c>
      <c r="S670" s="64"/>
    </row>
    <row r="671" spans="2:19" ht="26.25" x14ac:dyDescent="0.25">
      <c r="B671" s="5">
        <f t="shared" si="10"/>
        <v>668</v>
      </c>
      <c r="C671" s="29" t="s">
        <v>2152</v>
      </c>
      <c r="D671" s="6" t="s">
        <v>903</v>
      </c>
      <c r="E671" s="29" t="s">
        <v>2153</v>
      </c>
      <c r="F671" s="6">
        <v>1000</v>
      </c>
      <c r="G671" s="6" t="s">
        <v>26</v>
      </c>
      <c r="H671" s="6"/>
      <c r="I671" s="6"/>
      <c r="J671" s="6"/>
      <c r="K671" s="7">
        <v>41344</v>
      </c>
      <c r="L671" s="30">
        <v>2840760</v>
      </c>
      <c r="M671" s="30">
        <v>2840760</v>
      </c>
      <c r="N671" s="6" t="s">
        <v>30</v>
      </c>
      <c r="O671" s="31">
        <v>43103</v>
      </c>
      <c r="P671" s="32" t="e">
        <f>VLOOKUP(Table311[[#This Row],[UNIT NO.]],[1]!Table35711[[#Headers],[#Data],[Unit '#]:[Application/Sold/ Unsold]],7,0)</f>
        <v>#REF!</v>
      </c>
      <c r="S671" s="64"/>
    </row>
    <row r="672" spans="2:19" ht="26.25" x14ac:dyDescent="0.25">
      <c r="B672" s="5">
        <f t="shared" si="10"/>
        <v>669</v>
      </c>
      <c r="C672" s="29" t="s">
        <v>2154</v>
      </c>
      <c r="D672" s="6" t="s">
        <v>903</v>
      </c>
      <c r="E672" s="29" t="s">
        <v>2155</v>
      </c>
      <c r="F672" s="6">
        <v>1000</v>
      </c>
      <c r="G672" s="6" t="s">
        <v>26</v>
      </c>
      <c r="H672" s="6"/>
      <c r="I672" s="6"/>
      <c r="J672" s="6"/>
      <c r="K672" s="7">
        <v>41224</v>
      </c>
      <c r="L672" s="30">
        <v>2794760</v>
      </c>
      <c r="M672" s="30">
        <v>2677417</v>
      </c>
      <c r="N672" s="6" t="s">
        <v>144</v>
      </c>
      <c r="O672" s="31">
        <v>43103</v>
      </c>
      <c r="P672" s="32" t="e">
        <f>VLOOKUP(Table311[[#This Row],[UNIT NO.]],[1]!Table35711[[#Headers],[#Data],[Unit '#]:[Application/Sold/ Unsold]],7,0)</f>
        <v>#REF!</v>
      </c>
      <c r="S672" s="64"/>
    </row>
    <row r="673" spans="2:19" ht="26.25" x14ac:dyDescent="0.25">
      <c r="B673" s="5">
        <f t="shared" si="10"/>
        <v>670</v>
      </c>
      <c r="C673" s="29" t="s">
        <v>2156</v>
      </c>
      <c r="D673" s="6" t="s">
        <v>903</v>
      </c>
      <c r="E673" s="29" t="s">
        <v>2157</v>
      </c>
      <c r="F673" s="6">
        <v>1000</v>
      </c>
      <c r="G673" s="6" t="s">
        <v>26</v>
      </c>
      <c r="H673" s="6"/>
      <c r="I673" s="6"/>
      <c r="J673" s="6"/>
      <c r="K673" s="7">
        <v>41268</v>
      </c>
      <c r="L673" s="30">
        <v>2731000</v>
      </c>
      <c r="M673" s="30">
        <v>2686603</v>
      </c>
      <c r="N673" s="6" t="s">
        <v>30</v>
      </c>
      <c r="O673" s="31">
        <v>43103</v>
      </c>
      <c r="P673" s="32" t="e">
        <f>VLOOKUP(Table311[[#This Row],[UNIT NO.]],[1]!Table35711[[#Headers],[#Data],[Unit '#]:[Application/Sold/ Unsold]],7,0)</f>
        <v>#REF!</v>
      </c>
      <c r="S673" s="64"/>
    </row>
    <row r="674" spans="2:19" ht="39" x14ac:dyDescent="0.25">
      <c r="B674" s="5">
        <f t="shared" si="10"/>
        <v>671</v>
      </c>
      <c r="C674" s="29" t="s">
        <v>2158</v>
      </c>
      <c r="D674" s="6" t="s">
        <v>903</v>
      </c>
      <c r="E674" s="29" t="s">
        <v>2159</v>
      </c>
      <c r="F674" s="6">
        <v>1000</v>
      </c>
      <c r="G674" s="6" t="s">
        <v>26</v>
      </c>
      <c r="H674" s="6"/>
      <c r="I674" s="6"/>
      <c r="J674" s="6"/>
      <c r="K674" s="7">
        <v>41776</v>
      </c>
      <c r="L674" s="30">
        <v>3181475</v>
      </c>
      <c r="M674" s="30">
        <v>2925933</v>
      </c>
      <c r="N674" s="6" t="s">
        <v>30</v>
      </c>
      <c r="O674" s="31">
        <v>43103</v>
      </c>
      <c r="P674" s="32" t="e">
        <f>VLOOKUP(Table311[[#This Row],[UNIT NO.]],[1]!Table35711[[#Headers],[#Data],[Unit '#]:[Application/Sold/ Unsold]],7,0)</f>
        <v>#REF!</v>
      </c>
      <c r="S674" s="64"/>
    </row>
    <row r="675" spans="2:19" ht="26.25" x14ac:dyDescent="0.25">
      <c r="B675" s="5">
        <f t="shared" si="10"/>
        <v>672</v>
      </c>
      <c r="C675" s="29" t="s">
        <v>2160</v>
      </c>
      <c r="D675" s="6" t="s">
        <v>903</v>
      </c>
      <c r="E675" s="29" t="s">
        <v>2161</v>
      </c>
      <c r="F675" s="6">
        <v>1000</v>
      </c>
      <c r="G675" s="6" t="s">
        <v>26</v>
      </c>
      <c r="H675" s="6"/>
      <c r="I675" s="6"/>
      <c r="J675" s="6"/>
      <c r="K675" s="7">
        <v>41323</v>
      </c>
      <c r="L675" s="30">
        <v>2720000</v>
      </c>
      <c r="M675" s="30">
        <v>2302276</v>
      </c>
      <c r="N675" s="6" t="s">
        <v>30</v>
      </c>
      <c r="O675" s="31">
        <v>43103</v>
      </c>
      <c r="P675" s="32" t="e">
        <f>VLOOKUP(Table311[[#This Row],[UNIT NO.]],[1]!Table35711[[#Headers],[#Data],[Unit '#]:[Application/Sold/ Unsold]],7,0)</f>
        <v>#REF!</v>
      </c>
      <c r="S675" s="64"/>
    </row>
    <row r="676" spans="2:19" ht="39" x14ac:dyDescent="0.25">
      <c r="B676" s="5">
        <f t="shared" si="10"/>
        <v>673</v>
      </c>
      <c r="C676" s="29" t="s">
        <v>2162</v>
      </c>
      <c r="D676" s="6" t="s">
        <v>903</v>
      </c>
      <c r="E676" s="29" t="s">
        <v>2163</v>
      </c>
      <c r="F676" s="6">
        <v>1000</v>
      </c>
      <c r="G676" s="6" t="s">
        <v>26</v>
      </c>
      <c r="H676" s="6"/>
      <c r="I676" s="6"/>
      <c r="J676" s="6"/>
      <c r="K676" s="7">
        <v>41260</v>
      </c>
      <c r="L676" s="30">
        <v>2831000</v>
      </c>
      <c r="M676" s="30">
        <v>1557557</v>
      </c>
      <c r="N676" s="6" t="s">
        <v>30</v>
      </c>
      <c r="O676" s="31">
        <v>43103</v>
      </c>
      <c r="P676" s="32" t="e">
        <f>VLOOKUP(Table311[[#This Row],[UNIT NO.]],[1]!Table35711[[#Headers],[#Data],[Unit '#]:[Application/Sold/ Unsold]],7,0)</f>
        <v>#REF!</v>
      </c>
      <c r="S676" s="64"/>
    </row>
    <row r="677" spans="2:19" ht="26.25" x14ac:dyDescent="0.25">
      <c r="B677" s="5">
        <f t="shared" si="10"/>
        <v>674</v>
      </c>
      <c r="C677" s="29" t="s">
        <v>2164</v>
      </c>
      <c r="D677" s="6" t="s">
        <v>903</v>
      </c>
      <c r="E677" s="29" t="s">
        <v>2165</v>
      </c>
      <c r="F677" s="6">
        <v>1000</v>
      </c>
      <c r="G677" s="6" t="s">
        <v>26</v>
      </c>
      <c r="H677" s="6"/>
      <c r="I677" s="6"/>
      <c r="J677" s="6"/>
      <c r="K677" s="7">
        <v>41247</v>
      </c>
      <c r="L677" s="30">
        <v>2703045</v>
      </c>
      <c r="M677" s="30">
        <v>2652687</v>
      </c>
      <c r="N677" s="6" t="s">
        <v>30</v>
      </c>
      <c r="O677" s="31">
        <v>43103</v>
      </c>
      <c r="P677" s="32" t="e">
        <f>VLOOKUP(Table311[[#This Row],[UNIT NO.]],[1]!Table35711[[#Headers],[#Data],[Unit '#]:[Application/Sold/ Unsold]],7,0)</f>
        <v>#REF!</v>
      </c>
      <c r="S677" s="64"/>
    </row>
    <row r="678" spans="2:19" ht="26.25" x14ac:dyDescent="0.25">
      <c r="B678" s="5">
        <f t="shared" si="10"/>
        <v>675</v>
      </c>
      <c r="C678" s="29" t="s">
        <v>2166</v>
      </c>
      <c r="D678" s="6" t="s">
        <v>903</v>
      </c>
      <c r="E678" s="29" t="s">
        <v>2167</v>
      </c>
      <c r="F678" s="6">
        <v>1000</v>
      </c>
      <c r="G678" s="6" t="s">
        <v>26</v>
      </c>
      <c r="H678" s="6"/>
      <c r="I678" s="6"/>
      <c r="J678" s="6"/>
      <c r="K678" s="7">
        <v>41251</v>
      </c>
      <c r="L678" s="30">
        <v>2753000</v>
      </c>
      <c r="M678" s="30">
        <v>2705521</v>
      </c>
      <c r="N678" s="6" t="s">
        <v>30</v>
      </c>
      <c r="O678" s="31">
        <v>43103</v>
      </c>
      <c r="P678" s="32" t="e">
        <f>VLOOKUP(Table311[[#This Row],[UNIT NO.]],[1]!Table35711[[#Headers],[#Data],[Unit '#]:[Application/Sold/ Unsold]],7,0)</f>
        <v>#REF!</v>
      </c>
      <c r="S678" s="64"/>
    </row>
    <row r="679" spans="2:19" ht="39" x14ac:dyDescent="0.25">
      <c r="B679" s="5">
        <f t="shared" si="10"/>
        <v>676</v>
      </c>
      <c r="C679" s="29" t="s">
        <v>2168</v>
      </c>
      <c r="D679" s="6" t="s">
        <v>903</v>
      </c>
      <c r="E679" s="29" t="s">
        <v>2169</v>
      </c>
      <c r="F679" s="6">
        <v>1000</v>
      </c>
      <c r="G679" s="6" t="s">
        <v>26</v>
      </c>
      <c r="H679" s="6"/>
      <c r="I679" s="6"/>
      <c r="J679" s="6"/>
      <c r="K679" s="7">
        <v>41418</v>
      </c>
      <c r="L679" s="30">
        <v>2807250</v>
      </c>
      <c r="M679" s="30">
        <v>2756096</v>
      </c>
      <c r="N679" s="6" t="s">
        <v>984</v>
      </c>
      <c r="O679" s="31">
        <v>43103</v>
      </c>
      <c r="P679" s="32" t="e">
        <f>VLOOKUP(Table311[[#This Row],[UNIT NO.]],[1]!Table35711[[#Headers],[#Data],[Unit '#]:[Application/Sold/ Unsold]],7,0)</f>
        <v>#REF!</v>
      </c>
      <c r="S679" s="64"/>
    </row>
    <row r="680" spans="2:19" ht="26.25" x14ac:dyDescent="0.25">
      <c r="B680" s="5">
        <f t="shared" si="10"/>
        <v>677</v>
      </c>
      <c r="C680" s="29" t="s">
        <v>2170</v>
      </c>
      <c r="D680" s="6" t="s">
        <v>903</v>
      </c>
      <c r="E680" s="29" t="s">
        <v>2171</v>
      </c>
      <c r="F680" s="6">
        <v>1000</v>
      </c>
      <c r="G680" s="6" t="s">
        <v>26</v>
      </c>
      <c r="H680" s="6"/>
      <c r="I680" s="6"/>
      <c r="J680" s="6"/>
      <c r="K680" s="7">
        <v>41240</v>
      </c>
      <c r="L680" s="30">
        <v>2691950</v>
      </c>
      <c r="M680" s="30">
        <v>2645583</v>
      </c>
      <c r="N680" s="6" t="s">
        <v>39</v>
      </c>
      <c r="O680" s="31">
        <v>43103</v>
      </c>
      <c r="P680" s="32" t="e">
        <f>VLOOKUP(Table311[[#This Row],[UNIT NO.]],[1]!Table35711[[#Headers],[#Data],[Unit '#]:[Application/Sold/ Unsold]],7,0)</f>
        <v>#REF!</v>
      </c>
      <c r="S680" s="64"/>
    </row>
    <row r="681" spans="2:19" ht="26.25" x14ac:dyDescent="0.25">
      <c r="B681" s="5">
        <f t="shared" si="10"/>
        <v>678</v>
      </c>
      <c r="C681" s="29" t="s">
        <v>2172</v>
      </c>
      <c r="D681" s="6" t="s">
        <v>903</v>
      </c>
      <c r="E681" s="29" t="s">
        <v>2173</v>
      </c>
      <c r="F681" s="6">
        <v>1000</v>
      </c>
      <c r="G681" s="6" t="s">
        <v>26</v>
      </c>
      <c r="H681" s="6"/>
      <c r="I681" s="6"/>
      <c r="J681" s="6"/>
      <c r="K681" s="7">
        <v>41682</v>
      </c>
      <c r="L681" s="30">
        <v>3074750</v>
      </c>
      <c r="M681" s="30">
        <v>2622019</v>
      </c>
      <c r="N681" s="6" t="s">
        <v>39</v>
      </c>
      <c r="O681" s="31">
        <v>43103</v>
      </c>
      <c r="P681" s="32" t="e">
        <f>VLOOKUP(Table311[[#This Row],[UNIT NO.]],[1]!Table35711[[#Headers],[#Data],[Unit '#]:[Application/Sold/ Unsold]],7,0)</f>
        <v>#REF!</v>
      </c>
      <c r="S681" s="64"/>
    </row>
    <row r="682" spans="2:19" ht="26.25" x14ac:dyDescent="0.25">
      <c r="B682" s="5">
        <f t="shared" si="10"/>
        <v>679</v>
      </c>
      <c r="C682" s="29" t="s">
        <v>2174</v>
      </c>
      <c r="D682" s="6" t="s">
        <v>903</v>
      </c>
      <c r="E682" s="29" t="s">
        <v>2175</v>
      </c>
      <c r="F682" s="6">
        <v>1000</v>
      </c>
      <c r="G682" s="6" t="s">
        <v>26</v>
      </c>
      <c r="H682" s="6"/>
      <c r="I682" s="6"/>
      <c r="J682" s="6"/>
      <c r="K682" s="7">
        <v>41344</v>
      </c>
      <c r="L682" s="30">
        <v>2217545</v>
      </c>
      <c r="M682" s="30">
        <v>2217545</v>
      </c>
      <c r="N682" s="6" t="s">
        <v>30</v>
      </c>
      <c r="O682" s="31">
        <v>43103</v>
      </c>
      <c r="P682" s="32" t="e">
        <f>VLOOKUP(Table311[[#This Row],[UNIT NO.]],[1]!Table35711[[#Headers],[#Data],[Unit '#]:[Application/Sold/ Unsold]],7,0)</f>
        <v>#REF!</v>
      </c>
      <c r="S682" s="64"/>
    </row>
    <row r="683" spans="2:19" ht="26.25" x14ac:dyDescent="0.25">
      <c r="B683" s="5">
        <f t="shared" si="10"/>
        <v>680</v>
      </c>
      <c r="C683" s="29" t="s">
        <v>2176</v>
      </c>
      <c r="D683" s="6" t="s">
        <v>903</v>
      </c>
      <c r="E683" s="29" t="s">
        <v>2177</v>
      </c>
      <c r="F683" s="6">
        <v>1000</v>
      </c>
      <c r="G683" s="6" t="s">
        <v>26</v>
      </c>
      <c r="H683" s="6"/>
      <c r="I683" s="6"/>
      <c r="J683" s="6"/>
      <c r="K683" s="7">
        <v>41230</v>
      </c>
      <c r="L683" s="30">
        <v>2608105</v>
      </c>
      <c r="M683" s="30">
        <v>2560589</v>
      </c>
      <c r="N683" s="6" t="s">
        <v>30</v>
      </c>
      <c r="O683" s="31">
        <v>43103</v>
      </c>
      <c r="P683" s="32" t="e">
        <f>VLOOKUP(Table311[[#This Row],[UNIT NO.]],[1]!Table35711[[#Headers],[#Data],[Unit '#]:[Application/Sold/ Unsold]],7,0)</f>
        <v>#REF!</v>
      </c>
      <c r="S683" s="64"/>
    </row>
    <row r="684" spans="2:19" ht="26.25" x14ac:dyDescent="0.25">
      <c r="B684" s="5">
        <f t="shared" si="10"/>
        <v>681</v>
      </c>
      <c r="C684" s="29" t="s">
        <v>2178</v>
      </c>
      <c r="D684" s="6" t="s">
        <v>903</v>
      </c>
      <c r="E684" s="29" t="s">
        <v>2179</v>
      </c>
      <c r="F684" s="6">
        <v>1000</v>
      </c>
      <c r="G684" s="6" t="s">
        <v>26</v>
      </c>
      <c r="H684" s="6"/>
      <c r="I684" s="6"/>
      <c r="J684" s="6"/>
      <c r="K684" s="7">
        <v>41265</v>
      </c>
      <c r="L684" s="30">
        <v>2694450</v>
      </c>
      <c r="M684" s="30">
        <v>1982467</v>
      </c>
      <c r="N684" s="6" t="s">
        <v>27</v>
      </c>
      <c r="O684" s="31">
        <v>43103</v>
      </c>
      <c r="P684" s="32" t="e">
        <f>VLOOKUP(Table311[[#This Row],[UNIT NO.]],[1]!Table35711[[#Headers],[#Data],[Unit '#]:[Application/Sold/ Unsold]],7,0)</f>
        <v>#REF!</v>
      </c>
      <c r="S684" s="64"/>
    </row>
    <row r="685" spans="2:19" ht="26.25" x14ac:dyDescent="0.25">
      <c r="B685" s="5">
        <f t="shared" si="10"/>
        <v>682</v>
      </c>
      <c r="C685" s="43" t="s">
        <v>2180</v>
      </c>
      <c r="D685" s="6" t="s">
        <v>903</v>
      </c>
      <c r="E685" s="29" t="s">
        <v>2181</v>
      </c>
      <c r="F685" s="6">
        <v>1000</v>
      </c>
      <c r="G685" s="6" t="s">
        <v>26</v>
      </c>
      <c r="H685" s="6"/>
      <c r="I685" s="6"/>
      <c r="J685" s="6"/>
      <c r="K685" s="7">
        <v>41241</v>
      </c>
      <c r="L685" s="30">
        <v>2640000</v>
      </c>
      <c r="M685" s="30">
        <v>2568320</v>
      </c>
      <c r="N685" s="6" t="s">
        <v>46</v>
      </c>
      <c r="O685" s="31">
        <v>43103</v>
      </c>
      <c r="P685" s="32" t="e">
        <f>VLOOKUP(Table311[[#This Row],[UNIT NO.]],[1]!Table35711[[#Headers],[#Data],[Unit '#]:[Application/Sold/ Unsold]],7,0)</f>
        <v>#REF!</v>
      </c>
      <c r="S685" s="64"/>
    </row>
    <row r="686" spans="2:19" ht="26.25" x14ac:dyDescent="0.25">
      <c r="B686" s="5">
        <f t="shared" si="10"/>
        <v>683</v>
      </c>
      <c r="C686" s="29" t="s">
        <v>2182</v>
      </c>
      <c r="D686" s="6" t="s">
        <v>903</v>
      </c>
      <c r="E686" s="29" t="s">
        <v>2183</v>
      </c>
      <c r="F686" s="6">
        <v>1000</v>
      </c>
      <c r="G686" s="6" t="s">
        <v>26</v>
      </c>
      <c r="H686" s="6"/>
      <c r="I686" s="6"/>
      <c r="J686" s="6"/>
      <c r="K686" s="7">
        <v>42498</v>
      </c>
      <c r="L686" s="30">
        <v>3392150</v>
      </c>
      <c r="M686" s="30">
        <v>3373509</v>
      </c>
      <c r="N686" s="6" t="s">
        <v>46</v>
      </c>
      <c r="O686" s="31">
        <v>43103</v>
      </c>
      <c r="P686" s="32" t="e">
        <f>VLOOKUP(Table311[[#This Row],[UNIT NO.]],[1]!Table35711[[#Headers],[#Data],[Unit '#]:[Application/Sold/ Unsold]],7,0)</f>
        <v>#REF!</v>
      </c>
      <c r="S686" s="64"/>
    </row>
    <row r="687" spans="2:19" ht="26.25" x14ac:dyDescent="0.25">
      <c r="B687" s="5">
        <f t="shared" si="10"/>
        <v>684</v>
      </c>
      <c r="C687" s="29" t="s">
        <v>2184</v>
      </c>
      <c r="D687" s="6" t="s">
        <v>903</v>
      </c>
      <c r="E687" s="29" t="s">
        <v>2185</v>
      </c>
      <c r="F687" s="6">
        <v>1000</v>
      </c>
      <c r="G687" s="6" t="s">
        <v>26</v>
      </c>
      <c r="H687" s="6"/>
      <c r="I687" s="6"/>
      <c r="J687" s="6"/>
      <c r="K687" s="7">
        <v>41255</v>
      </c>
      <c r="L687" s="30">
        <v>2628000</v>
      </c>
      <c r="M687" s="30">
        <v>2582798</v>
      </c>
      <c r="N687" s="6" t="s">
        <v>46</v>
      </c>
      <c r="O687" s="31">
        <v>43103</v>
      </c>
      <c r="P687" s="32" t="e">
        <f>VLOOKUP(Table311[[#This Row],[UNIT NO.]],[1]!Table35711[[#Headers],[#Data],[Unit '#]:[Application/Sold/ Unsold]],7,0)</f>
        <v>#REF!</v>
      </c>
      <c r="S687" s="64"/>
    </row>
    <row r="688" spans="2:19" ht="26.25" x14ac:dyDescent="0.25">
      <c r="B688" s="5">
        <f t="shared" si="10"/>
        <v>685</v>
      </c>
      <c r="C688" s="29" t="s">
        <v>2186</v>
      </c>
      <c r="D688" s="6" t="s">
        <v>903</v>
      </c>
      <c r="E688" s="29" t="s">
        <v>2187</v>
      </c>
      <c r="F688" s="6">
        <v>1000</v>
      </c>
      <c r="G688" s="6" t="s">
        <v>26</v>
      </c>
      <c r="H688" s="6"/>
      <c r="I688" s="6"/>
      <c r="J688" s="6"/>
      <c r="K688" s="7">
        <v>41738</v>
      </c>
      <c r="L688" s="30">
        <v>3244575</v>
      </c>
      <c r="M688" s="30">
        <v>2913202</v>
      </c>
      <c r="N688" s="6" t="s">
        <v>144</v>
      </c>
      <c r="O688" s="31">
        <v>43103</v>
      </c>
      <c r="P688" s="32" t="e">
        <f>VLOOKUP(Table311[[#This Row],[UNIT NO.]],[1]!Table35711[[#Headers],[#Data],[Unit '#]:[Application/Sold/ Unsold]],7,0)</f>
        <v>#REF!</v>
      </c>
      <c r="S688" s="64"/>
    </row>
    <row r="689" spans="2:19" ht="26.25" x14ac:dyDescent="0.25">
      <c r="B689" s="5">
        <f t="shared" si="10"/>
        <v>686</v>
      </c>
      <c r="C689" s="44" t="s">
        <v>2188</v>
      </c>
      <c r="D689" s="6" t="s">
        <v>903</v>
      </c>
      <c r="E689" s="44" t="s">
        <v>2189</v>
      </c>
      <c r="F689" s="6">
        <v>1000</v>
      </c>
      <c r="G689" s="6" t="s">
        <v>26</v>
      </c>
      <c r="H689" s="6"/>
      <c r="I689" s="6"/>
      <c r="J689" s="6"/>
      <c r="K689" s="7">
        <v>41207</v>
      </c>
      <c r="L689" s="45">
        <v>2660795</v>
      </c>
      <c r="M689" s="30">
        <v>2616608</v>
      </c>
      <c r="N689" s="6" t="s">
        <v>30</v>
      </c>
      <c r="O689" s="31">
        <v>43103</v>
      </c>
      <c r="P689" s="32" t="e">
        <f>VLOOKUP(Table311[[#This Row],[UNIT NO.]],[1]!Table35711[[#Headers],[#Data],[Unit '#]:[Application/Sold/ Unsold]],7,0)</f>
        <v>#REF!</v>
      </c>
      <c r="S689" s="64"/>
    </row>
    <row r="690" spans="2:19" ht="26.25" x14ac:dyDescent="0.25">
      <c r="B690" s="5">
        <f t="shared" si="10"/>
        <v>687</v>
      </c>
      <c r="C690" s="44" t="s">
        <v>23</v>
      </c>
      <c r="D690" s="6" t="s">
        <v>903</v>
      </c>
      <c r="E690" s="44" t="s">
        <v>2190</v>
      </c>
      <c r="F690" s="6">
        <v>1000</v>
      </c>
      <c r="G690" s="6" t="s">
        <v>26</v>
      </c>
      <c r="H690" s="6"/>
      <c r="I690" s="6"/>
      <c r="J690" s="6"/>
      <c r="K690" s="7">
        <v>41713</v>
      </c>
      <c r="L690" s="45">
        <v>3121475</v>
      </c>
      <c r="M690" s="30">
        <v>2664569</v>
      </c>
      <c r="N690" s="6" t="s">
        <v>30</v>
      </c>
      <c r="O690" s="31">
        <v>43103</v>
      </c>
      <c r="P690" s="32" t="e">
        <f>VLOOKUP(Table311[[#This Row],[UNIT NO.]],[1]!Table35711[[#Headers],[#Data],[Unit '#]:[Application/Sold/ Unsold]],7,0)</f>
        <v>#REF!</v>
      </c>
      <c r="S690" s="64"/>
    </row>
    <row r="691" spans="2:19" ht="26.25" x14ac:dyDescent="0.25">
      <c r="B691" s="5">
        <f t="shared" si="10"/>
        <v>688</v>
      </c>
      <c r="C691" s="44" t="s">
        <v>2191</v>
      </c>
      <c r="D691" s="6" t="s">
        <v>903</v>
      </c>
      <c r="E691" s="44" t="s">
        <v>2192</v>
      </c>
      <c r="F691" s="6">
        <v>1000</v>
      </c>
      <c r="G691" s="6" t="s">
        <v>26</v>
      </c>
      <c r="H691" s="6"/>
      <c r="I691" s="6"/>
      <c r="J691" s="6"/>
      <c r="K691" s="7">
        <v>41328</v>
      </c>
      <c r="L691" s="45">
        <v>2775295</v>
      </c>
      <c r="M691" s="30">
        <v>2730095</v>
      </c>
      <c r="N691" s="6" t="s">
        <v>46</v>
      </c>
      <c r="O691" s="31">
        <v>43103</v>
      </c>
      <c r="P691" s="32" t="e">
        <f>VLOOKUP(Table311[[#This Row],[UNIT NO.]],[1]!Table35711[[#Headers],[#Data],[Unit '#]:[Application/Sold/ Unsold]],7,0)</f>
        <v>#REF!</v>
      </c>
      <c r="S691" s="64"/>
    </row>
    <row r="692" spans="2:19" ht="26.25" x14ac:dyDescent="0.25">
      <c r="B692" s="5">
        <f t="shared" si="10"/>
        <v>689</v>
      </c>
      <c r="C692" s="46" t="s">
        <v>2193</v>
      </c>
      <c r="D692" s="10" t="s">
        <v>903</v>
      </c>
      <c r="E692" s="46" t="s">
        <v>2194</v>
      </c>
      <c r="F692" s="10">
        <v>1000</v>
      </c>
      <c r="G692" s="6" t="s">
        <v>26</v>
      </c>
      <c r="H692" s="6"/>
      <c r="I692" s="6"/>
      <c r="J692" s="6"/>
      <c r="K692" s="11">
        <v>41441</v>
      </c>
      <c r="L692" s="47">
        <v>2975000</v>
      </c>
      <c r="M692" s="48">
        <v>2701673</v>
      </c>
      <c r="N692" s="6" t="s">
        <v>27</v>
      </c>
      <c r="O692" s="31">
        <v>43103</v>
      </c>
      <c r="P692" s="32" t="e">
        <f>VLOOKUP(Table311[[#This Row],[UNIT NO.]],[1]!Table35711[[#Headers],[#Data],[Unit '#]:[Application/Sold/ Unsold]],7,0)</f>
        <v>#REF!</v>
      </c>
      <c r="S692" s="64"/>
    </row>
    <row r="693" spans="2:19" x14ac:dyDescent="0.25">
      <c r="B693" s="5">
        <f t="shared" si="10"/>
        <v>690</v>
      </c>
      <c r="C693" s="29" t="s">
        <v>2195</v>
      </c>
      <c r="D693" s="6" t="s">
        <v>903</v>
      </c>
      <c r="E693" s="29" t="s">
        <v>2196</v>
      </c>
      <c r="F693" s="6">
        <v>1000</v>
      </c>
      <c r="G693" s="6" t="s">
        <v>26</v>
      </c>
      <c r="H693" s="6"/>
      <c r="I693" s="6"/>
      <c r="J693" s="6"/>
      <c r="K693" s="7">
        <v>41353</v>
      </c>
      <c r="L693" s="30">
        <v>2810000</v>
      </c>
      <c r="M693" s="30">
        <v>1264512</v>
      </c>
      <c r="N693" s="6" t="s">
        <v>30</v>
      </c>
      <c r="O693" s="31">
        <v>43103</v>
      </c>
      <c r="P693" s="32" t="e">
        <f>VLOOKUP(Table311[[#This Row],[UNIT NO.]],[1]!Table35711[[#Headers],[#Data],[Unit '#]:[Application/Sold/ Unsold]],7,0)</f>
        <v>#REF!</v>
      </c>
      <c r="S693" s="64"/>
    </row>
    <row r="694" spans="2:19" ht="26.25" x14ac:dyDescent="0.25">
      <c r="B694" s="5">
        <f t="shared" si="10"/>
        <v>691</v>
      </c>
      <c r="C694" s="29" t="s">
        <v>2197</v>
      </c>
      <c r="D694" s="6" t="s">
        <v>903</v>
      </c>
      <c r="E694" s="29" t="s">
        <v>2198</v>
      </c>
      <c r="F694" s="6">
        <v>1000</v>
      </c>
      <c r="G694" s="6" t="s">
        <v>26</v>
      </c>
      <c r="H694" s="6"/>
      <c r="I694" s="6"/>
      <c r="J694" s="6"/>
      <c r="K694" s="7">
        <v>41305</v>
      </c>
      <c r="L694" s="30">
        <v>2617140</v>
      </c>
      <c r="M694" s="30">
        <v>1879303</v>
      </c>
      <c r="N694" s="6" t="s">
        <v>30</v>
      </c>
      <c r="O694" s="31">
        <v>43103</v>
      </c>
      <c r="P694" s="32" t="e">
        <f>VLOOKUP(Table311[[#This Row],[UNIT NO.]],[1]!Table35711[[#Headers],[#Data],[Unit '#]:[Application/Sold/ Unsold]],7,0)</f>
        <v>#REF!</v>
      </c>
      <c r="S694" s="64"/>
    </row>
    <row r="695" spans="2:19" x14ac:dyDescent="0.25">
      <c r="B695" s="5">
        <f t="shared" si="10"/>
        <v>692</v>
      </c>
      <c r="C695" s="29" t="s">
        <v>2199</v>
      </c>
      <c r="D695" s="6" t="s">
        <v>903</v>
      </c>
      <c r="E695" s="29" t="s">
        <v>2200</v>
      </c>
      <c r="F695" s="6">
        <v>1000</v>
      </c>
      <c r="G695" s="6" t="s">
        <v>26</v>
      </c>
      <c r="H695" s="6"/>
      <c r="I695" s="6"/>
      <c r="J695" s="6"/>
      <c r="K695" s="7">
        <v>41364</v>
      </c>
      <c r="L695" s="30">
        <v>2869950</v>
      </c>
      <c r="M695" s="30">
        <v>281307</v>
      </c>
      <c r="N695" s="6" t="s">
        <v>30</v>
      </c>
      <c r="O695" s="31">
        <v>43103</v>
      </c>
      <c r="P695" s="32" t="e">
        <f>VLOOKUP(Table311[[#This Row],[UNIT NO.]],[1]!Table35711[[#Headers],[#Data],[Unit '#]:[Application/Sold/ Unsold]],7,0)</f>
        <v>#REF!</v>
      </c>
      <c r="S695" s="64"/>
    </row>
    <row r="696" spans="2:19" ht="26.25" x14ac:dyDescent="0.25">
      <c r="B696" s="5">
        <f t="shared" si="10"/>
        <v>693</v>
      </c>
      <c r="C696" s="29" t="s">
        <v>2201</v>
      </c>
      <c r="D696" s="6" t="s">
        <v>903</v>
      </c>
      <c r="E696" s="29" t="s">
        <v>2202</v>
      </c>
      <c r="F696" s="6">
        <v>1000</v>
      </c>
      <c r="G696" s="6" t="s">
        <v>26</v>
      </c>
      <c r="H696" s="6"/>
      <c r="I696" s="6"/>
      <c r="J696" s="6"/>
      <c r="K696" s="7">
        <v>41278</v>
      </c>
      <c r="L696" s="30">
        <v>2630795</v>
      </c>
      <c r="M696" s="30">
        <v>1563942</v>
      </c>
      <c r="N696" s="6" t="s">
        <v>27</v>
      </c>
      <c r="O696" s="31">
        <v>43103</v>
      </c>
      <c r="P696" s="32" t="e">
        <f>VLOOKUP(Table311[[#This Row],[UNIT NO.]],[1]!Table35711[[#Headers],[#Data],[Unit '#]:[Application/Sold/ Unsold]],7,0)</f>
        <v>#REF!</v>
      </c>
      <c r="S696" s="64"/>
    </row>
    <row r="697" spans="2:19" ht="26.25" x14ac:dyDescent="0.25">
      <c r="B697" s="5">
        <f t="shared" si="10"/>
        <v>694</v>
      </c>
      <c r="C697" s="29" t="s">
        <v>2203</v>
      </c>
      <c r="D697" s="6" t="s">
        <v>903</v>
      </c>
      <c r="E697" s="29" t="s">
        <v>2204</v>
      </c>
      <c r="F697" s="6">
        <v>1000</v>
      </c>
      <c r="G697" s="6" t="s">
        <v>26</v>
      </c>
      <c r="H697" s="6"/>
      <c r="I697" s="6"/>
      <c r="J697" s="6"/>
      <c r="K697" s="7">
        <v>42309</v>
      </c>
      <c r="L697" s="30">
        <v>3135000</v>
      </c>
      <c r="M697" s="30">
        <v>2630421</v>
      </c>
      <c r="N697" s="6" t="s">
        <v>46</v>
      </c>
      <c r="O697" s="31">
        <v>43103</v>
      </c>
      <c r="P697" s="32" t="e">
        <f>VLOOKUP(Table311[[#This Row],[UNIT NO.]],[1]!Table35711[[#Headers],[#Data],[Unit '#]:[Application/Sold/ Unsold]],7,0)</f>
        <v>#REF!</v>
      </c>
      <c r="S697" s="64"/>
    </row>
    <row r="698" spans="2:19" ht="26.25" x14ac:dyDescent="0.25">
      <c r="B698" s="5">
        <f t="shared" si="10"/>
        <v>695</v>
      </c>
      <c r="C698" s="29" t="s">
        <v>2205</v>
      </c>
      <c r="D698" s="6" t="s">
        <v>903</v>
      </c>
      <c r="E698" s="29" t="s">
        <v>2206</v>
      </c>
      <c r="F698" s="6">
        <v>1000</v>
      </c>
      <c r="G698" s="6" t="s">
        <v>26</v>
      </c>
      <c r="H698" s="6"/>
      <c r="I698" s="6"/>
      <c r="J698" s="6"/>
      <c r="K698" s="7">
        <v>41316</v>
      </c>
      <c r="L698" s="30">
        <v>2755295</v>
      </c>
      <c r="M698" s="30">
        <v>2643182</v>
      </c>
      <c r="N698" s="6" t="s">
        <v>39</v>
      </c>
      <c r="O698" s="31">
        <v>43103</v>
      </c>
      <c r="P698" s="32" t="e">
        <f>VLOOKUP(Table311[[#This Row],[UNIT NO.]],[1]!Table35711[[#Headers],[#Data],[Unit '#]:[Application/Sold/ Unsold]],7,0)</f>
        <v>#REF!</v>
      </c>
      <c r="S698" s="64"/>
    </row>
    <row r="699" spans="2:19" ht="26.25" x14ac:dyDescent="0.25">
      <c r="B699" s="5">
        <f t="shared" si="10"/>
        <v>696</v>
      </c>
      <c r="C699" s="29" t="s">
        <v>2207</v>
      </c>
      <c r="D699" s="6" t="s">
        <v>903</v>
      </c>
      <c r="E699" s="29" t="s">
        <v>2208</v>
      </c>
      <c r="F699" s="6">
        <v>1000</v>
      </c>
      <c r="G699" s="6" t="s">
        <v>26</v>
      </c>
      <c r="H699" s="6"/>
      <c r="I699" s="6"/>
      <c r="J699" s="6"/>
      <c r="K699" s="7">
        <v>41523</v>
      </c>
      <c r="L699" s="30">
        <v>2973400</v>
      </c>
      <c r="M699" s="30">
        <v>2921905</v>
      </c>
      <c r="N699" s="6" t="s">
        <v>30</v>
      </c>
      <c r="O699" s="31">
        <v>43103</v>
      </c>
      <c r="P699" s="32" t="e">
        <f>VLOOKUP(Table311[[#This Row],[UNIT NO.]],[1]!Table35711[[#Headers],[#Data],[Unit '#]:[Application/Sold/ Unsold]],7,0)</f>
        <v>#REF!</v>
      </c>
      <c r="S699" s="64"/>
    </row>
    <row r="700" spans="2:19" x14ac:dyDescent="0.25">
      <c r="B700" s="5">
        <f t="shared" si="10"/>
        <v>697</v>
      </c>
      <c r="C700" s="29"/>
      <c r="D700" s="6" t="s">
        <v>903</v>
      </c>
      <c r="E700" s="40" t="s">
        <v>2209</v>
      </c>
      <c r="F700" s="41">
        <v>830</v>
      </c>
      <c r="G700" s="6" t="s">
        <v>104</v>
      </c>
      <c r="H700" s="6"/>
      <c r="I700" s="6"/>
      <c r="J700" s="6"/>
      <c r="K700" s="7"/>
      <c r="L700" s="49"/>
      <c r="M700" s="49"/>
      <c r="N700" s="50"/>
      <c r="O700" s="6"/>
      <c r="P700" s="32" t="e">
        <f>VLOOKUP(Table311[[#This Row],[UNIT NO.]],[1]!Table35711[[#Headers],[#Data],[Unit '#]:[Application/Sold/ Unsold]],7,0)</f>
        <v>#REF!</v>
      </c>
      <c r="S700" s="64"/>
    </row>
    <row r="701" spans="2:19" x14ac:dyDescent="0.25">
      <c r="B701" s="5">
        <f t="shared" si="10"/>
        <v>698</v>
      </c>
      <c r="C701" s="29"/>
      <c r="D701" s="6" t="s">
        <v>903</v>
      </c>
      <c r="E701" s="40" t="s">
        <v>2210</v>
      </c>
      <c r="F701" s="41">
        <v>830</v>
      </c>
      <c r="G701" s="6" t="s">
        <v>104</v>
      </c>
      <c r="H701" s="6"/>
      <c r="I701" s="6"/>
      <c r="J701" s="6"/>
      <c r="K701" s="7"/>
      <c r="L701" s="49"/>
      <c r="M701" s="49"/>
      <c r="N701" s="50"/>
      <c r="O701" s="6"/>
      <c r="P701" s="32" t="e">
        <f>VLOOKUP(Table311[[#This Row],[UNIT NO.]],[1]!Table35711[[#Headers],[#Data],[Unit '#]:[Application/Sold/ Unsold]],7,0)</f>
        <v>#REF!</v>
      </c>
      <c r="S701" s="64"/>
    </row>
    <row r="702" spans="2:19" x14ac:dyDescent="0.25">
      <c r="B702" s="5">
        <f t="shared" si="10"/>
        <v>699</v>
      </c>
      <c r="C702" s="29"/>
      <c r="D702" s="6" t="s">
        <v>903</v>
      </c>
      <c r="E702" s="40" t="s">
        <v>2211</v>
      </c>
      <c r="F702" s="41">
        <v>830</v>
      </c>
      <c r="G702" s="6" t="s">
        <v>104</v>
      </c>
      <c r="H702" s="6"/>
      <c r="I702" s="6"/>
      <c r="J702" s="6"/>
      <c r="K702" s="7"/>
      <c r="L702" s="49"/>
      <c r="M702" s="49"/>
      <c r="N702" s="50"/>
      <c r="O702" s="6"/>
      <c r="P702" s="32" t="e">
        <f>VLOOKUP(Table311[[#This Row],[UNIT NO.]],[1]!Table35711[[#Headers],[#Data],[Unit '#]:[Application/Sold/ Unsold]],7,0)</f>
        <v>#REF!</v>
      </c>
      <c r="S702" s="64"/>
    </row>
    <row r="703" spans="2:19" x14ac:dyDescent="0.25">
      <c r="B703" s="5">
        <f t="shared" si="10"/>
        <v>700</v>
      </c>
      <c r="C703" s="6"/>
      <c r="D703" s="6" t="s">
        <v>903</v>
      </c>
      <c r="E703" s="40" t="s">
        <v>2212</v>
      </c>
      <c r="F703" s="41">
        <v>830</v>
      </c>
      <c r="G703" s="6" t="s">
        <v>104</v>
      </c>
      <c r="H703" s="6"/>
      <c r="I703" s="6"/>
      <c r="J703" s="6"/>
      <c r="K703" s="7"/>
      <c r="L703" s="51"/>
      <c r="M703" s="52"/>
      <c r="N703" s="52"/>
      <c r="O703" s="6"/>
      <c r="P703" s="32" t="e">
        <f>VLOOKUP(Table311[[#This Row],[UNIT NO.]],[1]!Table35711[[#Headers],[#Data],[Unit '#]:[Application/Sold/ Unsold]],7,0)</f>
        <v>#REF!</v>
      </c>
      <c r="S703" s="64"/>
    </row>
    <row r="704" spans="2:19" x14ac:dyDescent="0.25">
      <c r="B704" s="5">
        <f t="shared" si="10"/>
        <v>701</v>
      </c>
      <c r="C704" s="6"/>
      <c r="D704" s="6" t="s">
        <v>903</v>
      </c>
      <c r="E704" s="40" t="s">
        <v>2213</v>
      </c>
      <c r="F704" s="41">
        <v>830</v>
      </c>
      <c r="G704" s="6" t="s">
        <v>104</v>
      </c>
      <c r="H704" s="6"/>
      <c r="I704" s="6"/>
      <c r="J704" s="6"/>
      <c r="K704" s="7"/>
      <c r="L704" s="51"/>
      <c r="M704" s="52"/>
      <c r="N704" s="52"/>
      <c r="O704" s="6"/>
      <c r="P704" s="32" t="e">
        <f>VLOOKUP(Table311[[#This Row],[UNIT NO.]],[1]!Table35711[[#Headers],[#Data],[Unit '#]:[Application/Sold/ Unsold]],7,0)</f>
        <v>#REF!</v>
      </c>
      <c r="S704" s="64"/>
    </row>
    <row r="705" spans="2:19" x14ac:dyDescent="0.25">
      <c r="B705" s="5">
        <f t="shared" si="10"/>
        <v>702</v>
      </c>
      <c r="C705" s="6"/>
      <c r="D705" s="6" t="s">
        <v>903</v>
      </c>
      <c r="E705" s="40" t="s">
        <v>2214</v>
      </c>
      <c r="F705" s="41">
        <v>830</v>
      </c>
      <c r="G705" s="6" t="s">
        <v>104</v>
      </c>
      <c r="H705" s="6"/>
      <c r="I705" s="6"/>
      <c r="J705" s="6"/>
      <c r="K705" s="7"/>
      <c r="L705" s="51"/>
      <c r="M705" s="52"/>
      <c r="N705" s="52"/>
      <c r="O705" s="6"/>
      <c r="P705" s="32" t="e">
        <f>VLOOKUP(Table311[[#This Row],[UNIT NO.]],[1]!Table35711[[#Headers],[#Data],[Unit '#]:[Application/Sold/ Unsold]],7,0)</f>
        <v>#REF!</v>
      </c>
      <c r="S705" s="64"/>
    </row>
    <row r="706" spans="2:19" x14ac:dyDescent="0.25">
      <c r="B706" s="5">
        <f t="shared" si="10"/>
        <v>703</v>
      </c>
      <c r="C706" s="6"/>
      <c r="D706" s="6" t="s">
        <v>903</v>
      </c>
      <c r="E706" s="40" t="s">
        <v>2215</v>
      </c>
      <c r="F706" s="41">
        <v>830</v>
      </c>
      <c r="G706" s="6" t="s">
        <v>104</v>
      </c>
      <c r="H706" s="6"/>
      <c r="I706" s="6"/>
      <c r="J706" s="6"/>
      <c r="K706" s="7"/>
      <c r="L706" s="51"/>
      <c r="M706" s="52"/>
      <c r="N706" s="52"/>
      <c r="O706" s="6"/>
      <c r="P706" s="32" t="e">
        <f>VLOOKUP(Table311[[#This Row],[UNIT NO.]],[1]!Table35711[[#Headers],[#Data],[Unit '#]:[Application/Sold/ Unsold]],7,0)</f>
        <v>#REF!</v>
      </c>
      <c r="S706" s="64"/>
    </row>
    <row r="707" spans="2:19" x14ac:dyDescent="0.25">
      <c r="B707" s="5">
        <f t="shared" si="10"/>
        <v>704</v>
      </c>
      <c r="C707" s="6"/>
      <c r="D707" s="6" t="s">
        <v>903</v>
      </c>
      <c r="E707" s="40" t="s">
        <v>2216</v>
      </c>
      <c r="F707" s="41">
        <v>830</v>
      </c>
      <c r="G707" s="6" t="s">
        <v>104</v>
      </c>
      <c r="H707" s="6"/>
      <c r="I707" s="6"/>
      <c r="J707" s="6"/>
      <c r="K707" s="7"/>
      <c r="L707" s="51"/>
      <c r="M707" s="52"/>
      <c r="N707" s="52"/>
      <c r="O707" s="6"/>
      <c r="P707" s="32" t="e">
        <f>VLOOKUP(Table311[[#This Row],[UNIT NO.]],[1]!Table35711[[#Headers],[#Data],[Unit '#]:[Application/Sold/ Unsold]],7,0)</f>
        <v>#REF!</v>
      </c>
      <c r="S707" s="64"/>
    </row>
    <row r="708" spans="2:19" x14ac:dyDescent="0.25">
      <c r="B708" s="5">
        <f t="shared" si="10"/>
        <v>705</v>
      </c>
      <c r="C708" s="6"/>
      <c r="D708" s="6" t="s">
        <v>903</v>
      </c>
      <c r="E708" s="40" t="s">
        <v>2217</v>
      </c>
      <c r="F708" s="41">
        <v>830</v>
      </c>
      <c r="G708" s="6" t="s">
        <v>104</v>
      </c>
      <c r="H708" s="6"/>
      <c r="I708" s="6"/>
      <c r="J708" s="6"/>
      <c r="K708" s="7"/>
      <c r="L708" s="51"/>
      <c r="M708" s="52"/>
      <c r="N708" s="52"/>
      <c r="O708" s="6"/>
      <c r="P708" s="32" t="e">
        <f>VLOOKUP(Table311[[#This Row],[UNIT NO.]],[1]!Table35711[[#Headers],[#Data],[Unit '#]:[Application/Sold/ Unsold]],7,0)</f>
        <v>#REF!</v>
      </c>
      <c r="S708" s="64"/>
    </row>
    <row r="709" spans="2:19" x14ac:dyDescent="0.25">
      <c r="B709" s="5">
        <f t="shared" si="10"/>
        <v>706</v>
      </c>
      <c r="C709" s="6"/>
      <c r="D709" s="6" t="s">
        <v>903</v>
      </c>
      <c r="E709" s="40" t="s">
        <v>2218</v>
      </c>
      <c r="F709" s="41">
        <v>830</v>
      </c>
      <c r="G709" s="6" t="s">
        <v>32</v>
      </c>
      <c r="H709" s="6"/>
      <c r="I709" s="6"/>
      <c r="J709" s="6"/>
      <c r="K709" s="7"/>
      <c r="L709" s="51"/>
      <c r="M709" s="52"/>
      <c r="N709" s="52"/>
      <c r="O709" s="6"/>
      <c r="P709" s="32" t="e">
        <f>VLOOKUP(Table311[[#This Row],[UNIT NO.]],[1]!Table35711[[#Headers],[#Data],[Unit '#]:[Application/Sold/ Unsold]],7,0)</f>
        <v>#REF!</v>
      </c>
      <c r="S709" s="64"/>
    </row>
    <row r="710" spans="2:19" x14ac:dyDescent="0.25">
      <c r="B710" s="5">
        <f t="shared" ref="B710:B773" si="11">B709+1</f>
        <v>707</v>
      </c>
      <c r="C710" s="6"/>
      <c r="D710" s="6" t="s">
        <v>903</v>
      </c>
      <c r="E710" s="40" t="s">
        <v>2219</v>
      </c>
      <c r="F710" s="41">
        <v>830</v>
      </c>
      <c r="G710" s="6" t="s">
        <v>32</v>
      </c>
      <c r="H710" s="6"/>
      <c r="I710" s="6"/>
      <c r="J710" s="6"/>
      <c r="K710" s="7"/>
      <c r="L710" s="51"/>
      <c r="M710" s="52"/>
      <c r="N710" s="52"/>
      <c r="O710" s="6"/>
      <c r="P710" s="32" t="e">
        <f>VLOOKUP(Table311[[#This Row],[UNIT NO.]],[1]!Table35711[[#Headers],[#Data],[Unit '#]:[Application/Sold/ Unsold]],7,0)</f>
        <v>#REF!</v>
      </c>
      <c r="S710" s="64"/>
    </row>
    <row r="711" spans="2:19" x14ac:dyDescent="0.25">
      <c r="B711" s="5">
        <f t="shared" si="11"/>
        <v>708</v>
      </c>
      <c r="C711" s="6"/>
      <c r="D711" s="6" t="s">
        <v>903</v>
      </c>
      <c r="E711" s="40" t="s">
        <v>2220</v>
      </c>
      <c r="F711" s="41">
        <v>830</v>
      </c>
      <c r="G711" s="6" t="s">
        <v>104</v>
      </c>
      <c r="H711" s="6"/>
      <c r="I711" s="6"/>
      <c r="J711" s="6"/>
      <c r="K711" s="7"/>
      <c r="L711" s="51"/>
      <c r="M711" s="52"/>
      <c r="N711" s="52"/>
      <c r="O711" s="6"/>
      <c r="P711" s="32" t="e">
        <f>VLOOKUP(Table311[[#This Row],[UNIT NO.]],[1]!Table35711[[#Headers],[#Data],[Unit '#]:[Application/Sold/ Unsold]],7,0)</f>
        <v>#REF!</v>
      </c>
      <c r="S711" s="64"/>
    </row>
    <row r="712" spans="2:19" x14ac:dyDescent="0.25">
      <c r="B712" s="5">
        <f t="shared" si="11"/>
        <v>709</v>
      </c>
      <c r="C712" s="6"/>
      <c r="D712" s="6" t="s">
        <v>903</v>
      </c>
      <c r="E712" s="40" t="s">
        <v>2221</v>
      </c>
      <c r="F712" s="41">
        <v>830</v>
      </c>
      <c r="G712" s="6" t="s">
        <v>104</v>
      </c>
      <c r="H712" s="6"/>
      <c r="I712" s="6"/>
      <c r="J712" s="6"/>
      <c r="K712" s="7"/>
      <c r="L712" s="51"/>
      <c r="M712" s="52"/>
      <c r="N712" s="52"/>
      <c r="O712" s="6"/>
      <c r="P712" s="32" t="e">
        <f>VLOOKUP(Table311[[#This Row],[UNIT NO.]],[1]!Table35711[[#Headers],[#Data],[Unit '#]:[Application/Sold/ Unsold]],7,0)</f>
        <v>#REF!</v>
      </c>
      <c r="S712" s="64"/>
    </row>
    <row r="713" spans="2:19" x14ac:dyDescent="0.25">
      <c r="B713" s="5">
        <f t="shared" si="11"/>
        <v>710</v>
      </c>
      <c r="C713" s="6"/>
      <c r="D713" s="6" t="s">
        <v>903</v>
      </c>
      <c r="E713" s="40" t="s">
        <v>2222</v>
      </c>
      <c r="F713" s="41">
        <v>830</v>
      </c>
      <c r="G713" s="6" t="s">
        <v>104</v>
      </c>
      <c r="H713" s="6"/>
      <c r="I713" s="6"/>
      <c r="J713" s="6"/>
      <c r="K713" s="7"/>
      <c r="L713" s="51"/>
      <c r="M713" s="52"/>
      <c r="N713" s="52"/>
      <c r="O713" s="6"/>
      <c r="P713" s="32" t="e">
        <f>VLOOKUP(Table311[[#This Row],[UNIT NO.]],[1]!Table35711[[#Headers],[#Data],[Unit '#]:[Application/Sold/ Unsold]],7,0)</f>
        <v>#REF!</v>
      </c>
      <c r="S713" s="64"/>
    </row>
    <row r="714" spans="2:19" x14ac:dyDescent="0.25">
      <c r="B714" s="5">
        <f t="shared" si="11"/>
        <v>711</v>
      </c>
      <c r="C714" s="6"/>
      <c r="D714" s="6" t="s">
        <v>903</v>
      </c>
      <c r="E714" s="40" t="s">
        <v>2223</v>
      </c>
      <c r="F714" s="41">
        <v>830</v>
      </c>
      <c r="G714" s="6" t="s">
        <v>32</v>
      </c>
      <c r="H714" s="6"/>
      <c r="I714" s="6"/>
      <c r="J714" s="6"/>
      <c r="K714" s="7"/>
      <c r="L714" s="51"/>
      <c r="M714" s="52"/>
      <c r="N714" s="52"/>
      <c r="O714" s="6"/>
      <c r="P714" s="32" t="e">
        <f>VLOOKUP(Table311[[#This Row],[UNIT NO.]],[1]!Table35711[[#Headers],[#Data],[Unit '#]:[Application/Sold/ Unsold]],7,0)</f>
        <v>#REF!</v>
      </c>
      <c r="S714" s="64"/>
    </row>
    <row r="715" spans="2:19" x14ac:dyDescent="0.25">
      <c r="B715" s="5">
        <f t="shared" si="11"/>
        <v>712</v>
      </c>
      <c r="C715" s="6"/>
      <c r="D715" s="6" t="s">
        <v>903</v>
      </c>
      <c r="E715" s="40" t="s">
        <v>2224</v>
      </c>
      <c r="F715" s="41">
        <v>830</v>
      </c>
      <c r="G715" s="6" t="s">
        <v>104</v>
      </c>
      <c r="H715" s="6"/>
      <c r="I715" s="6"/>
      <c r="J715" s="6"/>
      <c r="K715" s="7"/>
      <c r="L715" s="51"/>
      <c r="M715" s="52"/>
      <c r="N715" s="52"/>
      <c r="O715" s="6"/>
      <c r="P715" s="32" t="e">
        <f>VLOOKUP(Table311[[#This Row],[UNIT NO.]],[1]!Table35711[[#Headers],[#Data],[Unit '#]:[Application/Sold/ Unsold]],7,0)</f>
        <v>#REF!</v>
      </c>
      <c r="S715" s="64"/>
    </row>
    <row r="716" spans="2:19" x14ac:dyDescent="0.25">
      <c r="B716" s="5">
        <f t="shared" si="11"/>
        <v>713</v>
      </c>
      <c r="C716" s="6"/>
      <c r="D716" s="6" t="s">
        <v>903</v>
      </c>
      <c r="E716" s="40" t="s">
        <v>2225</v>
      </c>
      <c r="F716" s="41">
        <v>830</v>
      </c>
      <c r="G716" s="6" t="s">
        <v>104</v>
      </c>
      <c r="H716" s="6"/>
      <c r="I716" s="6"/>
      <c r="J716" s="6"/>
      <c r="K716" s="7"/>
      <c r="L716" s="51"/>
      <c r="M716" s="52"/>
      <c r="N716" s="52"/>
      <c r="O716" s="6"/>
      <c r="P716" s="32" t="e">
        <f>VLOOKUP(Table311[[#This Row],[UNIT NO.]],[1]!Table35711[[#Headers],[#Data],[Unit '#]:[Application/Sold/ Unsold]],7,0)</f>
        <v>#REF!</v>
      </c>
      <c r="S716" s="64"/>
    </row>
    <row r="717" spans="2:19" x14ac:dyDescent="0.25">
      <c r="B717" s="5">
        <f t="shared" si="11"/>
        <v>714</v>
      </c>
      <c r="C717" s="6"/>
      <c r="D717" s="6" t="s">
        <v>903</v>
      </c>
      <c r="E717" s="40" t="s">
        <v>2226</v>
      </c>
      <c r="F717" s="41">
        <v>830</v>
      </c>
      <c r="G717" s="6" t="s">
        <v>104</v>
      </c>
      <c r="H717" s="6"/>
      <c r="I717" s="6"/>
      <c r="J717" s="6"/>
      <c r="K717" s="7"/>
      <c r="L717" s="51"/>
      <c r="M717" s="52"/>
      <c r="N717" s="52"/>
      <c r="O717" s="6"/>
      <c r="P717" s="32" t="e">
        <f>VLOOKUP(Table311[[#This Row],[UNIT NO.]],[1]!Table35711[[#Headers],[#Data],[Unit '#]:[Application/Sold/ Unsold]],7,0)</f>
        <v>#REF!</v>
      </c>
      <c r="S717" s="64"/>
    </row>
    <row r="718" spans="2:19" x14ac:dyDescent="0.25">
      <c r="B718" s="5">
        <f t="shared" si="11"/>
        <v>715</v>
      </c>
      <c r="C718" s="6"/>
      <c r="D718" s="6" t="s">
        <v>903</v>
      </c>
      <c r="E718" s="40" t="s">
        <v>2227</v>
      </c>
      <c r="F718" s="41">
        <v>830</v>
      </c>
      <c r="G718" s="6" t="s">
        <v>104</v>
      </c>
      <c r="H718" s="6"/>
      <c r="I718" s="6"/>
      <c r="J718" s="6"/>
      <c r="K718" s="7"/>
      <c r="L718" s="51"/>
      <c r="M718" s="52"/>
      <c r="N718" s="52"/>
      <c r="O718" s="6"/>
      <c r="P718" s="32" t="e">
        <f>VLOOKUP(Table311[[#This Row],[UNIT NO.]],[1]!Table35711[[#Headers],[#Data],[Unit '#]:[Application/Sold/ Unsold]],7,0)</f>
        <v>#REF!</v>
      </c>
      <c r="S718" s="64"/>
    </row>
    <row r="719" spans="2:19" x14ac:dyDescent="0.25">
      <c r="B719" s="5">
        <f t="shared" si="11"/>
        <v>716</v>
      </c>
      <c r="C719" s="6"/>
      <c r="D719" s="6" t="s">
        <v>903</v>
      </c>
      <c r="E719" s="40" t="s">
        <v>2228</v>
      </c>
      <c r="F719" s="41">
        <v>830</v>
      </c>
      <c r="G719" s="6" t="s">
        <v>104</v>
      </c>
      <c r="H719" s="6"/>
      <c r="I719" s="6"/>
      <c r="J719" s="6"/>
      <c r="K719" s="7"/>
      <c r="L719" s="51"/>
      <c r="M719" s="52"/>
      <c r="N719" s="52"/>
      <c r="O719" s="6"/>
      <c r="P719" s="32" t="e">
        <f>VLOOKUP(Table311[[#This Row],[UNIT NO.]],[1]!Table35711[[#Headers],[#Data],[Unit '#]:[Application/Sold/ Unsold]],7,0)</f>
        <v>#REF!</v>
      </c>
      <c r="S719" s="64"/>
    </row>
    <row r="720" spans="2:19" x14ac:dyDescent="0.25">
      <c r="B720" s="5">
        <f t="shared" si="11"/>
        <v>717</v>
      </c>
      <c r="C720" s="6"/>
      <c r="D720" s="6" t="s">
        <v>903</v>
      </c>
      <c r="E720" s="40" t="s">
        <v>2229</v>
      </c>
      <c r="F720" s="41">
        <v>830</v>
      </c>
      <c r="G720" s="6" t="s">
        <v>104</v>
      </c>
      <c r="H720" s="6"/>
      <c r="I720" s="6"/>
      <c r="J720" s="6"/>
      <c r="K720" s="7"/>
      <c r="L720" s="51"/>
      <c r="M720" s="52"/>
      <c r="N720" s="52"/>
      <c r="O720" s="6"/>
      <c r="P720" s="32" t="e">
        <f>VLOOKUP(Table311[[#This Row],[UNIT NO.]],[1]!Table35711[[#Headers],[#Data],[Unit '#]:[Application/Sold/ Unsold]],7,0)</f>
        <v>#REF!</v>
      </c>
      <c r="S720" s="64"/>
    </row>
    <row r="721" spans="2:19" x14ac:dyDescent="0.25">
      <c r="B721" s="5">
        <f t="shared" si="11"/>
        <v>718</v>
      </c>
      <c r="C721" s="6"/>
      <c r="D721" s="6" t="s">
        <v>903</v>
      </c>
      <c r="E721" s="40" t="s">
        <v>2230</v>
      </c>
      <c r="F721" s="41">
        <v>830</v>
      </c>
      <c r="G721" s="6" t="s">
        <v>104</v>
      </c>
      <c r="H721" s="6"/>
      <c r="I721" s="6"/>
      <c r="J721" s="6"/>
      <c r="K721" s="7"/>
      <c r="L721" s="51"/>
      <c r="M721" s="52"/>
      <c r="N721" s="52"/>
      <c r="O721" s="6"/>
      <c r="P721" s="32" t="e">
        <f>VLOOKUP(Table311[[#This Row],[UNIT NO.]],[1]!Table35711[[#Headers],[#Data],[Unit '#]:[Application/Sold/ Unsold]],7,0)</f>
        <v>#REF!</v>
      </c>
      <c r="S721" s="64"/>
    </row>
    <row r="722" spans="2:19" x14ac:dyDescent="0.25">
      <c r="B722" s="5">
        <f t="shared" si="11"/>
        <v>719</v>
      </c>
      <c r="C722" s="6"/>
      <c r="D722" s="6" t="s">
        <v>903</v>
      </c>
      <c r="E722" s="40" t="s">
        <v>2231</v>
      </c>
      <c r="F722" s="41">
        <v>830</v>
      </c>
      <c r="G722" s="6" t="s">
        <v>104</v>
      </c>
      <c r="H722" s="6"/>
      <c r="I722" s="6"/>
      <c r="J722" s="6"/>
      <c r="K722" s="7"/>
      <c r="L722" s="51"/>
      <c r="M722" s="52"/>
      <c r="N722" s="52"/>
      <c r="O722" s="6"/>
      <c r="P722" s="32" t="e">
        <f>VLOOKUP(Table311[[#This Row],[UNIT NO.]],[1]!Table35711[[#Headers],[#Data],[Unit '#]:[Application/Sold/ Unsold]],7,0)</f>
        <v>#REF!</v>
      </c>
      <c r="S722" s="64"/>
    </row>
    <row r="723" spans="2:19" x14ac:dyDescent="0.25">
      <c r="B723" s="5">
        <f t="shared" si="11"/>
        <v>720</v>
      </c>
      <c r="C723" s="6"/>
      <c r="D723" s="6" t="s">
        <v>903</v>
      </c>
      <c r="E723" s="40" t="s">
        <v>2232</v>
      </c>
      <c r="F723" s="41">
        <v>830</v>
      </c>
      <c r="G723" s="6" t="s">
        <v>104</v>
      </c>
      <c r="H723" s="6"/>
      <c r="I723" s="6"/>
      <c r="J723" s="6"/>
      <c r="K723" s="7"/>
      <c r="L723" s="51"/>
      <c r="M723" s="52"/>
      <c r="N723" s="52"/>
      <c r="O723" s="6"/>
      <c r="P723" s="32" t="e">
        <f>VLOOKUP(Table311[[#This Row],[UNIT NO.]],[1]!Table35711[[#Headers],[#Data],[Unit '#]:[Application/Sold/ Unsold]],7,0)</f>
        <v>#REF!</v>
      </c>
      <c r="S723" s="64"/>
    </row>
    <row r="724" spans="2:19" x14ac:dyDescent="0.25">
      <c r="B724" s="5">
        <f t="shared" si="11"/>
        <v>721</v>
      </c>
      <c r="C724" s="6"/>
      <c r="D724" s="6" t="s">
        <v>903</v>
      </c>
      <c r="E724" s="40" t="s">
        <v>2233</v>
      </c>
      <c r="F724" s="41">
        <v>830</v>
      </c>
      <c r="G724" s="6" t="s">
        <v>104</v>
      </c>
      <c r="H724" s="6"/>
      <c r="I724" s="6"/>
      <c r="J724" s="6"/>
      <c r="K724" s="7"/>
      <c r="L724" s="51"/>
      <c r="M724" s="52"/>
      <c r="N724" s="52"/>
      <c r="O724" s="6"/>
      <c r="P724" s="32" t="e">
        <f>VLOOKUP(Table311[[#This Row],[UNIT NO.]],[1]!Table35711[[#Headers],[#Data],[Unit '#]:[Application/Sold/ Unsold]],7,0)</f>
        <v>#REF!</v>
      </c>
      <c r="S724" s="64"/>
    </row>
    <row r="725" spans="2:19" x14ac:dyDescent="0.25">
      <c r="B725" s="5">
        <f t="shared" si="11"/>
        <v>722</v>
      </c>
      <c r="C725" s="6"/>
      <c r="D725" s="6" t="s">
        <v>903</v>
      </c>
      <c r="E725" s="40" t="s">
        <v>2234</v>
      </c>
      <c r="F725" s="41">
        <v>830</v>
      </c>
      <c r="G725" s="6" t="s">
        <v>32</v>
      </c>
      <c r="H725" s="6"/>
      <c r="I725" s="6"/>
      <c r="J725" s="6"/>
      <c r="K725" s="7"/>
      <c r="L725" s="51"/>
      <c r="M725" s="52"/>
      <c r="N725" s="52"/>
      <c r="O725" s="6"/>
      <c r="P725" s="32" t="e">
        <f>VLOOKUP(Table311[[#This Row],[UNIT NO.]],[1]!Table35711[[#Headers],[#Data],[Unit '#]:[Application/Sold/ Unsold]],7,0)</f>
        <v>#REF!</v>
      </c>
      <c r="S725" s="64"/>
    </row>
    <row r="726" spans="2:19" x14ac:dyDescent="0.25">
      <c r="B726" s="5">
        <f t="shared" si="11"/>
        <v>723</v>
      </c>
      <c r="C726" s="6"/>
      <c r="D726" s="6" t="s">
        <v>903</v>
      </c>
      <c r="E726" s="40" t="s">
        <v>2235</v>
      </c>
      <c r="F726" s="41">
        <v>830</v>
      </c>
      <c r="G726" s="6" t="s">
        <v>32</v>
      </c>
      <c r="H726" s="6"/>
      <c r="I726" s="6"/>
      <c r="J726" s="6"/>
      <c r="K726" s="7"/>
      <c r="L726" s="51"/>
      <c r="M726" s="52"/>
      <c r="N726" s="52"/>
      <c r="O726" s="6"/>
      <c r="P726" s="32" t="e">
        <f>VLOOKUP(Table311[[#This Row],[UNIT NO.]],[1]!Table35711[[#Headers],[#Data],[Unit '#]:[Application/Sold/ Unsold]],7,0)</f>
        <v>#REF!</v>
      </c>
      <c r="S726" s="64"/>
    </row>
    <row r="727" spans="2:19" x14ac:dyDescent="0.25">
      <c r="B727" s="5">
        <f t="shared" si="11"/>
        <v>724</v>
      </c>
      <c r="C727" s="6"/>
      <c r="D727" s="6" t="s">
        <v>903</v>
      </c>
      <c r="E727" s="40" t="s">
        <v>2236</v>
      </c>
      <c r="F727" s="41">
        <v>830</v>
      </c>
      <c r="G727" s="6" t="s">
        <v>104</v>
      </c>
      <c r="H727" s="6"/>
      <c r="I727" s="6"/>
      <c r="J727" s="6"/>
      <c r="K727" s="7"/>
      <c r="L727" s="51"/>
      <c r="M727" s="52"/>
      <c r="N727" s="52"/>
      <c r="O727" s="6"/>
      <c r="P727" s="32" t="e">
        <f>VLOOKUP(Table311[[#This Row],[UNIT NO.]],[1]!Table35711[[#Headers],[#Data],[Unit '#]:[Application/Sold/ Unsold]],7,0)</f>
        <v>#REF!</v>
      </c>
      <c r="S727" s="64"/>
    </row>
    <row r="728" spans="2:19" x14ac:dyDescent="0.25">
      <c r="B728" s="5">
        <f t="shared" si="11"/>
        <v>725</v>
      </c>
      <c r="C728" s="6"/>
      <c r="D728" s="6" t="s">
        <v>903</v>
      </c>
      <c r="E728" s="40" t="s">
        <v>2237</v>
      </c>
      <c r="F728" s="41">
        <v>830</v>
      </c>
      <c r="G728" s="6" t="s">
        <v>104</v>
      </c>
      <c r="H728" s="6"/>
      <c r="I728" s="6"/>
      <c r="J728" s="6"/>
      <c r="K728" s="7"/>
      <c r="L728" s="51"/>
      <c r="M728" s="52"/>
      <c r="N728" s="52"/>
      <c r="O728" s="6"/>
      <c r="P728" s="32" t="e">
        <f>VLOOKUP(Table311[[#This Row],[UNIT NO.]],[1]!Table35711[[#Headers],[#Data],[Unit '#]:[Application/Sold/ Unsold]],7,0)</f>
        <v>#REF!</v>
      </c>
      <c r="S728" s="64"/>
    </row>
    <row r="729" spans="2:19" x14ac:dyDescent="0.25">
      <c r="B729" s="5">
        <f t="shared" si="11"/>
        <v>726</v>
      </c>
      <c r="C729" s="6"/>
      <c r="D729" s="6" t="s">
        <v>903</v>
      </c>
      <c r="E729" s="40" t="s">
        <v>2238</v>
      </c>
      <c r="F729" s="41">
        <v>830</v>
      </c>
      <c r="G729" s="6" t="s">
        <v>104</v>
      </c>
      <c r="H729" s="6"/>
      <c r="I729" s="6"/>
      <c r="J729" s="6"/>
      <c r="K729" s="7"/>
      <c r="L729" s="51"/>
      <c r="M729" s="52"/>
      <c r="N729" s="52"/>
      <c r="O729" s="6"/>
      <c r="P729" s="32" t="e">
        <f>VLOOKUP(Table311[[#This Row],[UNIT NO.]],[1]!Table35711[[#Headers],[#Data],[Unit '#]:[Application/Sold/ Unsold]],7,0)</f>
        <v>#REF!</v>
      </c>
      <c r="S729" s="64"/>
    </row>
    <row r="730" spans="2:19" x14ac:dyDescent="0.25">
      <c r="B730" s="5">
        <f t="shared" si="11"/>
        <v>727</v>
      </c>
      <c r="C730" s="6"/>
      <c r="D730" s="6" t="s">
        <v>903</v>
      </c>
      <c r="E730" s="40" t="s">
        <v>2239</v>
      </c>
      <c r="F730" s="41">
        <v>830</v>
      </c>
      <c r="G730" s="6" t="s">
        <v>104</v>
      </c>
      <c r="H730" s="6"/>
      <c r="I730" s="6"/>
      <c r="J730" s="6"/>
      <c r="K730" s="7"/>
      <c r="L730" s="51"/>
      <c r="M730" s="52"/>
      <c r="N730" s="52"/>
      <c r="O730" s="6"/>
      <c r="P730" s="32" t="e">
        <f>VLOOKUP(Table311[[#This Row],[UNIT NO.]],[1]!Table35711[[#Headers],[#Data],[Unit '#]:[Application/Sold/ Unsold]],7,0)</f>
        <v>#REF!</v>
      </c>
      <c r="S730" s="64"/>
    </row>
    <row r="731" spans="2:19" x14ac:dyDescent="0.25">
      <c r="B731" s="5">
        <f t="shared" si="11"/>
        <v>728</v>
      </c>
      <c r="C731" s="6"/>
      <c r="D731" s="6" t="s">
        <v>903</v>
      </c>
      <c r="E731" s="40" t="s">
        <v>2240</v>
      </c>
      <c r="F731" s="41">
        <v>830</v>
      </c>
      <c r="G731" s="6" t="s">
        <v>104</v>
      </c>
      <c r="H731" s="6"/>
      <c r="I731" s="6"/>
      <c r="J731" s="6"/>
      <c r="K731" s="7"/>
      <c r="L731" s="51"/>
      <c r="M731" s="52"/>
      <c r="N731" s="52"/>
      <c r="O731" s="6"/>
      <c r="P731" s="32" t="e">
        <f>VLOOKUP(Table311[[#This Row],[UNIT NO.]],[1]!Table35711[[#Headers],[#Data],[Unit '#]:[Application/Sold/ Unsold]],7,0)</f>
        <v>#REF!</v>
      </c>
      <c r="S731" s="64"/>
    </row>
    <row r="732" spans="2:19" x14ac:dyDescent="0.25">
      <c r="B732" s="5">
        <f t="shared" si="11"/>
        <v>729</v>
      </c>
      <c r="C732" s="6"/>
      <c r="D732" s="6" t="s">
        <v>903</v>
      </c>
      <c r="E732" s="40" t="s">
        <v>2241</v>
      </c>
      <c r="F732" s="41">
        <v>830</v>
      </c>
      <c r="G732" s="6" t="s">
        <v>104</v>
      </c>
      <c r="H732" s="6"/>
      <c r="I732" s="6"/>
      <c r="J732" s="6"/>
      <c r="K732" s="7"/>
      <c r="L732" s="51"/>
      <c r="M732" s="52"/>
      <c r="N732" s="52"/>
      <c r="O732" s="6"/>
      <c r="P732" s="32" t="e">
        <f>VLOOKUP(Table311[[#This Row],[UNIT NO.]],[1]!Table35711[[#Headers],[#Data],[Unit '#]:[Application/Sold/ Unsold]],7,0)</f>
        <v>#REF!</v>
      </c>
      <c r="S732" s="64"/>
    </row>
    <row r="733" spans="2:19" x14ac:dyDescent="0.25">
      <c r="B733" s="5">
        <f t="shared" si="11"/>
        <v>730</v>
      </c>
      <c r="C733" s="6"/>
      <c r="D733" s="6" t="s">
        <v>903</v>
      </c>
      <c r="E733" s="40" t="s">
        <v>2242</v>
      </c>
      <c r="F733" s="41">
        <v>830</v>
      </c>
      <c r="G733" s="6" t="s">
        <v>104</v>
      </c>
      <c r="H733" s="6"/>
      <c r="I733" s="6"/>
      <c r="J733" s="6"/>
      <c r="K733" s="7"/>
      <c r="L733" s="51"/>
      <c r="M733" s="52"/>
      <c r="N733" s="52"/>
      <c r="O733" s="6"/>
      <c r="P733" s="32" t="e">
        <f>VLOOKUP(Table311[[#This Row],[UNIT NO.]],[1]!Table35711[[#Headers],[#Data],[Unit '#]:[Application/Sold/ Unsold]],7,0)</f>
        <v>#REF!</v>
      </c>
      <c r="S733" s="64"/>
    </row>
    <row r="734" spans="2:19" x14ac:dyDescent="0.25">
      <c r="B734" s="5">
        <f t="shared" si="11"/>
        <v>731</v>
      </c>
      <c r="C734" s="6"/>
      <c r="D734" s="6" t="s">
        <v>903</v>
      </c>
      <c r="E734" s="40" t="s">
        <v>2243</v>
      </c>
      <c r="F734" s="41">
        <v>830</v>
      </c>
      <c r="G734" s="6" t="s">
        <v>104</v>
      </c>
      <c r="H734" s="6"/>
      <c r="I734" s="6"/>
      <c r="J734" s="6"/>
      <c r="K734" s="7"/>
      <c r="L734" s="51"/>
      <c r="M734" s="52"/>
      <c r="N734" s="52"/>
      <c r="O734" s="6"/>
      <c r="P734" s="32" t="e">
        <f>VLOOKUP(Table311[[#This Row],[UNIT NO.]],[1]!Table35711[[#Headers],[#Data],[Unit '#]:[Application/Sold/ Unsold]],7,0)</f>
        <v>#REF!</v>
      </c>
      <c r="S734" s="64"/>
    </row>
    <row r="735" spans="2:19" x14ac:dyDescent="0.25">
      <c r="B735" s="5">
        <f t="shared" si="11"/>
        <v>732</v>
      </c>
      <c r="C735" s="6"/>
      <c r="D735" s="6" t="s">
        <v>903</v>
      </c>
      <c r="E735" s="40" t="s">
        <v>2244</v>
      </c>
      <c r="F735" s="41">
        <v>830</v>
      </c>
      <c r="G735" s="6" t="s">
        <v>104</v>
      </c>
      <c r="H735" s="6"/>
      <c r="I735" s="6"/>
      <c r="J735" s="6"/>
      <c r="K735" s="7"/>
      <c r="L735" s="51"/>
      <c r="M735" s="52"/>
      <c r="N735" s="52"/>
      <c r="O735" s="6"/>
      <c r="P735" s="32" t="e">
        <f>VLOOKUP(Table311[[#This Row],[UNIT NO.]],[1]!Table35711[[#Headers],[#Data],[Unit '#]:[Application/Sold/ Unsold]],7,0)</f>
        <v>#REF!</v>
      </c>
      <c r="S735" s="64"/>
    </row>
    <row r="736" spans="2:19" x14ac:dyDescent="0.25">
      <c r="B736" s="5">
        <f t="shared" si="11"/>
        <v>733</v>
      </c>
      <c r="C736" s="6"/>
      <c r="D736" s="6" t="s">
        <v>903</v>
      </c>
      <c r="E736" s="40" t="s">
        <v>2245</v>
      </c>
      <c r="F736" s="41">
        <v>830</v>
      </c>
      <c r="G736" s="6" t="s">
        <v>104</v>
      </c>
      <c r="H736" s="6"/>
      <c r="I736" s="6"/>
      <c r="J736" s="6"/>
      <c r="K736" s="7"/>
      <c r="L736" s="51"/>
      <c r="M736" s="52"/>
      <c r="N736" s="52"/>
      <c r="O736" s="6"/>
      <c r="P736" s="32" t="e">
        <f>VLOOKUP(Table311[[#This Row],[UNIT NO.]],[1]!Table35711[[#Headers],[#Data],[Unit '#]:[Application/Sold/ Unsold]],7,0)</f>
        <v>#REF!</v>
      </c>
      <c r="S736" s="64"/>
    </row>
    <row r="737" spans="2:19" x14ac:dyDescent="0.25">
      <c r="B737" s="5">
        <f t="shared" si="11"/>
        <v>734</v>
      </c>
      <c r="C737" s="6"/>
      <c r="D737" s="6" t="s">
        <v>903</v>
      </c>
      <c r="E737" s="40" t="s">
        <v>2246</v>
      </c>
      <c r="F737" s="41">
        <v>830</v>
      </c>
      <c r="G737" s="6" t="s">
        <v>104</v>
      </c>
      <c r="H737" s="6"/>
      <c r="I737" s="6"/>
      <c r="J737" s="6"/>
      <c r="K737" s="7"/>
      <c r="L737" s="51"/>
      <c r="M737" s="52"/>
      <c r="N737" s="52"/>
      <c r="O737" s="6"/>
      <c r="P737" s="32" t="e">
        <f>VLOOKUP(Table311[[#This Row],[UNIT NO.]],[1]!Table35711[[#Headers],[#Data],[Unit '#]:[Application/Sold/ Unsold]],7,0)</f>
        <v>#REF!</v>
      </c>
      <c r="S737" s="64"/>
    </row>
    <row r="738" spans="2:19" x14ac:dyDescent="0.25">
      <c r="B738" s="5">
        <f t="shared" si="11"/>
        <v>735</v>
      </c>
      <c r="C738" s="6"/>
      <c r="D738" s="6" t="s">
        <v>903</v>
      </c>
      <c r="E738" s="40" t="s">
        <v>2247</v>
      </c>
      <c r="F738" s="41">
        <v>830</v>
      </c>
      <c r="G738" s="6" t="s">
        <v>104</v>
      </c>
      <c r="H738" s="6"/>
      <c r="I738" s="6"/>
      <c r="J738" s="6"/>
      <c r="K738" s="7"/>
      <c r="L738" s="51"/>
      <c r="M738" s="52"/>
      <c r="N738" s="52"/>
      <c r="O738" s="6"/>
      <c r="P738" s="32" t="e">
        <f>VLOOKUP(Table311[[#This Row],[UNIT NO.]],[1]!Table35711[[#Headers],[#Data],[Unit '#]:[Application/Sold/ Unsold]],7,0)</f>
        <v>#REF!</v>
      </c>
      <c r="S738" s="64"/>
    </row>
    <row r="739" spans="2:19" x14ac:dyDescent="0.25">
      <c r="B739" s="5">
        <f t="shared" si="11"/>
        <v>736</v>
      </c>
      <c r="C739" s="6"/>
      <c r="D739" s="6" t="s">
        <v>903</v>
      </c>
      <c r="E739" s="40" t="s">
        <v>2248</v>
      </c>
      <c r="F739" s="41">
        <v>830</v>
      </c>
      <c r="G739" s="6" t="s">
        <v>104</v>
      </c>
      <c r="H739" s="6"/>
      <c r="I739" s="6"/>
      <c r="J739" s="6"/>
      <c r="K739" s="7"/>
      <c r="L739" s="51"/>
      <c r="M739" s="52"/>
      <c r="N739" s="52"/>
      <c r="O739" s="6"/>
      <c r="P739" s="32" t="e">
        <f>VLOOKUP(Table311[[#This Row],[UNIT NO.]],[1]!Table35711[[#Headers],[#Data],[Unit '#]:[Application/Sold/ Unsold]],7,0)</f>
        <v>#REF!</v>
      </c>
      <c r="S739" s="64"/>
    </row>
    <row r="740" spans="2:19" x14ac:dyDescent="0.25">
      <c r="B740" s="5">
        <f t="shared" si="11"/>
        <v>737</v>
      </c>
      <c r="C740" s="6"/>
      <c r="D740" s="6" t="s">
        <v>903</v>
      </c>
      <c r="E740" s="40" t="s">
        <v>2249</v>
      </c>
      <c r="F740" s="41">
        <v>830</v>
      </c>
      <c r="G740" s="6" t="s">
        <v>104</v>
      </c>
      <c r="H740" s="6"/>
      <c r="I740" s="6"/>
      <c r="J740" s="6"/>
      <c r="K740" s="7"/>
      <c r="L740" s="51"/>
      <c r="M740" s="52"/>
      <c r="N740" s="52"/>
      <c r="O740" s="6"/>
      <c r="P740" s="32" t="e">
        <f>VLOOKUP(Table311[[#This Row],[UNIT NO.]],[1]!Table35711[[#Headers],[#Data],[Unit '#]:[Application/Sold/ Unsold]],7,0)</f>
        <v>#REF!</v>
      </c>
      <c r="S740" s="64"/>
    </row>
    <row r="741" spans="2:19" x14ac:dyDescent="0.25">
      <c r="B741" s="5">
        <f t="shared" si="11"/>
        <v>738</v>
      </c>
      <c r="C741" s="6"/>
      <c r="D741" s="6" t="s">
        <v>903</v>
      </c>
      <c r="E741" s="40" t="s">
        <v>2250</v>
      </c>
      <c r="F741" s="41">
        <v>830</v>
      </c>
      <c r="G741" s="6" t="s">
        <v>104</v>
      </c>
      <c r="H741" s="6"/>
      <c r="I741" s="6"/>
      <c r="J741" s="6"/>
      <c r="K741" s="7"/>
      <c r="L741" s="51"/>
      <c r="M741" s="52"/>
      <c r="N741" s="52"/>
      <c r="O741" s="6"/>
      <c r="P741" s="32" t="e">
        <f>VLOOKUP(Table311[[#This Row],[UNIT NO.]],[1]!Table35711[[#Headers],[#Data],[Unit '#]:[Application/Sold/ Unsold]],7,0)</f>
        <v>#REF!</v>
      </c>
      <c r="S741" s="64"/>
    </row>
    <row r="742" spans="2:19" x14ac:dyDescent="0.25">
      <c r="B742" s="5">
        <f t="shared" si="11"/>
        <v>739</v>
      </c>
      <c r="C742" s="6"/>
      <c r="D742" s="6" t="s">
        <v>903</v>
      </c>
      <c r="E742" s="40" t="s">
        <v>2251</v>
      </c>
      <c r="F742" s="41">
        <v>830</v>
      </c>
      <c r="G742" s="6" t="s">
        <v>104</v>
      </c>
      <c r="H742" s="6"/>
      <c r="I742" s="6"/>
      <c r="J742" s="6"/>
      <c r="K742" s="7"/>
      <c r="L742" s="51"/>
      <c r="M742" s="52"/>
      <c r="N742" s="52"/>
      <c r="O742" s="6"/>
      <c r="P742" s="32" t="e">
        <f>VLOOKUP(Table311[[#This Row],[UNIT NO.]],[1]!Table35711[[#Headers],[#Data],[Unit '#]:[Application/Sold/ Unsold]],7,0)</f>
        <v>#REF!</v>
      </c>
      <c r="S742" s="64"/>
    </row>
    <row r="743" spans="2:19" x14ac:dyDescent="0.25">
      <c r="B743" s="5">
        <f t="shared" si="11"/>
        <v>740</v>
      </c>
      <c r="C743" s="6"/>
      <c r="D743" s="6" t="s">
        <v>903</v>
      </c>
      <c r="E743" s="40" t="s">
        <v>2252</v>
      </c>
      <c r="F743" s="41">
        <v>830</v>
      </c>
      <c r="G743" s="6" t="s">
        <v>32</v>
      </c>
      <c r="H743" s="6"/>
      <c r="I743" s="6"/>
      <c r="J743" s="6"/>
      <c r="K743" s="7"/>
      <c r="L743" s="51"/>
      <c r="M743" s="52"/>
      <c r="N743" s="52"/>
      <c r="O743" s="6"/>
      <c r="P743" s="32" t="e">
        <f>VLOOKUP(Table311[[#This Row],[UNIT NO.]],[1]!Table35711[[#Headers],[#Data],[Unit '#]:[Application/Sold/ Unsold]],7,0)</f>
        <v>#REF!</v>
      </c>
      <c r="S743" s="64"/>
    </row>
    <row r="744" spans="2:19" x14ac:dyDescent="0.25">
      <c r="B744" s="5">
        <f t="shared" si="11"/>
        <v>741</v>
      </c>
      <c r="C744" s="6"/>
      <c r="D744" s="6" t="s">
        <v>903</v>
      </c>
      <c r="E744" s="40" t="s">
        <v>2253</v>
      </c>
      <c r="F744" s="41">
        <v>830</v>
      </c>
      <c r="G744" s="6" t="s">
        <v>104</v>
      </c>
      <c r="H744" s="6"/>
      <c r="I744" s="6"/>
      <c r="J744" s="6"/>
      <c r="K744" s="7"/>
      <c r="L744" s="51"/>
      <c r="M744" s="52"/>
      <c r="N744" s="52"/>
      <c r="O744" s="6"/>
      <c r="P744" s="32" t="e">
        <f>VLOOKUP(Table311[[#This Row],[UNIT NO.]],[1]!Table35711[[#Headers],[#Data],[Unit '#]:[Application/Sold/ Unsold]],7,0)</f>
        <v>#REF!</v>
      </c>
      <c r="S744" s="64"/>
    </row>
    <row r="745" spans="2:19" x14ac:dyDescent="0.25">
      <c r="B745" s="5">
        <f t="shared" si="11"/>
        <v>742</v>
      </c>
      <c r="C745" s="6"/>
      <c r="D745" s="6" t="s">
        <v>903</v>
      </c>
      <c r="E745" s="40" t="s">
        <v>2254</v>
      </c>
      <c r="F745" s="41">
        <v>830</v>
      </c>
      <c r="G745" s="6" t="s">
        <v>104</v>
      </c>
      <c r="H745" s="6"/>
      <c r="I745" s="6"/>
      <c r="J745" s="6"/>
      <c r="K745" s="7"/>
      <c r="L745" s="51"/>
      <c r="M745" s="52"/>
      <c r="N745" s="52"/>
      <c r="O745" s="6"/>
      <c r="P745" s="32" t="e">
        <f>VLOOKUP(Table311[[#This Row],[UNIT NO.]],[1]!Table35711[[#Headers],[#Data],[Unit '#]:[Application/Sold/ Unsold]],7,0)</f>
        <v>#REF!</v>
      </c>
      <c r="S745" s="64"/>
    </row>
    <row r="746" spans="2:19" x14ac:dyDescent="0.25">
      <c r="B746" s="5">
        <f t="shared" si="11"/>
        <v>743</v>
      </c>
      <c r="C746" s="6"/>
      <c r="D746" s="6" t="s">
        <v>903</v>
      </c>
      <c r="E746" s="40" t="s">
        <v>2255</v>
      </c>
      <c r="F746" s="41">
        <v>830</v>
      </c>
      <c r="G746" s="6" t="s">
        <v>104</v>
      </c>
      <c r="H746" s="6"/>
      <c r="I746" s="6"/>
      <c r="J746" s="6"/>
      <c r="K746" s="7"/>
      <c r="L746" s="51"/>
      <c r="M746" s="52"/>
      <c r="N746" s="52"/>
      <c r="O746" s="6"/>
      <c r="P746" s="32" t="e">
        <f>VLOOKUP(Table311[[#This Row],[UNIT NO.]],[1]!Table35711[[#Headers],[#Data],[Unit '#]:[Application/Sold/ Unsold]],7,0)</f>
        <v>#REF!</v>
      </c>
      <c r="S746" s="64"/>
    </row>
    <row r="747" spans="2:19" x14ac:dyDescent="0.25">
      <c r="B747" s="5">
        <f t="shared" si="11"/>
        <v>744</v>
      </c>
      <c r="C747" s="6"/>
      <c r="D747" s="6" t="s">
        <v>903</v>
      </c>
      <c r="E747" s="40" t="s">
        <v>2256</v>
      </c>
      <c r="F747" s="41">
        <v>830</v>
      </c>
      <c r="G747" s="6" t="s">
        <v>104</v>
      </c>
      <c r="H747" s="6"/>
      <c r="I747" s="6"/>
      <c r="J747" s="6"/>
      <c r="K747" s="7"/>
      <c r="L747" s="51"/>
      <c r="M747" s="52"/>
      <c r="N747" s="52"/>
      <c r="O747" s="6"/>
      <c r="P747" s="32" t="e">
        <f>VLOOKUP(Table311[[#This Row],[UNIT NO.]],[1]!Table35711[[#Headers],[#Data],[Unit '#]:[Application/Sold/ Unsold]],7,0)</f>
        <v>#REF!</v>
      </c>
      <c r="S747" s="64"/>
    </row>
    <row r="748" spans="2:19" x14ac:dyDescent="0.25">
      <c r="B748" s="5">
        <f t="shared" si="11"/>
        <v>745</v>
      </c>
      <c r="C748" s="6"/>
      <c r="D748" s="6" t="s">
        <v>903</v>
      </c>
      <c r="E748" s="40" t="s">
        <v>2257</v>
      </c>
      <c r="F748" s="41">
        <v>830</v>
      </c>
      <c r="G748" s="6" t="s">
        <v>104</v>
      </c>
      <c r="H748" s="6"/>
      <c r="I748" s="6"/>
      <c r="J748" s="6"/>
      <c r="K748" s="7"/>
      <c r="L748" s="51"/>
      <c r="M748" s="52"/>
      <c r="N748" s="52"/>
      <c r="O748" s="6"/>
      <c r="P748" s="32" t="e">
        <f>VLOOKUP(Table311[[#This Row],[UNIT NO.]],[1]!Table35711[[#Headers],[#Data],[Unit '#]:[Application/Sold/ Unsold]],7,0)</f>
        <v>#REF!</v>
      </c>
      <c r="S748" s="64"/>
    </row>
    <row r="749" spans="2:19" x14ac:dyDescent="0.25">
      <c r="B749" s="5">
        <f t="shared" si="11"/>
        <v>746</v>
      </c>
      <c r="C749" s="6"/>
      <c r="D749" s="6" t="s">
        <v>903</v>
      </c>
      <c r="E749" s="40" t="s">
        <v>2258</v>
      </c>
      <c r="F749" s="41">
        <v>830</v>
      </c>
      <c r="G749" s="6" t="s">
        <v>104</v>
      </c>
      <c r="H749" s="6"/>
      <c r="I749" s="6"/>
      <c r="J749" s="6"/>
      <c r="K749" s="7"/>
      <c r="L749" s="51"/>
      <c r="M749" s="52"/>
      <c r="N749" s="52"/>
      <c r="O749" s="6"/>
      <c r="P749" s="32" t="e">
        <f>VLOOKUP(Table311[[#This Row],[UNIT NO.]],[1]!Table35711[[#Headers],[#Data],[Unit '#]:[Application/Sold/ Unsold]],7,0)</f>
        <v>#REF!</v>
      </c>
      <c r="S749" s="64"/>
    </row>
    <row r="750" spans="2:19" x14ac:dyDescent="0.25">
      <c r="B750" s="5">
        <f t="shared" si="11"/>
        <v>747</v>
      </c>
      <c r="C750" s="6"/>
      <c r="D750" s="6" t="s">
        <v>903</v>
      </c>
      <c r="E750" s="40" t="s">
        <v>2259</v>
      </c>
      <c r="F750" s="41">
        <v>830</v>
      </c>
      <c r="G750" s="6" t="s">
        <v>104</v>
      </c>
      <c r="H750" s="6"/>
      <c r="I750" s="6"/>
      <c r="J750" s="6"/>
      <c r="K750" s="7"/>
      <c r="L750" s="51"/>
      <c r="M750" s="52"/>
      <c r="N750" s="52"/>
      <c r="O750" s="6"/>
      <c r="P750" s="32" t="e">
        <f>VLOOKUP(Table311[[#This Row],[UNIT NO.]],[1]!Table35711[[#Headers],[#Data],[Unit '#]:[Application/Sold/ Unsold]],7,0)</f>
        <v>#REF!</v>
      </c>
      <c r="S750" s="64"/>
    </row>
    <row r="751" spans="2:19" x14ac:dyDescent="0.25">
      <c r="B751" s="5">
        <f t="shared" si="11"/>
        <v>748</v>
      </c>
      <c r="C751" s="6"/>
      <c r="D751" s="6" t="s">
        <v>903</v>
      </c>
      <c r="E751" s="40" t="s">
        <v>2260</v>
      </c>
      <c r="F751" s="41">
        <v>830</v>
      </c>
      <c r="G751" s="6" t="s">
        <v>32</v>
      </c>
      <c r="H751" s="6"/>
      <c r="I751" s="6"/>
      <c r="J751" s="6"/>
      <c r="K751" s="7"/>
      <c r="L751" s="51"/>
      <c r="M751" s="52"/>
      <c r="N751" s="52"/>
      <c r="O751" s="6"/>
      <c r="P751" s="32" t="e">
        <f>VLOOKUP(Table311[[#This Row],[UNIT NO.]],[1]!Table35711[[#Headers],[#Data],[Unit '#]:[Application/Sold/ Unsold]],7,0)</f>
        <v>#REF!</v>
      </c>
      <c r="S751" s="64"/>
    </row>
    <row r="752" spans="2:19" x14ac:dyDescent="0.25">
      <c r="B752" s="5">
        <f t="shared" si="11"/>
        <v>749</v>
      </c>
      <c r="C752" s="6"/>
      <c r="D752" s="6" t="s">
        <v>903</v>
      </c>
      <c r="E752" s="40" t="s">
        <v>2261</v>
      </c>
      <c r="F752" s="41">
        <v>830</v>
      </c>
      <c r="G752" s="6" t="s">
        <v>104</v>
      </c>
      <c r="H752" s="6"/>
      <c r="I752" s="6"/>
      <c r="J752" s="6"/>
      <c r="K752" s="7"/>
      <c r="L752" s="51"/>
      <c r="M752" s="52"/>
      <c r="N752" s="52"/>
      <c r="O752" s="6"/>
      <c r="P752" s="32" t="e">
        <f>VLOOKUP(Table311[[#This Row],[UNIT NO.]],[1]!Table35711[[#Headers],[#Data],[Unit '#]:[Application/Sold/ Unsold]],7,0)</f>
        <v>#REF!</v>
      </c>
      <c r="S752" s="64"/>
    </row>
    <row r="753" spans="2:19" x14ac:dyDescent="0.25">
      <c r="B753" s="5">
        <f t="shared" si="11"/>
        <v>750</v>
      </c>
      <c r="C753" s="6"/>
      <c r="D753" s="6" t="s">
        <v>903</v>
      </c>
      <c r="E753" s="40" t="s">
        <v>2262</v>
      </c>
      <c r="F753" s="41">
        <v>830</v>
      </c>
      <c r="G753" s="6" t="s">
        <v>104</v>
      </c>
      <c r="H753" s="6"/>
      <c r="I753" s="6"/>
      <c r="J753" s="6"/>
      <c r="K753" s="7"/>
      <c r="L753" s="51"/>
      <c r="M753" s="52"/>
      <c r="N753" s="52"/>
      <c r="O753" s="6"/>
      <c r="P753" s="32" t="e">
        <f>VLOOKUP(Table311[[#This Row],[UNIT NO.]],[1]!Table35711[[#Headers],[#Data],[Unit '#]:[Application/Sold/ Unsold]],7,0)</f>
        <v>#REF!</v>
      </c>
      <c r="S753" s="64"/>
    </row>
    <row r="754" spans="2:19" x14ac:dyDescent="0.25">
      <c r="B754" s="5">
        <f t="shared" si="11"/>
        <v>751</v>
      </c>
      <c r="C754" s="6"/>
      <c r="D754" s="6" t="s">
        <v>903</v>
      </c>
      <c r="E754" s="40" t="s">
        <v>2263</v>
      </c>
      <c r="F754" s="41">
        <v>830</v>
      </c>
      <c r="G754" s="6" t="s">
        <v>104</v>
      </c>
      <c r="H754" s="6"/>
      <c r="I754" s="6"/>
      <c r="J754" s="6"/>
      <c r="K754" s="7"/>
      <c r="L754" s="51"/>
      <c r="M754" s="52"/>
      <c r="N754" s="52"/>
      <c r="O754" s="6"/>
      <c r="P754" s="32" t="e">
        <f>VLOOKUP(Table311[[#This Row],[UNIT NO.]],[1]!Table35711[[#Headers],[#Data],[Unit '#]:[Application/Sold/ Unsold]],7,0)</f>
        <v>#REF!</v>
      </c>
      <c r="S754" s="64"/>
    </row>
    <row r="755" spans="2:19" x14ac:dyDescent="0.25">
      <c r="B755" s="5">
        <f t="shared" si="11"/>
        <v>752</v>
      </c>
      <c r="C755" s="6"/>
      <c r="D755" s="6" t="s">
        <v>903</v>
      </c>
      <c r="E755" s="40" t="s">
        <v>2264</v>
      </c>
      <c r="F755" s="41">
        <v>830</v>
      </c>
      <c r="G755" s="6" t="s">
        <v>104</v>
      </c>
      <c r="H755" s="6"/>
      <c r="I755" s="6"/>
      <c r="J755" s="6"/>
      <c r="K755" s="7"/>
      <c r="L755" s="51"/>
      <c r="M755" s="52"/>
      <c r="N755" s="52"/>
      <c r="O755" s="6"/>
      <c r="P755" s="32" t="e">
        <f>VLOOKUP(Table311[[#This Row],[UNIT NO.]],[1]!Table35711[[#Headers],[#Data],[Unit '#]:[Application/Sold/ Unsold]],7,0)</f>
        <v>#REF!</v>
      </c>
      <c r="S755" s="64"/>
    </row>
    <row r="756" spans="2:19" x14ac:dyDescent="0.25">
      <c r="B756" s="5">
        <f t="shared" si="11"/>
        <v>753</v>
      </c>
      <c r="C756" s="6"/>
      <c r="D756" s="6" t="s">
        <v>903</v>
      </c>
      <c r="E756" s="40" t="s">
        <v>2265</v>
      </c>
      <c r="F756" s="41">
        <v>830</v>
      </c>
      <c r="G756" s="6" t="s">
        <v>32</v>
      </c>
      <c r="H756" s="6"/>
      <c r="I756" s="6"/>
      <c r="J756" s="6"/>
      <c r="K756" s="7"/>
      <c r="L756" s="51"/>
      <c r="M756" s="52"/>
      <c r="N756" s="52"/>
      <c r="O756" s="6"/>
      <c r="P756" s="32" t="e">
        <f>VLOOKUP(Table311[[#This Row],[UNIT NO.]],[1]!Table35711[[#Headers],[#Data],[Unit '#]:[Application/Sold/ Unsold]],7,0)</f>
        <v>#REF!</v>
      </c>
      <c r="S756" s="64"/>
    </row>
    <row r="757" spans="2:19" x14ac:dyDescent="0.25">
      <c r="B757" s="5">
        <f t="shared" si="11"/>
        <v>754</v>
      </c>
      <c r="C757" s="6"/>
      <c r="D757" s="6" t="s">
        <v>903</v>
      </c>
      <c r="E757" s="40" t="s">
        <v>2266</v>
      </c>
      <c r="F757" s="41">
        <v>1000</v>
      </c>
      <c r="G757" s="6" t="s">
        <v>104</v>
      </c>
      <c r="H757" s="6"/>
      <c r="I757" s="6"/>
      <c r="J757" s="6"/>
      <c r="K757" s="7"/>
      <c r="L757" s="51"/>
      <c r="M757" s="52"/>
      <c r="N757" s="52"/>
      <c r="O757" s="6"/>
      <c r="P757" s="32" t="e">
        <f>VLOOKUP(Table311[[#This Row],[UNIT NO.]],[1]!Table35711[[#Headers],[#Data],[Unit '#]:[Application/Sold/ Unsold]],7,0)</f>
        <v>#REF!</v>
      </c>
      <c r="S757" s="64"/>
    </row>
    <row r="758" spans="2:19" x14ac:dyDescent="0.25">
      <c r="B758" s="5">
        <f t="shared" si="11"/>
        <v>755</v>
      </c>
      <c r="C758" s="6"/>
      <c r="D758" s="6" t="s">
        <v>903</v>
      </c>
      <c r="E758" s="40" t="s">
        <v>2267</v>
      </c>
      <c r="F758" s="41">
        <v>1000</v>
      </c>
      <c r="G758" s="6" t="s">
        <v>104</v>
      </c>
      <c r="H758" s="6"/>
      <c r="I758" s="6"/>
      <c r="J758" s="6"/>
      <c r="K758" s="7"/>
      <c r="L758" s="51"/>
      <c r="M758" s="52"/>
      <c r="N758" s="52"/>
      <c r="O758" s="6"/>
      <c r="P758" s="32" t="e">
        <f>VLOOKUP(Table311[[#This Row],[UNIT NO.]],[1]!Table35711[[#Headers],[#Data],[Unit '#]:[Application/Sold/ Unsold]],7,0)</f>
        <v>#REF!</v>
      </c>
      <c r="S758" s="64"/>
    </row>
    <row r="759" spans="2:19" x14ac:dyDescent="0.25">
      <c r="B759" s="5">
        <f t="shared" si="11"/>
        <v>756</v>
      </c>
      <c r="C759" s="6"/>
      <c r="D759" s="6" t="s">
        <v>903</v>
      </c>
      <c r="E759" s="40" t="s">
        <v>2268</v>
      </c>
      <c r="F759" s="41">
        <v>1000</v>
      </c>
      <c r="G759" s="6" t="s">
        <v>104</v>
      </c>
      <c r="H759" s="6"/>
      <c r="I759" s="6"/>
      <c r="J759" s="6"/>
      <c r="K759" s="7"/>
      <c r="L759" s="51"/>
      <c r="M759" s="52"/>
      <c r="N759" s="52"/>
      <c r="O759" s="6"/>
      <c r="P759" s="32" t="e">
        <f>VLOOKUP(Table311[[#This Row],[UNIT NO.]],[1]!Table35711[[#Headers],[#Data],[Unit '#]:[Application/Sold/ Unsold]],7,0)</f>
        <v>#REF!</v>
      </c>
      <c r="S759" s="64"/>
    </row>
    <row r="760" spans="2:19" x14ac:dyDescent="0.25">
      <c r="B760" s="5">
        <f t="shared" si="11"/>
        <v>757</v>
      </c>
      <c r="C760" s="6"/>
      <c r="D760" s="6" t="s">
        <v>903</v>
      </c>
      <c r="E760" s="40" t="s">
        <v>2269</v>
      </c>
      <c r="F760" s="41">
        <v>1000</v>
      </c>
      <c r="G760" s="6" t="s">
        <v>104</v>
      </c>
      <c r="H760" s="6"/>
      <c r="I760" s="6"/>
      <c r="J760" s="6"/>
      <c r="K760" s="7"/>
      <c r="L760" s="51"/>
      <c r="M760" s="52"/>
      <c r="N760" s="52"/>
      <c r="O760" s="6"/>
      <c r="P760" s="32" t="e">
        <f>VLOOKUP(Table311[[#This Row],[UNIT NO.]],[1]!Table35711[[#Headers],[#Data],[Unit '#]:[Application/Sold/ Unsold]],7,0)</f>
        <v>#REF!</v>
      </c>
      <c r="S760" s="64"/>
    </row>
    <row r="761" spans="2:19" x14ac:dyDescent="0.25">
      <c r="B761" s="5">
        <f t="shared" si="11"/>
        <v>758</v>
      </c>
      <c r="C761" s="6"/>
      <c r="D761" s="6" t="s">
        <v>903</v>
      </c>
      <c r="E761" s="40" t="s">
        <v>2270</v>
      </c>
      <c r="F761" s="41">
        <v>1000</v>
      </c>
      <c r="G761" s="6" t="s">
        <v>104</v>
      </c>
      <c r="H761" s="6"/>
      <c r="I761" s="6"/>
      <c r="J761" s="6"/>
      <c r="K761" s="7"/>
      <c r="L761" s="51"/>
      <c r="M761" s="52"/>
      <c r="N761" s="52"/>
      <c r="O761" s="6"/>
      <c r="P761" s="32" t="e">
        <f>VLOOKUP(Table311[[#This Row],[UNIT NO.]],[1]!Table35711[[#Headers],[#Data],[Unit '#]:[Application/Sold/ Unsold]],7,0)</f>
        <v>#REF!</v>
      </c>
      <c r="S761" s="64"/>
    </row>
    <row r="762" spans="2:19" x14ac:dyDescent="0.25">
      <c r="B762" s="5">
        <f t="shared" si="11"/>
        <v>759</v>
      </c>
      <c r="C762" s="6"/>
      <c r="D762" s="6" t="s">
        <v>903</v>
      </c>
      <c r="E762" s="40" t="s">
        <v>2271</v>
      </c>
      <c r="F762" s="41">
        <v>1000</v>
      </c>
      <c r="G762" s="6" t="s">
        <v>104</v>
      </c>
      <c r="H762" s="6"/>
      <c r="I762" s="6"/>
      <c r="J762" s="6"/>
      <c r="K762" s="7"/>
      <c r="L762" s="51"/>
      <c r="M762" s="52"/>
      <c r="N762" s="52"/>
      <c r="O762" s="6"/>
      <c r="P762" s="32" t="e">
        <f>VLOOKUP(Table311[[#This Row],[UNIT NO.]],[1]!Table35711[[#Headers],[#Data],[Unit '#]:[Application/Sold/ Unsold]],7,0)</f>
        <v>#REF!</v>
      </c>
      <c r="S762" s="64"/>
    </row>
    <row r="763" spans="2:19" x14ac:dyDescent="0.25">
      <c r="B763" s="5">
        <f t="shared" si="11"/>
        <v>760</v>
      </c>
      <c r="C763" s="6"/>
      <c r="D763" s="6" t="s">
        <v>903</v>
      </c>
      <c r="E763" s="40" t="s">
        <v>2272</v>
      </c>
      <c r="F763" s="41">
        <v>1000</v>
      </c>
      <c r="G763" s="6" t="s">
        <v>104</v>
      </c>
      <c r="H763" s="6"/>
      <c r="I763" s="6"/>
      <c r="J763" s="6"/>
      <c r="K763" s="7"/>
      <c r="L763" s="51"/>
      <c r="M763" s="52"/>
      <c r="N763" s="52"/>
      <c r="O763" s="6"/>
      <c r="P763" s="32" t="e">
        <f>VLOOKUP(Table311[[#This Row],[UNIT NO.]],[1]!Table35711[[#Headers],[#Data],[Unit '#]:[Application/Sold/ Unsold]],7,0)</f>
        <v>#REF!</v>
      </c>
      <c r="S763" s="64"/>
    </row>
    <row r="764" spans="2:19" x14ac:dyDescent="0.25">
      <c r="B764" s="5">
        <f t="shared" si="11"/>
        <v>761</v>
      </c>
      <c r="C764" s="6"/>
      <c r="D764" s="6" t="s">
        <v>903</v>
      </c>
      <c r="E764" s="40" t="s">
        <v>2273</v>
      </c>
      <c r="F764" s="41">
        <v>1000</v>
      </c>
      <c r="G764" s="6" t="s">
        <v>104</v>
      </c>
      <c r="H764" s="6"/>
      <c r="I764" s="6"/>
      <c r="J764" s="6"/>
      <c r="K764" s="7"/>
      <c r="L764" s="51"/>
      <c r="M764" s="52"/>
      <c r="N764" s="52"/>
      <c r="O764" s="6"/>
      <c r="P764" s="32" t="e">
        <f>VLOOKUP(Table311[[#This Row],[UNIT NO.]],[1]!Table35711[[#Headers],[#Data],[Unit '#]:[Application/Sold/ Unsold]],7,0)</f>
        <v>#REF!</v>
      </c>
      <c r="S764" s="64"/>
    </row>
    <row r="765" spans="2:19" x14ac:dyDescent="0.25">
      <c r="B765" s="5">
        <f t="shared" si="11"/>
        <v>762</v>
      </c>
      <c r="C765" s="6"/>
      <c r="D765" s="6" t="s">
        <v>903</v>
      </c>
      <c r="E765" s="40" t="s">
        <v>2274</v>
      </c>
      <c r="F765" s="41">
        <v>1000</v>
      </c>
      <c r="G765" s="6" t="s">
        <v>104</v>
      </c>
      <c r="H765" s="6"/>
      <c r="I765" s="6"/>
      <c r="J765" s="6"/>
      <c r="K765" s="7"/>
      <c r="L765" s="51"/>
      <c r="M765" s="52"/>
      <c r="N765" s="52"/>
      <c r="O765" s="6"/>
      <c r="P765" s="32" t="e">
        <f>VLOOKUP(Table311[[#This Row],[UNIT NO.]],[1]!Table35711[[#Headers],[#Data],[Unit '#]:[Application/Sold/ Unsold]],7,0)</f>
        <v>#REF!</v>
      </c>
      <c r="S765" s="64"/>
    </row>
    <row r="766" spans="2:19" x14ac:dyDescent="0.25">
      <c r="B766" s="5">
        <f t="shared" si="11"/>
        <v>763</v>
      </c>
      <c r="C766" s="6"/>
      <c r="D766" s="6" t="s">
        <v>903</v>
      </c>
      <c r="E766" s="40" t="s">
        <v>2275</v>
      </c>
      <c r="F766" s="41">
        <v>1000</v>
      </c>
      <c r="G766" s="6" t="s">
        <v>104</v>
      </c>
      <c r="H766" s="6"/>
      <c r="I766" s="6"/>
      <c r="J766" s="6"/>
      <c r="K766" s="7"/>
      <c r="L766" s="51"/>
      <c r="M766" s="52"/>
      <c r="N766" s="52"/>
      <c r="O766" s="6"/>
      <c r="P766" s="32" t="e">
        <f>VLOOKUP(Table311[[#This Row],[UNIT NO.]],[1]!Table35711[[#Headers],[#Data],[Unit '#]:[Application/Sold/ Unsold]],7,0)</f>
        <v>#REF!</v>
      </c>
      <c r="S766" s="64"/>
    </row>
    <row r="767" spans="2:19" x14ac:dyDescent="0.25">
      <c r="B767" s="5">
        <f t="shared" si="11"/>
        <v>764</v>
      </c>
      <c r="C767" s="6"/>
      <c r="D767" s="6" t="s">
        <v>903</v>
      </c>
      <c r="E767" s="40" t="s">
        <v>2276</v>
      </c>
      <c r="F767" s="41">
        <v>1000</v>
      </c>
      <c r="G767" s="6" t="s">
        <v>32</v>
      </c>
      <c r="H767" s="6"/>
      <c r="I767" s="6"/>
      <c r="J767" s="6"/>
      <c r="K767" s="7"/>
      <c r="L767" s="51"/>
      <c r="M767" s="52"/>
      <c r="N767" s="52"/>
      <c r="O767" s="6"/>
      <c r="P767" s="32" t="e">
        <f>VLOOKUP(Table311[[#This Row],[UNIT NO.]],[1]!Table35711[[#Headers],[#Data],[Unit '#]:[Application/Sold/ Unsold]],7,0)</f>
        <v>#REF!</v>
      </c>
      <c r="S767" s="64"/>
    </row>
    <row r="768" spans="2:19" x14ac:dyDescent="0.25">
      <c r="B768" s="5">
        <f t="shared" si="11"/>
        <v>765</v>
      </c>
      <c r="C768" s="6"/>
      <c r="D768" s="6" t="s">
        <v>903</v>
      </c>
      <c r="E768" s="40" t="s">
        <v>2277</v>
      </c>
      <c r="F768" s="41">
        <v>1000</v>
      </c>
      <c r="G768" s="6" t="s">
        <v>104</v>
      </c>
      <c r="H768" s="6"/>
      <c r="I768" s="6"/>
      <c r="J768" s="6"/>
      <c r="K768" s="7"/>
      <c r="L768" s="51"/>
      <c r="M768" s="52"/>
      <c r="N768" s="52"/>
      <c r="O768" s="6"/>
      <c r="P768" s="32" t="e">
        <f>VLOOKUP(Table311[[#This Row],[UNIT NO.]],[1]!Table35711[[#Headers],[#Data],[Unit '#]:[Application/Sold/ Unsold]],7,0)</f>
        <v>#REF!</v>
      </c>
      <c r="S768" s="64"/>
    </row>
    <row r="769" spans="2:19" x14ac:dyDescent="0.25">
      <c r="B769" s="5">
        <f t="shared" si="11"/>
        <v>766</v>
      </c>
      <c r="C769" s="6"/>
      <c r="D769" s="6" t="s">
        <v>903</v>
      </c>
      <c r="E769" s="40" t="s">
        <v>2278</v>
      </c>
      <c r="F769" s="41">
        <v>1000</v>
      </c>
      <c r="G769" s="6" t="s">
        <v>32</v>
      </c>
      <c r="H769" s="6"/>
      <c r="I769" s="6"/>
      <c r="J769" s="6"/>
      <c r="K769" s="7"/>
      <c r="L769" s="51"/>
      <c r="M769" s="52"/>
      <c r="N769" s="52"/>
      <c r="O769" s="6"/>
      <c r="P769" s="32" t="e">
        <f>VLOOKUP(Table311[[#This Row],[UNIT NO.]],[1]!Table35711[[#Headers],[#Data],[Unit '#]:[Application/Sold/ Unsold]],7,0)</f>
        <v>#REF!</v>
      </c>
      <c r="S769" s="64"/>
    </row>
    <row r="770" spans="2:19" x14ac:dyDescent="0.25">
      <c r="B770" s="5">
        <f t="shared" si="11"/>
        <v>767</v>
      </c>
      <c r="C770" s="6"/>
      <c r="D770" s="6" t="s">
        <v>903</v>
      </c>
      <c r="E770" s="40" t="s">
        <v>2279</v>
      </c>
      <c r="F770" s="41">
        <v>1000</v>
      </c>
      <c r="G770" s="6" t="s">
        <v>104</v>
      </c>
      <c r="H770" s="6"/>
      <c r="I770" s="6"/>
      <c r="J770" s="6"/>
      <c r="K770" s="7"/>
      <c r="L770" s="51"/>
      <c r="M770" s="52"/>
      <c r="N770" s="52"/>
      <c r="O770" s="6"/>
      <c r="P770" s="32" t="e">
        <f>VLOOKUP(Table311[[#This Row],[UNIT NO.]],[1]!Table35711[[#Headers],[#Data],[Unit '#]:[Application/Sold/ Unsold]],7,0)</f>
        <v>#REF!</v>
      </c>
      <c r="S770" s="64"/>
    </row>
    <row r="771" spans="2:19" x14ac:dyDescent="0.25">
      <c r="B771" s="5">
        <f t="shared" si="11"/>
        <v>768</v>
      </c>
      <c r="C771" s="6"/>
      <c r="D771" s="6" t="s">
        <v>903</v>
      </c>
      <c r="E771" s="40" t="s">
        <v>2280</v>
      </c>
      <c r="F771" s="41">
        <v>1000</v>
      </c>
      <c r="G771" s="6" t="s">
        <v>104</v>
      </c>
      <c r="H771" s="6"/>
      <c r="I771" s="6"/>
      <c r="J771" s="6"/>
      <c r="K771" s="7"/>
      <c r="L771" s="51"/>
      <c r="M771" s="52"/>
      <c r="N771" s="52"/>
      <c r="O771" s="6"/>
      <c r="P771" s="32" t="e">
        <f>VLOOKUP(Table311[[#This Row],[UNIT NO.]],[1]!Table35711[[#Headers],[#Data],[Unit '#]:[Application/Sold/ Unsold]],7,0)</f>
        <v>#REF!</v>
      </c>
      <c r="S771" s="64"/>
    </row>
    <row r="772" spans="2:19" x14ac:dyDescent="0.25">
      <c r="B772" s="5">
        <f t="shared" si="11"/>
        <v>769</v>
      </c>
      <c r="C772" s="6"/>
      <c r="D772" s="6" t="s">
        <v>903</v>
      </c>
      <c r="E772" s="40" t="s">
        <v>2281</v>
      </c>
      <c r="F772" s="41">
        <v>1000</v>
      </c>
      <c r="G772" s="6" t="s">
        <v>104</v>
      </c>
      <c r="H772" s="6"/>
      <c r="I772" s="6"/>
      <c r="J772" s="6"/>
      <c r="K772" s="7"/>
      <c r="L772" s="51"/>
      <c r="M772" s="52"/>
      <c r="N772" s="52"/>
      <c r="O772" s="6"/>
      <c r="P772" s="32" t="e">
        <f>VLOOKUP(Table311[[#This Row],[UNIT NO.]],[1]!Table35711[[#Headers],[#Data],[Unit '#]:[Application/Sold/ Unsold]],7,0)</f>
        <v>#REF!</v>
      </c>
      <c r="S772" s="64"/>
    </row>
    <row r="773" spans="2:19" x14ac:dyDescent="0.25">
      <c r="B773" s="5">
        <f t="shared" si="11"/>
        <v>770</v>
      </c>
      <c r="C773" s="6"/>
      <c r="D773" s="6" t="s">
        <v>903</v>
      </c>
      <c r="E773" s="40" t="s">
        <v>2282</v>
      </c>
      <c r="F773" s="41">
        <v>1000</v>
      </c>
      <c r="G773" s="6" t="s">
        <v>104</v>
      </c>
      <c r="H773" s="6"/>
      <c r="I773" s="6"/>
      <c r="J773" s="6"/>
      <c r="K773" s="7"/>
      <c r="L773" s="51"/>
      <c r="M773" s="52"/>
      <c r="N773" s="52"/>
      <c r="O773" s="6"/>
      <c r="P773" s="32" t="e">
        <f>VLOOKUP(Table311[[#This Row],[UNIT NO.]],[1]!Table35711[[#Headers],[#Data],[Unit '#]:[Application/Sold/ Unsold]],7,0)</f>
        <v>#REF!</v>
      </c>
      <c r="S773" s="64"/>
    </row>
    <row r="774" spans="2:19" x14ac:dyDescent="0.25">
      <c r="B774" s="5">
        <f t="shared" ref="B774:B813" si="12">B773+1</f>
        <v>771</v>
      </c>
      <c r="C774" s="6"/>
      <c r="D774" s="6" t="s">
        <v>903</v>
      </c>
      <c r="E774" s="40" t="s">
        <v>2283</v>
      </c>
      <c r="F774" s="41">
        <v>1000</v>
      </c>
      <c r="G774" s="6" t="s">
        <v>104</v>
      </c>
      <c r="H774" s="6"/>
      <c r="I774" s="6"/>
      <c r="J774" s="6"/>
      <c r="K774" s="7"/>
      <c r="L774" s="51"/>
      <c r="M774" s="52"/>
      <c r="N774" s="52"/>
      <c r="O774" s="6"/>
      <c r="P774" s="32" t="e">
        <f>VLOOKUP(Table311[[#This Row],[UNIT NO.]],[1]!Table35711[[#Headers],[#Data],[Unit '#]:[Application/Sold/ Unsold]],7,0)</f>
        <v>#REF!</v>
      </c>
      <c r="S774" s="64"/>
    </row>
    <row r="775" spans="2:19" x14ac:dyDescent="0.25">
      <c r="B775" s="5">
        <f t="shared" si="12"/>
        <v>772</v>
      </c>
      <c r="C775" s="6"/>
      <c r="D775" s="6" t="s">
        <v>903</v>
      </c>
      <c r="E775" s="40" t="s">
        <v>2284</v>
      </c>
      <c r="F775" s="41">
        <v>1000</v>
      </c>
      <c r="G775" s="6" t="s">
        <v>104</v>
      </c>
      <c r="H775" s="6"/>
      <c r="I775" s="6"/>
      <c r="J775" s="6"/>
      <c r="K775" s="7"/>
      <c r="L775" s="51"/>
      <c r="M775" s="52"/>
      <c r="N775" s="52"/>
      <c r="O775" s="6"/>
      <c r="P775" s="32" t="e">
        <f>VLOOKUP(Table311[[#This Row],[UNIT NO.]],[1]!Table35711[[#Headers],[#Data],[Unit '#]:[Application/Sold/ Unsold]],7,0)</f>
        <v>#REF!</v>
      </c>
      <c r="S775" s="64"/>
    </row>
    <row r="776" spans="2:19" x14ac:dyDescent="0.25">
      <c r="B776" s="5">
        <f t="shared" si="12"/>
        <v>773</v>
      </c>
      <c r="C776" s="6"/>
      <c r="D776" s="6" t="s">
        <v>903</v>
      </c>
      <c r="E776" s="40" t="s">
        <v>2285</v>
      </c>
      <c r="F776" s="41">
        <v>1000</v>
      </c>
      <c r="G776" s="6" t="s">
        <v>104</v>
      </c>
      <c r="H776" s="6"/>
      <c r="I776" s="6"/>
      <c r="J776" s="6"/>
      <c r="K776" s="7"/>
      <c r="L776" s="51"/>
      <c r="M776" s="52"/>
      <c r="N776" s="52"/>
      <c r="O776" s="6"/>
      <c r="P776" s="32" t="e">
        <f>VLOOKUP(Table311[[#This Row],[UNIT NO.]],[1]!Table35711[[#Headers],[#Data],[Unit '#]:[Application/Sold/ Unsold]],7,0)</f>
        <v>#REF!</v>
      </c>
      <c r="S776" s="64"/>
    </row>
    <row r="777" spans="2:19" x14ac:dyDescent="0.25">
      <c r="B777" s="5">
        <f t="shared" si="12"/>
        <v>774</v>
      </c>
      <c r="C777" s="6"/>
      <c r="D777" s="6" t="s">
        <v>903</v>
      </c>
      <c r="E777" s="40" t="s">
        <v>2286</v>
      </c>
      <c r="F777" s="41">
        <v>1000</v>
      </c>
      <c r="G777" s="6" t="s">
        <v>104</v>
      </c>
      <c r="H777" s="6"/>
      <c r="I777" s="6"/>
      <c r="J777" s="6"/>
      <c r="K777" s="7"/>
      <c r="L777" s="51"/>
      <c r="M777" s="52"/>
      <c r="N777" s="52"/>
      <c r="O777" s="6"/>
      <c r="P777" s="32" t="e">
        <f>VLOOKUP(Table311[[#This Row],[UNIT NO.]],[1]!Table35711[[#Headers],[#Data],[Unit '#]:[Application/Sold/ Unsold]],7,0)</f>
        <v>#REF!</v>
      </c>
      <c r="S777" s="64"/>
    </row>
    <row r="778" spans="2:19" x14ac:dyDescent="0.25">
      <c r="B778" s="5">
        <f t="shared" si="12"/>
        <v>775</v>
      </c>
      <c r="C778" s="6"/>
      <c r="D778" s="6" t="s">
        <v>903</v>
      </c>
      <c r="E778" s="40" t="s">
        <v>2287</v>
      </c>
      <c r="F778" s="41">
        <v>1000</v>
      </c>
      <c r="G778" s="6" t="s">
        <v>104</v>
      </c>
      <c r="H778" s="6"/>
      <c r="I778" s="6"/>
      <c r="J778" s="6"/>
      <c r="K778" s="7"/>
      <c r="L778" s="51"/>
      <c r="M778" s="52"/>
      <c r="N778" s="52"/>
      <c r="O778" s="6"/>
      <c r="P778" s="32" t="e">
        <f>VLOOKUP(Table311[[#This Row],[UNIT NO.]],[1]!Table35711[[#Headers],[#Data],[Unit '#]:[Application/Sold/ Unsold]],7,0)</f>
        <v>#REF!</v>
      </c>
      <c r="S778" s="64"/>
    </row>
    <row r="779" spans="2:19" x14ac:dyDescent="0.25">
      <c r="B779" s="5">
        <f t="shared" si="12"/>
        <v>776</v>
      </c>
      <c r="C779" s="6"/>
      <c r="D779" s="6" t="s">
        <v>903</v>
      </c>
      <c r="E779" s="40" t="s">
        <v>2288</v>
      </c>
      <c r="F779" s="41">
        <v>1000</v>
      </c>
      <c r="G779" s="6" t="s">
        <v>104</v>
      </c>
      <c r="H779" s="6"/>
      <c r="I779" s="6"/>
      <c r="J779" s="6"/>
      <c r="K779" s="7"/>
      <c r="L779" s="51"/>
      <c r="M779" s="52"/>
      <c r="N779" s="52"/>
      <c r="O779" s="6"/>
      <c r="P779" s="32" t="e">
        <f>VLOOKUP(Table311[[#This Row],[UNIT NO.]],[1]!Table35711[[#Headers],[#Data],[Unit '#]:[Application/Sold/ Unsold]],7,0)</f>
        <v>#REF!</v>
      </c>
      <c r="S779" s="64"/>
    </row>
    <row r="780" spans="2:19" x14ac:dyDescent="0.25">
      <c r="B780" s="5">
        <f t="shared" si="12"/>
        <v>777</v>
      </c>
      <c r="C780" s="6"/>
      <c r="D780" s="6" t="s">
        <v>903</v>
      </c>
      <c r="E780" s="40" t="s">
        <v>2289</v>
      </c>
      <c r="F780" s="41">
        <v>1000</v>
      </c>
      <c r="G780" s="6" t="s">
        <v>104</v>
      </c>
      <c r="H780" s="6"/>
      <c r="I780" s="6"/>
      <c r="J780" s="6"/>
      <c r="K780" s="7"/>
      <c r="L780" s="51"/>
      <c r="M780" s="52"/>
      <c r="N780" s="52"/>
      <c r="O780" s="6"/>
      <c r="P780" s="32" t="e">
        <f>VLOOKUP(Table311[[#This Row],[UNIT NO.]],[1]!Table35711[[#Headers],[#Data],[Unit '#]:[Application/Sold/ Unsold]],7,0)</f>
        <v>#REF!</v>
      </c>
      <c r="S780" s="64"/>
    </row>
    <row r="781" spans="2:19" x14ac:dyDescent="0.25">
      <c r="B781" s="5">
        <f t="shared" si="12"/>
        <v>778</v>
      </c>
      <c r="C781" s="6"/>
      <c r="D781" s="6" t="s">
        <v>903</v>
      </c>
      <c r="E781" s="40" t="s">
        <v>2290</v>
      </c>
      <c r="F781" s="41">
        <v>1000</v>
      </c>
      <c r="G781" s="6" t="s">
        <v>104</v>
      </c>
      <c r="H781" s="6"/>
      <c r="I781" s="6"/>
      <c r="J781" s="6"/>
      <c r="K781" s="7"/>
      <c r="L781" s="51"/>
      <c r="M781" s="52"/>
      <c r="N781" s="52"/>
      <c r="O781" s="6"/>
      <c r="P781" s="32" t="e">
        <f>VLOOKUP(Table311[[#This Row],[UNIT NO.]],[1]!Table35711[[#Headers],[#Data],[Unit '#]:[Application/Sold/ Unsold]],7,0)</f>
        <v>#REF!</v>
      </c>
      <c r="S781" s="64"/>
    </row>
    <row r="782" spans="2:19" x14ac:dyDescent="0.25">
      <c r="B782" s="5">
        <f t="shared" si="12"/>
        <v>779</v>
      </c>
      <c r="C782" s="6"/>
      <c r="D782" s="6" t="s">
        <v>903</v>
      </c>
      <c r="E782" s="40" t="s">
        <v>2291</v>
      </c>
      <c r="F782" s="41">
        <v>1000</v>
      </c>
      <c r="G782" s="6" t="s">
        <v>104</v>
      </c>
      <c r="H782" s="6"/>
      <c r="I782" s="6"/>
      <c r="J782" s="6"/>
      <c r="K782" s="7"/>
      <c r="L782" s="51"/>
      <c r="M782" s="52"/>
      <c r="N782" s="52"/>
      <c r="O782" s="6"/>
      <c r="P782" s="32" t="e">
        <f>VLOOKUP(Table311[[#This Row],[UNIT NO.]],[1]!Table35711[[#Headers],[#Data],[Unit '#]:[Application/Sold/ Unsold]],7,0)</f>
        <v>#REF!</v>
      </c>
      <c r="S782" s="64"/>
    </row>
    <row r="783" spans="2:19" x14ac:dyDescent="0.25">
      <c r="B783" s="5">
        <f t="shared" si="12"/>
        <v>780</v>
      </c>
      <c r="C783" s="6"/>
      <c r="D783" s="6" t="s">
        <v>903</v>
      </c>
      <c r="E783" s="40" t="s">
        <v>2292</v>
      </c>
      <c r="F783" s="41">
        <v>1000</v>
      </c>
      <c r="G783" s="6" t="s">
        <v>104</v>
      </c>
      <c r="H783" s="6"/>
      <c r="I783" s="6"/>
      <c r="J783" s="6"/>
      <c r="K783" s="7"/>
      <c r="L783" s="51"/>
      <c r="M783" s="52"/>
      <c r="N783" s="52"/>
      <c r="O783" s="6"/>
      <c r="P783" s="32" t="e">
        <f>VLOOKUP(Table311[[#This Row],[UNIT NO.]],[1]!Table35711[[#Headers],[#Data],[Unit '#]:[Application/Sold/ Unsold]],7,0)</f>
        <v>#REF!</v>
      </c>
      <c r="S783" s="64"/>
    </row>
    <row r="784" spans="2:19" x14ac:dyDescent="0.25">
      <c r="B784" s="5">
        <f t="shared" si="12"/>
        <v>781</v>
      </c>
      <c r="C784" s="6"/>
      <c r="D784" s="6" t="s">
        <v>903</v>
      </c>
      <c r="E784" s="40" t="s">
        <v>2293</v>
      </c>
      <c r="F784" s="41">
        <v>1000</v>
      </c>
      <c r="G784" s="6" t="s">
        <v>104</v>
      </c>
      <c r="H784" s="6"/>
      <c r="I784" s="6"/>
      <c r="J784" s="6"/>
      <c r="K784" s="7"/>
      <c r="L784" s="51"/>
      <c r="M784" s="52"/>
      <c r="N784" s="52"/>
      <c r="O784" s="6"/>
      <c r="P784" s="32" t="e">
        <f>VLOOKUP(Table311[[#This Row],[UNIT NO.]],[1]!Table35711[[#Headers],[#Data],[Unit '#]:[Application/Sold/ Unsold]],7,0)</f>
        <v>#REF!</v>
      </c>
      <c r="S784" s="64"/>
    </row>
    <row r="785" spans="2:19" x14ac:dyDescent="0.25">
      <c r="B785" s="5">
        <f t="shared" si="12"/>
        <v>782</v>
      </c>
      <c r="C785" s="6"/>
      <c r="D785" s="6" t="s">
        <v>903</v>
      </c>
      <c r="E785" s="40" t="s">
        <v>2294</v>
      </c>
      <c r="F785" s="41">
        <v>1000</v>
      </c>
      <c r="G785" s="6" t="s">
        <v>104</v>
      </c>
      <c r="H785" s="6"/>
      <c r="I785" s="6"/>
      <c r="J785" s="6"/>
      <c r="K785" s="7"/>
      <c r="L785" s="51"/>
      <c r="M785" s="52"/>
      <c r="N785" s="52"/>
      <c r="O785" s="6"/>
      <c r="P785" s="32" t="e">
        <f>VLOOKUP(Table311[[#This Row],[UNIT NO.]],[1]!Table35711[[#Headers],[#Data],[Unit '#]:[Application/Sold/ Unsold]],7,0)</f>
        <v>#REF!</v>
      </c>
      <c r="S785" s="64"/>
    </row>
    <row r="786" spans="2:19" x14ac:dyDescent="0.25">
      <c r="B786" s="5">
        <f t="shared" si="12"/>
        <v>783</v>
      </c>
      <c r="C786" s="6"/>
      <c r="D786" s="6" t="s">
        <v>903</v>
      </c>
      <c r="E786" s="40" t="s">
        <v>2295</v>
      </c>
      <c r="F786" s="41">
        <v>1000</v>
      </c>
      <c r="G786" s="6" t="s">
        <v>104</v>
      </c>
      <c r="H786" s="6"/>
      <c r="I786" s="6"/>
      <c r="J786" s="6"/>
      <c r="K786" s="7"/>
      <c r="L786" s="51"/>
      <c r="M786" s="52"/>
      <c r="N786" s="52"/>
      <c r="O786" s="6"/>
      <c r="P786" s="32" t="e">
        <f>VLOOKUP(Table311[[#This Row],[UNIT NO.]],[1]!Table35711[[#Headers],[#Data],[Unit '#]:[Application/Sold/ Unsold]],7,0)</f>
        <v>#REF!</v>
      </c>
      <c r="S786" s="64"/>
    </row>
    <row r="787" spans="2:19" x14ac:dyDescent="0.25">
      <c r="B787" s="5">
        <f t="shared" si="12"/>
        <v>784</v>
      </c>
      <c r="C787" s="6"/>
      <c r="D787" s="6" t="s">
        <v>903</v>
      </c>
      <c r="E787" s="40" t="s">
        <v>2296</v>
      </c>
      <c r="F787" s="41">
        <v>1000</v>
      </c>
      <c r="G787" s="6" t="s">
        <v>104</v>
      </c>
      <c r="H787" s="6"/>
      <c r="I787" s="6"/>
      <c r="J787" s="6"/>
      <c r="K787" s="7"/>
      <c r="L787" s="51"/>
      <c r="M787" s="52"/>
      <c r="N787" s="52"/>
      <c r="O787" s="6"/>
      <c r="P787" s="32" t="e">
        <f>VLOOKUP(Table311[[#This Row],[UNIT NO.]],[1]!Table35711[[#Headers],[#Data],[Unit '#]:[Application/Sold/ Unsold]],7,0)</f>
        <v>#REF!</v>
      </c>
      <c r="S787" s="64"/>
    </row>
    <row r="788" spans="2:19" x14ac:dyDescent="0.25">
      <c r="B788" s="5">
        <f t="shared" si="12"/>
        <v>785</v>
      </c>
      <c r="C788" s="6"/>
      <c r="D788" s="6" t="s">
        <v>903</v>
      </c>
      <c r="E788" s="40" t="s">
        <v>2297</v>
      </c>
      <c r="F788" s="41">
        <v>1000</v>
      </c>
      <c r="G788" s="6" t="s">
        <v>104</v>
      </c>
      <c r="H788" s="6"/>
      <c r="I788" s="6"/>
      <c r="J788" s="6"/>
      <c r="K788" s="7"/>
      <c r="L788" s="51"/>
      <c r="M788" s="52"/>
      <c r="N788" s="52"/>
      <c r="O788" s="6"/>
      <c r="P788" s="32" t="e">
        <f>VLOOKUP(Table311[[#This Row],[UNIT NO.]],[1]!Table35711[[#Headers],[#Data],[Unit '#]:[Application/Sold/ Unsold]],7,0)</f>
        <v>#REF!</v>
      </c>
      <c r="S788" s="64"/>
    </row>
    <row r="789" spans="2:19" x14ac:dyDescent="0.25">
      <c r="B789" s="5">
        <f t="shared" si="12"/>
        <v>786</v>
      </c>
      <c r="C789" s="6"/>
      <c r="D789" s="6" t="s">
        <v>903</v>
      </c>
      <c r="E789" s="40" t="s">
        <v>2298</v>
      </c>
      <c r="F789" s="41">
        <v>1000</v>
      </c>
      <c r="G789" s="6" t="s">
        <v>104</v>
      </c>
      <c r="H789" s="6"/>
      <c r="I789" s="6"/>
      <c r="J789" s="6"/>
      <c r="K789" s="7"/>
      <c r="L789" s="51"/>
      <c r="M789" s="52"/>
      <c r="N789" s="52"/>
      <c r="O789" s="6"/>
      <c r="P789" s="32" t="e">
        <f>VLOOKUP(Table311[[#This Row],[UNIT NO.]],[1]!Table35711[[#Headers],[#Data],[Unit '#]:[Application/Sold/ Unsold]],7,0)</f>
        <v>#REF!</v>
      </c>
      <c r="S789" s="64"/>
    </row>
    <row r="790" spans="2:19" x14ac:dyDescent="0.25">
      <c r="B790" s="5">
        <f t="shared" si="12"/>
        <v>787</v>
      </c>
      <c r="C790" s="6"/>
      <c r="D790" s="6" t="s">
        <v>903</v>
      </c>
      <c r="E790" s="40" t="s">
        <v>2299</v>
      </c>
      <c r="F790" s="41">
        <v>1000</v>
      </c>
      <c r="G790" s="6" t="s">
        <v>104</v>
      </c>
      <c r="H790" s="6"/>
      <c r="I790" s="6"/>
      <c r="J790" s="6"/>
      <c r="K790" s="7"/>
      <c r="L790" s="51"/>
      <c r="M790" s="52"/>
      <c r="N790" s="52"/>
      <c r="O790" s="6"/>
      <c r="P790" s="32" t="e">
        <f>VLOOKUP(Table311[[#This Row],[UNIT NO.]],[1]!Table35711[[#Headers],[#Data],[Unit '#]:[Application/Sold/ Unsold]],7,0)</f>
        <v>#REF!</v>
      </c>
      <c r="S790" s="64"/>
    </row>
    <row r="791" spans="2:19" x14ac:dyDescent="0.25">
      <c r="B791" s="5">
        <f t="shared" si="12"/>
        <v>788</v>
      </c>
      <c r="C791" s="6"/>
      <c r="D791" s="6" t="s">
        <v>903</v>
      </c>
      <c r="E791" s="40" t="s">
        <v>2300</v>
      </c>
      <c r="F791" s="41">
        <v>1000</v>
      </c>
      <c r="G791" s="6" t="s">
        <v>104</v>
      </c>
      <c r="H791" s="6"/>
      <c r="I791" s="6"/>
      <c r="J791" s="6"/>
      <c r="K791" s="7"/>
      <c r="L791" s="51"/>
      <c r="M791" s="52"/>
      <c r="N791" s="52"/>
      <c r="O791" s="6"/>
      <c r="P791" s="32" t="e">
        <f>VLOOKUP(Table311[[#This Row],[UNIT NO.]],[1]!Table35711[[#Headers],[#Data],[Unit '#]:[Application/Sold/ Unsold]],7,0)</f>
        <v>#REF!</v>
      </c>
      <c r="S791" s="64"/>
    </row>
    <row r="792" spans="2:19" x14ac:dyDescent="0.25">
      <c r="B792" s="5">
        <f t="shared" si="12"/>
        <v>789</v>
      </c>
      <c r="C792" s="6"/>
      <c r="D792" s="6" t="s">
        <v>903</v>
      </c>
      <c r="E792" s="40" t="s">
        <v>2301</v>
      </c>
      <c r="F792" s="41">
        <v>1000</v>
      </c>
      <c r="G792" s="6" t="s">
        <v>104</v>
      </c>
      <c r="H792" s="6"/>
      <c r="I792" s="6"/>
      <c r="J792" s="6"/>
      <c r="K792" s="7"/>
      <c r="L792" s="51"/>
      <c r="M792" s="52"/>
      <c r="N792" s="52"/>
      <c r="O792" s="6"/>
      <c r="P792" s="32" t="e">
        <f>VLOOKUP(Table311[[#This Row],[UNIT NO.]],[1]!Table35711[[#Headers],[#Data],[Unit '#]:[Application/Sold/ Unsold]],7,0)</f>
        <v>#REF!</v>
      </c>
      <c r="S792" s="64"/>
    </row>
    <row r="793" spans="2:19" x14ac:dyDescent="0.25">
      <c r="B793" s="5">
        <f t="shared" si="12"/>
        <v>790</v>
      </c>
      <c r="C793" s="6"/>
      <c r="D793" s="6" t="s">
        <v>903</v>
      </c>
      <c r="E793" s="40" t="s">
        <v>2302</v>
      </c>
      <c r="F793" s="41">
        <v>1000</v>
      </c>
      <c r="G793" s="6" t="s">
        <v>104</v>
      </c>
      <c r="H793" s="6"/>
      <c r="I793" s="6"/>
      <c r="J793" s="6"/>
      <c r="K793" s="7"/>
      <c r="L793" s="51"/>
      <c r="M793" s="52"/>
      <c r="N793" s="52"/>
      <c r="O793" s="6"/>
      <c r="P793" s="32" t="e">
        <f>VLOOKUP(Table311[[#This Row],[UNIT NO.]],[1]!Table35711[[#Headers],[#Data],[Unit '#]:[Application/Sold/ Unsold]],7,0)</f>
        <v>#REF!</v>
      </c>
      <c r="S793" s="64"/>
    </row>
    <row r="794" spans="2:19" x14ac:dyDescent="0.25">
      <c r="B794" s="5">
        <f t="shared" si="12"/>
        <v>791</v>
      </c>
      <c r="C794" s="6"/>
      <c r="D794" s="6" t="s">
        <v>903</v>
      </c>
      <c r="E794" s="40" t="s">
        <v>2303</v>
      </c>
      <c r="F794" s="41">
        <v>1000</v>
      </c>
      <c r="G794" s="6" t="s">
        <v>104</v>
      </c>
      <c r="H794" s="6"/>
      <c r="I794" s="6"/>
      <c r="J794" s="6"/>
      <c r="K794" s="7"/>
      <c r="L794" s="51"/>
      <c r="M794" s="52"/>
      <c r="N794" s="52"/>
      <c r="O794" s="6"/>
      <c r="P794" s="32" t="e">
        <f>VLOOKUP(Table311[[#This Row],[UNIT NO.]],[1]!Table35711[[#Headers],[#Data],[Unit '#]:[Application/Sold/ Unsold]],7,0)</f>
        <v>#REF!</v>
      </c>
      <c r="S794" s="64"/>
    </row>
    <row r="795" spans="2:19" x14ac:dyDescent="0.25">
      <c r="B795" s="5">
        <f t="shared" si="12"/>
        <v>792</v>
      </c>
      <c r="C795" s="6"/>
      <c r="D795" s="6" t="s">
        <v>903</v>
      </c>
      <c r="E795" s="40" t="s">
        <v>2304</v>
      </c>
      <c r="F795" s="41">
        <v>1000</v>
      </c>
      <c r="G795" s="6" t="s">
        <v>104</v>
      </c>
      <c r="H795" s="6"/>
      <c r="I795" s="6"/>
      <c r="J795" s="6"/>
      <c r="K795" s="7"/>
      <c r="L795" s="51"/>
      <c r="M795" s="52"/>
      <c r="N795" s="52"/>
      <c r="O795" s="6"/>
      <c r="P795" s="32" t="e">
        <f>VLOOKUP(Table311[[#This Row],[UNIT NO.]],[1]!Table35711[[#Headers],[#Data],[Unit '#]:[Application/Sold/ Unsold]],7,0)</f>
        <v>#REF!</v>
      </c>
      <c r="S795" s="64"/>
    </row>
    <row r="796" spans="2:19" x14ac:dyDescent="0.25">
      <c r="B796" s="5">
        <f t="shared" si="12"/>
        <v>793</v>
      </c>
      <c r="C796" s="6"/>
      <c r="D796" s="6" t="s">
        <v>903</v>
      </c>
      <c r="E796" s="40" t="s">
        <v>2305</v>
      </c>
      <c r="F796" s="41">
        <v>1000</v>
      </c>
      <c r="G796" s="6" t="s">
        <v>104</v>
      </c>
      <c r="H796" s="6"/>
      <c r="I796" s="6"/>
      <c r="J796" s="6"/>
      <c r="K796" s="7"/>
      <c r="L796" s="51"/>
      <c r="M796" s="52"/>
      <c r="N796" s="52"/>
      <c r="O796" s="6"/>
      <c r="P796" s="32" t="e">
        <f>VLOOKUP(Table311[[#This Row],[UNIT NO.]],[1]!Table35711[[#Headers],[#Data],[Unit '#]:[Application/Sold/ Unsold]],7,0)</f>
        <v>#REF!</v>
      </c>
      <c r="S796" s="64"/>
    </row>
    <row r="797" spans="2:19" x14ac:dyDescent="0.25">
      <c r="B797" s="5">
        <f t="shared" si="12"/>
        <v>794</v>
      </c>
      <c r="C797" s="6"/>
      <c r="D797" s="6" t="s">
        <v>903</v>
      </c>
      <c r="E797" s="40" t="s">
        <v>2306</v>
      </c>
      <c r="F797" s="41">
        <v>1000</v>
      </c>
      <c r="G797" s="6" t="s">
        <v>104</v>
      </c>
      <c r="H797" s="6"/>
      <c r="I797" s="6"/>
      <c r="J797" s="6"/>
      <c r="K797" s="7"/>
      <c r="L797" s="51"/>
      <c r="M797" s="52"/>
      <c r="N797" s="52"/>
      <c r="O797" s="6"/>
      <c r="P797" s="32" t="e">
        <f>VLOOKUP(Table311[[#This Row],[UNIT NO.]],[1]!Table35711[[#Headers],[#Data],[Unit '#]:[Application/Sold/ Unsold]],7,0)</f>
        <v>#REF!</v>
      </c>
      <c r="S797" s="64"/>
    </row>
    <row r="798" spans="2:19" x14ac:dyDescent="0.25">
      <c r="B798" s="5">
        <f t="shared" si="12"/>
        <v>795</v>
      </c>
      <c r="C798" s="6"/>
      <c r="D798" s="6" t="s">
        <v>903</v>
      </c>
      <c r="E798" s="40" t="s">
        <v>2307</v>
      </c>
      <c r="F798" s="41">
        <v>1000</v>
      </c>
      <c r="G798" s="6" t="s">
        <v>104</v>
      </c>
      <c r="H798" s="6"/>
      <c r="I798" s="6"/>
      <c r="J798" s="6"/>
      <c r="K798" s="7"/>
      <c r="L798" s="51"/>
      <c r="M798" s="52"/>
      <c r="N798" s="52"/>
      <c r="O798" s="6"/>
      <c r="P798" s="32" t="e">
        <f>VLOOKUP(Table311[[#This Row],[UNIT NO.]],[1]!Table35711[[#Headers],[#Data],[Unit '#]:[Application/Sold/ Unsold]],7,0)</f>
        <v>#REF!</v>
      </c>
      <c r="S798" s="64"/>
    </row>
    <row r="799" spans="2:19" x14ac:dyDescent="0.25">
      <c r="B799" s="5">
        <f t="shared" si="12"/>
        <v>796</v>
      </c>
      <c r="C799" s="6"/>
      <c r="D799" s="6" t="s">
        <v>903</v>
      </c>
      <c r="E799" s="40" t="s">
        <v>2308</v>
      </c>
      <c r="F799" s="41">
        <v>1000</v>
      </c>
      <c r="G799" s="6" t="s">
        <v>32</v>
      </c>
      <c r="H799" s="6"/>
      <c r="I799" s="6"/>
      <c r="J799" s="6"/>
      <c r="K799" s="7"/>
      <c r="L799" s="51"/>
      <c r="M799" s="52"/>
      <c r="N799" s="52"/>
      <c r="O799" s="6"/>
      <c r="P799" s="32" t="e">
        <f>VLOOKUP(Table311[[#This Row],[UNIT NO.]],[1]!Table35711[[#Headers],[#Data],[Unit '#]:[Application/Sold/ Unsold]],7,0)</f>
        <v>#REF!</v>
      </c>
      <c r="S799" s="64"/>
    </row>
    <row r="800" spans="2:19" x14ac:dyDescent="0.25">
      <c r="B800" s="5">
        <f t="shared" si="12"/>
        <v>797</v>
      </c>
      <c r="C800" s="6"/>
      <c r="D800" s="6" t="s">
        <v>903</v>
      </c>
      <c r="E800" s="40" t="s">
        <v>2309</v>
      </c>
      <c r="F800" s="41">
        <v>1000</v>
      </c>
      <c r="G800" s="6" t="s">
        <v>32</v>
      </c>
      <c r="H800" s="6"/>
      <c r="I800" s="6"/>
      <c r="J800" s="6"/>
      <c r="K800" s="7"/>
      <c r="L800" s="51"/>
      <c r="M800" s="52"/>
      <c r="N800" s="52"/>
      <c r="O800" s="6"/>
      <c r="P800" s="32" t="e">
        <f>VLOOKUP(Table311[[#This Row],[UNIT NO.]],[1]!Table35711[[#Headers],[#Data],[Unit '#]:[Application/Sold/ Unsold]],7,0)</f>
        <v>#REF!</v>
      </c>
      <c r="S800" s="64"/>
    </row>
    <row r="801" spans="2:19" x14ac:dyDescent="0.25">
      <c r="B801" s="5">
        <f t="shared" si="12"/>
        <v>798</v>
      </c>
      <c r="C801" s="6"/>
      <c r="D801" s="6" t="s">
        <v>903</v>
      </c>
      <c r="E801" s="40" t="s">
        <v>2310</v>
      </c>
      <c r="F801" s="41">
        <v>1000</v>
      </c>
      <c r="G801" s="6" t="s">
        <v>104</v>
      </c>
      <c r="H801" s="6"/>
      <c r="I801" s="6"/>
      <c r="J801" s="6"/>
      <c r="K801" s="7"/>
      <c r="L801" s="51"/>
      <c r="M801" s="52"/>
      <c r="N801" s="52"/>
      <c r="O801" s="6"/>
      <c r="P801" s="32" t="e">
        <f>VLOOKUP(Table311[[#This Row],[UNIT NO.]],[1]!Table35711[[#Headers],[#Data],[Unit '#]:[Application/Sold/ Unsold]],7,0)</f>
        <v>#REF!</v>
      </c>
      <c r="S801" s="64"/>
    </row>
    <row r="802" spans="2:19" x14ac:dyDescent="0.25">
      <c r="B802" s="5">
        <f t="shared" si="12"/>
        <v>799</v>
      </c>
      <c r="C802" s="6"/>
      <c r="D802" s="6" t="s">
        <v>903</v>
      </c>
      <c r="E802" s="40" t="s">
        <v>2311</v>
      </c>
      <c r="F802" s="41">
        <v>1000</v>
      </c>
      <c r="G802" s="6" t="s">
        <v>104</v>
      </c>
      <c r="H802" s="6"/>
      <c r="I802" s="6"/>
      <c r="J802" s="6"/>
      <c r="K802" s="7"/>
      <c r="L802" s="51"/>
      <c r="M802" s="52"/>
      <c r="N802" s="52"/>
      <c r="O802" s="6"/>
      <c r="P802" s="32" t="e">
        <f>VLOOKUP(Table311[[#This Row],[UNIT NO.]],[1]!Table35711[[#Headers],[#Data],[Unit '#]:[Application/Sold/ Unsold]],7,0)</f>
        <v>#REF!</v>
      </c>
      <c r="S802" s="64"/>
    </row>
    <row r="803" spans="2:19" x14ac:dyDescent="0.25">
      <c r="B803" s="5">
        <f t="shared" si="12"/>
        <v>800</v>
      </c>
      <c r="C803" s="6"/>
      <c r="D803" s="6" t="s">
        <v>903</v>
      </c>
      <c r="E803" s="40" t="s">
        <v>2312</v>
      </c>
      <c r="F803" s="41">
        <v>1000</v>
      </c>
      <c r="G803" s="6" t="s">
        <v>104</v>
      </c>
      <c r="H803" s="6"/>
      <c r="I803" s="6"/>
      <c r="J803" s="6"/>
      <c r="K803" s="7"/>
      <c r="L803" s="51"/>
      <c r="M803" s="52"/>
      <c r="N803" s="52"/>
      <c r="O803" s="6"/>
      <c r="P803" s="32" t="e">
        <f>VLOOKUP(Table311[[#This Row],[UNIT NO.]],[1]!Table35711[[#Headers],[#Data],[Unit '#]:[Application/Sold/ Unsold]],7,0)</f>
        <v>#REF!</v>
      </c>
      <c r="S803" s="64"/>
    </row>
    <row r="804" spans="2:19" x14ac:dyDescent="0.25">
      <c r="B804" s="5">
        <f t="shared" si="12"/>
        <v>801</v>
      </c>
      <c r="C804" s="6"/>
      <c r="D804" s="6" t="s">
        <v>903</v>
      </c>
      <c r="E804" s="40" t="s">
        <v>2313</v>
      </c>
      <c r="F804" s="41">
        <v>1000</v>
      </c>
      <c r="G804" s="6" t="s">
        <v>104</v>
      </c>
      <c r="H804" s="6"/>
      <c r="I804" s="6"/>
      <c r="J804" s="6"/>
      <c r="K804" s="7"/>
      <c r="L804" s="51"/>
      <c r="M804" s="52"/>
      <c r="N804" s="52"/>
      <c r="O804" s="6"/>
      <c r="P804" s="32" t="e">
        <f>VLOOKUP(Table311[[#This Row],[UNIT NO.]],[1]!Table35711[[#Headers],[#Data],[Unit '#]:[Application/Sold/ Unsold]],7,0)</f>
        <v>#REF!</v>
      </c>
      <c r="S804" s="64"/>
    </row>
    <row r="805" spans="2:19" x14ac:dyDescent="0.25">
      <c r="B805" s="5">
        <f t="shared" si="12"/>
        <v>802</v>
      </c>
      <c r="C805" s="6"/>
      <c r="D805" s="6" t="s">
        <v>903</v>
      </c>
      <c r="E805" s="40" t="s">
        <v>2314</v>
      </c>
      <c r="F805" s="41">
        <v>1000</v>
      </c>
      <c r="G805" s="6" t="s">
        <v>104</v>
      </c>
      <c r="H805" s="6"/>
      <c r="I805" s="6"/>
      <c r="J805" s="6"/>
      <c r="K805" s="7"/>
      <c r="L805" s="51"/>
      <c r="M805" s="52"/>
      <c r="N805" s="52"/>
      <c r="O805" s="6"/>
      <c r="P805" s="32" t="e">
        <f>VLOOKUP(Table311[[#This Row],[UNIT NO.]],[1]!Table35711[[#Headers],[#Data],[Unit '#]:[Application/Sold/ Unsold]],7,0)</f>
        <v>#REF!</v>
      </c>
      <c r="S805" s="64"/>
    </row>
    <row r="806" spans="2:19" x14ac:dyDescent="0.25">
      <c r="B806" s="5">
        <f t="shared" si="12"/>
        <v>803</v>
      </c>
      <c r="C806" s="6"/>
      <c r="D806" s="6" t="s">
        <v>903</v>
      </c>
      <c r="E806" s="40" t="s">
        <v>2315</v>
      </c>
      <c r="F806" s="41">
        <v>1000</v>
      </c>
      <c r="G806" s="6" t="s">
        <v>104</v>
      </c>
      <c r="H806" s="6"/>
      <c r="I806" s="6"/>
      <c r="J806" s="6"/>
      <c r="K806" s="7"/>
      <c r="L806" s="51"/>
      <c r="M806" s="52"/>
      <c r="N806" s="52"/>
      <c r="O806" s="6"/>
      <c r="P806" s="32" t="e">
        <f>VLOOKUP(Table311[[#This Row],[UNIT NO.]],[1]!Table35711[[#Headers],[#Data],[Unit '#]:[Application/Sold/ Unsold]],7,0)</f>
        <v>#REF!</v>
      </c>
      <c r="S806" s="64"/>
    </row>
    <row r="807" spans="2:19" x14ac:dyDescent="0.25">
      <c r="B807" s="5">
        <f t="shared" si="12"/>
        <v>804</v>
      </c>
      <c r="C807" s="6"/>
      <c r="D807" s="6" t="s">
        <v>903</v>
      </c>
      <c r="E807" s="40" t="s">
        <v>2316</v>
      </c>
      <c r="F807" s="41">
        <v>1000</v>
      </c>
      <c r="G807" s="6" t="s">
        <v>32</v>
      </c>
      <c r="H807" s="6"/>
      <c r="I807" s="6"/>
      <c r="J807" s="6"/>
      <c r="K807" s="7"/>
      <c r="L807" s="51"/>
      <c r="M807" s="52"/>
      <c r="N807" s="52"/>
      <c r="O807" s="6"/>
      <c r="P807" s="32" t="e">
        <f>VLOOKUP(Table311[[#This Row],[UNIT NO.]],[1]!Table35711[[#Headers],[#Data],[Unit '#]:[Application/Sold/ Unsold]],7,0)</f>
        <v>#REF!</v>
      </c>
      <c r="S807" s="64"/>
    </row>
    <row r="808" spans="2:19" x14ac:dyDescent="0.25">
      <c r="B808" s="5">
        <f t="shared" si="12"/>
        <v>805</v>
      </c>
      <c r="C808" s="6"/>
      <c r="D808" s="6" t="s">
        <v>903</v>
      </c>
      <c r="E808" s="40" t="s">
        <v>2317</v>
      </c>
      <c r="F808" s="41">
        <v>1000</v>
      </c>
      <c r="G808" s="6" t="s">
        <v>104</v>
      </c>
      <c r="H808" s="6"/>
      <c r="I808" s="6"/>
      <c r="J808" s="6"/>
      <c r="K808" s="7"/>
      <c r="L808" s="51"/>
      <c r="M808" s="52"/>
      <c r="N808" s="52"/>
      <c r="O808" s="6"/>
      <c r="P808" s="32" t="e">
        <f>VLOOKUP(Table311[[#This Row],[UNIT NO.]],[1]!Table35711[[#Headers],[#Data],[Unit '#]:[Application/Sold/ Unsold]],7,0)</f>
        <v>#REF!</v>
      </c>
      <c r="S808" s="64"/>
    </row>
    <row r="809" spans="2:19" x14ac:dyDescent="0.25">
      <c r="B809" s="5">
        <f t="shared" si="12"/>
        <v>806</v>
      </c>
      <c r="C809" s="6"/>
      <c r="D809" s="6" t="s">
        <v>903</v>
      </c>
      <c r="E809" s="40" t="s">
        <v>2318</v>
      </c>
      <c r="F809" s="41">
        <v>1000</v>
      </c>
      <c r="G809" s="6" t="s">
        <v>32</v>
      </c>
      <c r="H809" s="6"/>
      <c r="I809" s="6"/>
      <c r="J809" s="6"/>
      <c r="K809" s="7"/>
      <c r="L809" s="51"/>
      <c r="M809" s="52"/>
      <c r="N809" s="52"/>
      <c r="O809" s="6"/>
      <c r="P809" s="32" t="e">
        <f>VLOOKUP(Table311[[#This Row],[UNIT NO.]],[1]!Table35711[[#Headers],[#Data],[Unit '#]:[Application/Sold/ Unsold]],7,0)</f>
        <v>#REF!</v>
      </c>
      <c r="S809" s="64"/>
    </row>
    <row r="810" spans="2:19" x14ac:dyDescent="0.25">
      <c r="B810" s="5">
        <f t="shared" si="12"/>
        <v>807</v>
      </c>
      <c r="C810" s="1"/>
      <c r="D810" s="1" t="s">
        <v>903</v>
      </c>
      <c r="E810" s="53" t="s">
        <v>2319</v>
      </c>
      <c r="F810" s="41">
        <v>1000</v>
      </c>
      <c r="G810" s="6" t="s">
        <v>104</v>
      </c>
      <c r="H810" s="1"/>
      <c r="I810" s="1"/>
      <c r="J810" s="1"/>
      <c r="K810" s="54"/>
      <c r="L810" s="55"/>
      <c r="M810" s="56"/>
      <c r="N810" s="56"/>
      <c r="O810" s="1"/>
      <c r="P810" s="32" t="e">
        <f>VLOOKUP(Table311[[#This Row],[UNIT NO.]],[1]!Table35711[[#Headers],[#Data],[Unit '#]:[Application/Sold/ Unsold]],7,0)</f>
        <v>#REF!</v>
      </c>
      <c r="S810" s="64"/>
    </row>
    <row r="811" spans="2:19" x14ac:dyDescent="0.25">
      <c r="B811" s="5">
        <f t="shared" si="12"/>
        <v>808</v>
      </c>
      <c r="C811" s="1"/>
      <c r="D811" s="1" t="s">
        <v>903</v>
      </c>
      <c r="E811" s="53" t="s">
        <v>2320</v>
      </c>
      <c r="F811" s="57">
        <v>1000</v>
      </c>
      <c r="G811" s="1" t="s">
        <v>104</v>
      </c>
      <c r="H811" s="1"/>
      <c r="I811" s="1"/>
      <c r="J811" s="1"/>
      <c r="K811" s="54"/>
      <c r="L811" s="55"/>
      <c r="M811" s="56"/>
      <c r="N811" s="56"/>
      <c r="O811" s="1"/>
      <c r="P811" s="32" t="e">
        <f>VLOOKUP(Table311[[#This Row],[UNIT NO.]],[1]!Table35711[[#Headers],[#Data],[Unit '#]:[Application/Sold/ Unsold]],7,0)</f>
        <v>#REF!</v>
      </c>
      <c r="S811" s="64"/>
    </row>
    <row r="812" spans="2:19" x14ac:dyDescent="0.25">
      <c r="B812" s="5">
        <f t="shared" si="12"/>
        <v>809</v>
      </c>
      <c r="C812" s="6"/>
      <c r="D812" s="6" t="s">
        <v>903</v>
      </c>
      <c r="E812" s="40" t="s">
        <v>2321</v>
      </c>
      <c r="F812" s="41">
        <v>1000</v>
      </c>
      <c r="G812" s="6" t="s">
        <v>104</v>
      </c>
      <c r="H812" s="6"/>
      <c r="I812" s="6"/>
      <c r="J812" s="6"/>
      <c r="K812" s="7"/>
      <c r="L812" s="51"/>
      <c r="M812" s="52"/>
      <c r="N812" s="52"/>
      <c r="O812" s="6"/>
      <c r="P812" s="32" t="e">
        <f>VLOOKUP(Table311[[#This Row],[UNIT NO.]],[1]!Table35711[[#Headers],[#Data],[Unit '#]:[Application/Sold/ Unsold]],7,0)</f>
        <v>#REF!</v>
      </c>
      <c r="S812" s="64"/>
    </row>
    <row r="813" spans="2:19" x14ac:dyDescent="0.25">
      <c r="B813" s="5">
        <f t="shared" si="12"/>
        <v>810</v>
      </c>
      <c r="C813" s="6"/>
      <c r="D813" s="6" t="s">
        <v>903</v>
      </c>
      <c r="E813" s="40" t="s">
        <v>2322</v>
      </c>
      <c r="F813" s="41">
        <v>1000</v>
      </c>
      <c r="G813" s="6" t="s">
        <v>32</v>
      </c>
      <c r="H813" s="6"/>
      <c r="I813" s="6"/>
      <c r="J813" s="6"/>
      <c r="K813" s="7"/>
      <c r="L813" s="51"/>
      <c r="M813" s="52"/>
      <c r="N813" s="52"/>
      <c r="O813" s="6"/>
      <c r="P813" s="32" t="e">
        <f>VLOOKUP(Table311[[#This Row],[UNIT NO.]],[1]!Table35711[[#Headers],[#Data],[Unit '#]:[Application/Sold/ Unsold]],7,0)</f>
        <v>#REF!</v>
      </c>
      <c r="S813" s="64"/>
    </row>
    <row r="814" spans="2:19" x14ac:dyDescent="0.25">
      <c r="B814" s="84"/>
      <c r="C814" s="136"/>
      <c r="D814" s="137"/>
      <c r="E814" s="138"/>
      <c r="F814" s="139"/>
      <c r="G814" s="10"/>
      <c r="H814" s="10"/>
      <c r="I814" s="10"/>
      <c r="J814" s="10"/>
      <c r="K814" s="61"/>
      <c r="L814" s="141">
        <f>SUM(Table311[AGREEMENT VALUE OF UNIT])</f>
        <v>1548509617</v>
      </c>
      <c r="M814" s="141">
        <f>SUM(Table311[AMOUNT RECEIVED TILL DATE])</f>
        <v>1358504837.27</v>
      </c>
      <c r="N814" s="142"/>
      <c r="O814" s="10"/>
      <c r="P814" s="140"/>
    </row>
    <row r="815" spans="2:19" x14ac:dyDescent="0.25">
      <c r="F815">
        <f>SUM(F700:F813)</f>
        <v>104310</v>
      </c>
    </row>
  </sheetData>
  <conditionalFormatting sqref="E4:E386">
    <cfRule type="duplicateValues" dxfId="21" priority="6"/>
    <cfRule type="duplicateValues" dxfId="20" priority="7"/>
    <cfRule type="duplicateValues" dxfId="19" priority="8"/>
    <cfRule type="duplicateValues" dxfId="18" priority="9"/>
  </conditionalFormatting>
  <conditionalFormatting sqref="E435:E694">
    <cfRule type="duplicateValues" dxfId="17" priority="2"/>
    <cfRule type="duplicateValues" dxfId="16" priority="3"/>
    <cfRule type="duplicateValues" dxfId="15" priority="4"/>
    <cfRule type="duplicateValues" dxfId="14" priority="5"/>
  </conditionalFormatting>
  <conditionalFormatting sqref="E3:E813">
    <cfRule type="duplicateValues" dxfId="13" priority="1"/>
  </conditionalFormatting>
  <conditionalFormatting sqref="E387:E434">
    <cfRule type="duplicateValues" dxfId="12" priority="10"/>
    <cfRule type="duplicateValues" dxfId="11" priority="11"/>
    <cfRule type="duplicateValues" dxfId="10" priority="12"/>
    <cfRule type="duplicateValues" dxfId="9" priority="13"/>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35"/>
  <sheetViews>
    <sheetView topLeftCell="A137" zoomScale="85" zoomScaleNormal="85" workbookViewId="0">
      <selection activeCell="M434" sqref="M434"/>
    </sheetView>
  </sheetViews>
  <sheetFormatPr defaultRowHeight="15" x14ac:dyDescent="0.25"/>
  <cols>
    <col min="2" max="2" width="7.85546875" customWidth="1"/>
    <col min="3" max="3" width="26.140625" customWidth="1"/>
    <col min="4" max="4" width="15.5703125" customWidth="1"/>
    <col min="5" max="5" width="10" customWidth="1"/>
    <col min="6" max="6" width="12.28515625" customWidth="1"/>
    <col min="7" max="10" width="17.28515625" customWidth="1"/>
    <col min="11" max="11" width="15" customWidth="1"/>
    <col min="12" max="14" width="13.5703125" customWidth="1"/>
    <col min="15" max="15" width="10.140625" bestFit="1" customWidth="1"/>
    <col min="19" max="19" width="13.28515625" bestFit="1" customWidth="1"/>
  </cols>
  <sheetData>
    <row r="1" spans="1:19" x14ac:dyDescent="0.25">
      <c r="A1" t="s">
        <v>901</v>
      </c>
    </row>
    <row r="3" spans="1:19" ht="64.5" x14ac:dyDescent="0.25">
      <c r="B3" s="4" t="s">
        <v>9</v>
      </c>
      <c r="C3" s="25" t="s">
        <v>10</v>
      </c>
      <c r="D3" s="25" t="s">
        <v>11</v>
      </c>
      <c r="E3" s="25" t="s">
        <v>12</v>
      </c>
      <c r="F3" s="25" t="s">
        <v>13</v>
      </c>
      <c r="G3" s="25" t="s">
        <v>905</v>
      </c>
      <c r="H3" s="25" t="s">
        <v>15</v>
      </c>
      <c r="I3" s="25" t="s">
        <v>16</v>
      </c>
      <c r="J3" s="25" t="s">
        <v>17</v>
      </c>
      <c r="K3" s="25" t="s">
        <v>18</v>
      </c>
      <c r="L3" s="25" t="s">
        <v>19</v>
      </c>
      <c r="M3" s="26" t="s">
        <v>20</v>
      </c>
      <c r="N3" s="27" t="s">
        <v>21</v>
      </c>
      <c r="O3" s="25" t="s">
        <v>22</v>
      </c>
      <c r="P3" s="25" t="s">
        <v>906</v>
      </c>
    </row>
    <row r="4" spans="1:19" x14ac:dyDescent="0.25">
      <c r="B4" s="5">
        <v>1</v>
      </c>
      <c r="C4" s="29" t="s">
        <v>2327</v>
      </c>
      <c r="D4" s="6" t="s">
        <v>2326</v>
      </c>
      <c r="E4" s="29" t="s">
        <v>2328</v>
      </c>
      <c r="F4" s="6">
        <v>830</v>
      </c>
      <c r="G4" s="6" t="s">
        <v>26</v>
      </c>
      <c r="H4" s="6"/>
      <c r="I4" s="6"/>
      <c r="J4" s="6"/>
      <c r="K4" s="7">
        <v>41647</v>
      </c>
      <c r="L4" s="30">
        <v>2563750</v>
      </c>
      <c r="M4" s="30">
        <v>512756</v>
      </c>
      <c r="N4" s="6" t="s">
        <v>30</v>
      </c>
      <c r="O4" s="31">
        <v>43103</v>
      </c>
      <c r="P4" s="1" t="e">
        <f>VLOOKUP(Table3[[#This Row],[UNIT NO.]],[1]!Table357[[#Headers],[#Data],[Unit '#]:[Application/Sold/ Unsold]],7,0)</f>
        <v>#REF!</v>
      </c>
    </row>
    <row r="5" spans="1:19" x14ac:dyDescent="0.25">
      <c r="B5" s="5">
        <f>B4+1</f>
        <v>2</v>
      </c>
      <c r="C5" s="29" t="s">
        <v>2329</v>
      </c>
      <c r="D5" s="6" t="s">
        <v>2326</v>
      </c>
      <c r="E5" s="29" t="s">
        <v>2330</v>
      </c>
      <c r="F5" s="6">
        <v>830</v>
      </c>
      <c r="G5" s="6" t="s">
        <v>26</v>
      </c>
      <c r="H5" s="6"/>
      <c r="I5" s="6"/>
      <c r="J5" s="6"/>
      <c r="K5" s="7">
        <v>41647</v>
      </c>
      <c r="L5" s="30">
        <v>2563750</v>
      </c>
      <c r="M5" s="30">
        <v>528600</v>
      </c>
      <c r="N5" s="6" t="s">
        <v>30</v>
      </c>
      <c r="O5" s="31">
        <v>43103</v>
      </c>
      <c r="P5" s="1" t="e">
        <f>VLOOKUP(Table3[[#This Row],[UNIT NO.]],[1]!Table357[[#Headers],[#Data],[Unit '#]:[Application/Sold/ Unsold]],7,0)</f>
        <v>#REF!</v>
      </c>
    </row>
    <row r="6" spans="1:19" x14ac:dyDescent="0.25">
      <c r="B6" s="5">
        <f t="shared" ref="B6:B69" si="0">B5+1</f>
        <v>3</v>
      </c>
      <c r="C6" s="29" t="s">
        <v>2331</v>
      </c>
      <c r="D6" s="6" t="s">
        <v>2326</v>
      </c>
      <c r="E6" s="29" t="s">
        <v>2332</v>
      </c>
      <c r="F6" s="6">
        <v>830</v>
      </c>
      <c r="G6" s="6" t="s">
        <v>26</v>
      </c>
      <c r="H6" s="6"/>
      <c r="I6" s="6"/>
      <c r="J6" s="6"/>
      <c r="K6" s="7">
        <v>41647</v>
      </c>
      <c r="L6" s="30">
        <v>2563750</v>
      </c>
      <c r="M6" s="30">
        <v>528600</v>
      </c>
      <c r="N6" s="6" t="s">
        <v>30</v>
      </c>
      <c r="O6" s="31">
        <v>43103</v>
      </c>
      <c r="P6" s="1" t="e">
        <f>VLOOKUP(Table3[[#This Row],[UNIT NO.]],[1]!Table357[[#Headers],[#Data],[Unit '#]:[Application/Sold/ Unsold]],7,0)</f>
        <v>#REF!</v>
      </c>
      <c r="S6" s="64">
        <f>SUM(Table3[AGREEMENT VALUE OF UNIT])</f>
        <v>130959332</v>
      </c>
    </row>
    <row r="7" spans="1:19" x14ac:dyDescent="0.25">
      <c r="B7" s="5">
        <f t="shared" si="0"/>
        <v>4</v>
      </c>
      <c r="C7" s="29" t="s">
        <v>2333</v>
      </c>
      <c r="D7" s="6" t="s">
        <v>2326</v>
      </c>
      <c r="E7" s="29" t="s">
        <v>2334</v>
      </c>
      <c r="F7" s="6">
        <v>830</v>
      </c>
      <c r="G7" s="6" t="s">
        <v>26</v>
      </c>
      <c r="H7" s="6"/>
      <c r="I7" s="6"/>
      <c r="J7" s="6"/>
      <c r="K7" s="7">
        <v>41647</v>
      </c>
      <c r="L7" s="30">
        <v>2563750</v>
      </c>
      <c r="M7" s="30">
        <v>512756</v>
      </c>
      <c r="N7" s="6" t="s">
        <v>30</v>
      </c>
      <c r="O7" s="31">
        <v>43103</v>
      </c>
      <c r="P7" s="1" t="e">
        <f>VLOOKUP(Table3[[#This Row],[UNIT NO.]],[1]!Table357[[#Headers],[#Data],[Unit '#]:[Application/Sold/ Unsold]],7,0)</f>
        <v>#REF!</v>
      </c>
      <c r="S7" s="64">
        <f>SUM(Table3[AMOUNT RECEIVED TILL DATE])</f>
        <v>20640653</v>
      </c>
    </row>
    <row r="8" spans="1:19" x14ac:dyDescent="0.25">
      <c r="B8" s="5">
        <f t="shared" si="0"/>
        <v>5</v>
      </c>
      <c r="C8" s="29" t="s">
        <v>2335</v>
      </c>
      <c r="D8" s="6" t="s">
        <v>2326</v>
      </c>
      <c r="E8" s="29" t="s">
        <v>2336</v>
      </c>
      <c r="F8" s="6">
        <v>830</v>
      </c>
      <c r="G8" s="6" t="s">
        <v>26</v>
      </c>
      <c r="H8" s="6"/>
      <c r="I8" s="6"/>
      <c r="J8" s="6"/>
      <c r="K8" s="7">
        <v>42240</v>
      </c>
      <c r="L8" s="30">
        <v>2651000</v>
      </c>
      <c r="M8" s="30">
        <v>388239</v>
      </c>
      <c r="N8" s="6" t="s">
        <v>30</v>
      </c>
      <c r="O8" s="31">
        <v>43103</v>
      </c>
      <c r="P8" s="1" t="e">
        <f>VLOOKUP(Table3[[#This Row],[UNIT NO.]],[1]!Table357[[#Headers],[#Data],[Unit '#]:[Application/Sold/ Unsold]],7,0)</f>
        <v>#REF!</v>
      </c>
      <c r="S8" s="64">
        <f>S6-S7</f>
        <v>110318679</v>
      </c>
    </row>
    <row r="9" spans="1:19" x14ac:dyDescent="0.25">
      <c r="B9" s="5">
        <f t="shared" si="0"/>
        <v>6</v>
      </c>
      <c r="C9" s="29" t="s">
        <v>2337</v>
      </c>
      <c r="D9" s="6" t="s">
        <v>2326</v>
      </c>
      <c r="E9" s="29" t="s">
        <v>2338</v>
      </c>
      <c r="F9" s="6">
        <v>830</v>
      </c>
      <c r="G9" s="6" t="s">
        <v>26</v>
      </c>
      <c r="H9" s="6"/>
      <c r="I9" s="6"/>
      <c r="J9" s="6"/>
      <c r="K9" s="7">
        <v>41588</v>
      </c>
      <c r="L9" s="30">
        <v>2602058</v>
      </c>
      <c r="M9" s="30">
        <v>504813</v>
      </c>
      <c r="N9" s="6" t="s">
        <v>30</v>
      </c>
      <c r="O9" s="31">
        <v>43103</v>
      </c>
      <c r="P9" s="1" t="e">
        <f>VLOOKUP(Table3[[#This Row],[UNIT NO.]],[1]!Table357[[#Headers],[#Data],[Unit '#]:[Application/Sold/ Unsold]],7,0)</f>
        <v>#REF!</v>
      </c>
    </row>
    <row r="10" spans="1:19" x14ac:dyDescent="0.25">
      <c r="B10" s="5">
        <f t="shared" si="0"/>
        <v>7</v>
      </c>
      <c r="C10" s="29" t="s">
        <v>2339</v>
      </c>
      <c r="D10" s="6" t="s">
        <v>2326</v>
      </c>
      <c r="E10" s="29" t="s">
        <v>2340</v>
      </c>
      <c r="F10" s="6">
        <v>830</v>
      </c>
      <c r="G10" s="6" t="s">
        <v>26</v>
      </c>
      <c r="H10" s="6"/>
      <c r="I10" s="6"/>
      <c r="J10" s="6"/>
      <c r="K10" s="7">
        <v>41643</v>
      </c>
      <c r="L10" s="30">
        <v>2541400</v>
      </c>
      <c r="M10" s="30">
        <v>508280</v>
      </c>
      <c r="N10" s="6" t="s">
        <v>30</v>
      </c>
      <c r="O10" s="31">
        <v>43103</v>
      </c>
      <c r="P10" s="1" t="e">
        <f>VLOOKUP(Table3[[#This Row],[UNIT NO.]],[1]!Table357[[#Headers],[#Data],[Unit '#]:[Application/Sold/ Unsold]],7,0)</f>
        <v>#REF!</v>
      </c>
    </row>
    <row r="11" spans="1:19" x14ac:dyDescent="0.25">
      <c r="B11" s="5">
        <f t="shared" si="0"/>
        <v>8</v>
      </c>
      <c r="C11" s="29" t="s">
        <v>2341</v>
      </c>
      <c r="D11" s="6" t="s">
        <v>2326</v>
      </c>
      <c r="E11" s="29" t="s">
        <v>2342</v>
      </c>
      <c r="F11" s="6">
        <v>830</v>
      </c>
      <c r="G11" s="6" t="s">
        <v>26</v>
      </c>
      <c r="H11" s="6"/>
      <c r="I11" s="6"/>
      <c r="J11" s="6"/>
      <c r="K11" s="7">
        <v>41526</v>
      </c>
      <c r="L11" s="30">
        <v>2452398</v>
      </c>
      <c r="M11" s="30">
        <v>490479</v>
      </c>
      <c r="N11" s="6" t="s">
        <v>30</v>
      </c>
      <c r="O11" s="31">
        <v>43103</v>
      </c>
      <c r="P11" s="1" t="e">
        <f>VLOOKUP(Table3[[#This Row],[UNIT NO.]],[1]!Table357[[#Headers],[#Data],[Unit '#]:[Application/Sold/ Unsold]],7,0)</f>
        <v>#REF!</v>
      </c>
    </row>
    <row r="12" spans="1:19" x14ac:dyDescent="0.25">
      <c r="B12" s="5">
        <f t="shared" si="0"/>
        <v>9</v>
      </c>
      <c r="C12" s="29" t="s">
        <v>2343</v>
      </c>
      <c r="D12" s="6" t="s">
        <v>2326</v>
      </c>
      <c r="E12" s="29" t="s">
        <v>2344</v>
      </c>
      <c r="F12" s="6">
        <v>830</v>
      </c>
      <c r="G12" s="6" t="s">
        <v>26</v>
      </c>
      <c r="H12" s="10"/>
      <c r="I12" s="10"/>
      <c r="J12" s="10"/>
      <c r="K12" s="7">
        <v>41533</v>
      </c>
      <c r="L12" s="30">
        <v>2550900</v>
      </c>
      <c r="M12" s="30">
        <v>510180</v>
      </c>
      <c r="N12" s="6" t="s">
        <v>30</v>
      </c>
      <c r="O12" s="31">
        <v>43103</v>
      </c>
      <c r="P12" s="1" t="e">
        <f>VLOOKUP(Table3[[#This Row],[UNIT NO.]],[1]!Table357[[#Headers],[#Data],[Unit '#]:[Application/Sold/ Unsold]],7,0)</f>
        <v>#REF!</v>
      </c>
    </row>
    <row r="13" spans="1:19" x14ac:dyDescent="0.25">
      <c r="B13" s="5">
        <f t="shared" si="0"/>
        <v>10</v>
      </c>
      <c r="C13" s="29" t="s">
        <v>168</v>
      </c>
      <c r="D13" s="6" t="s">
        <v>2326</v>
      </c>
      <c r="E13" s="29" t="s">
        <v>2345</v>
      </c>
      <c r="F13" s="6">
        <v>830</v>
      </c>
      <c r="G13" s="6" t="s">
        <v>26</v>
      </c>
      <c r="H13" s="6"/>
      <c r="I13" s="6"/>
      <c r="J13" s="6"/>
      <c r="K13" s="7">
        <v>42213</v>
      </c>
      <c r="L13" s="30">
        <v>2668920</v>
      </c>
      <c r="M13" s="30">
        <v>49275</v>
      </c>
      <c r="N13" s="6" t="s">
        <v>30</v>
      </c>
      <c r="O13" s="31">
        <v>43103</v>
      </c>
      <c r="P13" s="1" t="e">
        <f>VLOOKUP(Table3[[#This Row],[UNIT NO.]],[1]!Table357[[#Headers],[#Data],[Unit '#]:[Application/Sold/ Unsold]],7,0)</f>
        <v>#REF!</v>
      </c>
    </row>
    <row r="14" spans="1:19" x14ac:dyDescent="0.25">
      <c r="B14" s="5">
        <f t="shared" si="0"/>
        <v>11</v>
      </c>
      <c r="C14" s="29" t="s">
        <v>2346</v>
      </c>
      <c r="D14" s="6" t="s">
        <v>2326</v>
      </c>
      <c r="E14" s="29" t="s">
        <v>2347</v>
      </c>
      <c r="F14" s="6">
        <v>830</v>
      </c>
      <c r="G14" s="6" t="s">
        <v>26</v>
      </c>
      <c r="H14" s="6"/>
      <c r="I14" s="6"/>
      <c r="J14" s="6"/>
      <c r="K14" s="7">
        <v>41729</v>
      </c>
      <c r="L14" s="30">
        <v>2643000</v>
      </c>
      <c r="M14" s="30">
        <v>488600</v>
      </c>
      <c r="N14" s="6" t="s">
        <v>30</v>
      </c>
      <c r="O14" s="31">
        <v>43103</v>
      </c>
      <c r="P14" s="1" t="e">
        <f>VLOOKUP(Table3[[#This Row],[UNIT NO.]],[1]!Table357[[#Headers],[#Data],[Unit '#]:[Application/Sold/ Unsold]],7,0)</f>
        <v>#REF!</v>
      </c>
    </row>
    <row r="15" spans="1:19" x14ac:dyDescent="0.25">
      <c r="B15" s="5">
        <f t="shared" si="0"/>
        <v>12</v>
      </c>
      <c r="C15" s="29" t="s">
        <v>315</v>
      </c>
      <c r="D15" s="6" t="s">
        <v>2326</v>
      </c>
      <c r="E15" s="29" t="s">
        <v>2348</v>
      </c>
      <c r="F15" s="6">
        <v>830</v>
      </c>
      <c r="G15" s="6" t="s">
        <v>26</v>
      </c>
      <c r="H15" s="6"/>
      <c r="I15" s="6"/>
      <c r="J15" s="6"/>
      <c r="K15" s="7">
        <v>42244</v>
      </c>
      <c r="L15" s="30">
        <v>2627420</v>
      </c>
      <c r="M15" s="30">
        <v>49275</v>
      </c>
      <c r="N15" s="6" t="s">
        <v>30</v>
      </c>
      <c r="O15" s="31">
        <v>43103</v>
      </c>
      <c r="P15" s="1" t="e">
        <f>VLOOKUP(Table3[[#This Row],[UNIT NO.]],[1]!Table357[[#Headers],[#Data],[Unit '#]:[Application/Sold/ Unsold]],7,0)</f>
        <v>#REF!</v>
      </c>
    </row>
    <row r="16" spans="1:19" x14ac:dyDescent="0.25">
      <c r="B16" s="5">
        <f t="shared" si="0"/>
        <v>13</v>
      </c>
      <c r="C16" s="29" t="s">
        <v>2349</v>
      </c>
      <c r="D16" s="6" t="s">
        <v>2326</v>
      </c>
      <c r="E16" s="29" t="s">
        <v>2350</v>
      </c>
      <c r="F16" s="6">
        <v>830</v>
      </c>
      <c r="G16" s="6" t="s">
        <v>26</v>
      </c>
      <c r="H16" s="6"/>
      <c r="I16" s="6"/>
      <c r="J16" s="6"/>
      <c r="K16" s="7">
        <v>41834</v>
      </c>
      <c r="L16" s="30">
        <v>2732400</v>
      </c>
      <c r="M16" s="30">
        <v>485014</v>
      </c>
      <c r="N16" s="6" t="s">
        <v>30</v>
      </c>
      <c r="O16" s="31">
        <v>43103</v>
      </c>
      <c r="P16" s="1" t="e">
        <f>VLOOKUP(Table3[[#This Row],[UNIT NO.]],[1]!Table357[[#Headers],[#Data],[Unit '#]:[Application/Sold/ Unsold]],7,0)</f>
        <v>#REF!</v>
      </c>
    </row>
    <row r="17" spans="2:16" x14ac:dyDescent="0.25">
      <c r="B17" s="5">
        <f t="shared" si="0"/>
        <v>14</v>
      </c>
      <c r="C17" s="29" t="s">
        <v>335</v>
      </c>
      <c r="D17" s="6" t="s">
        <v>2326</v>
      </c>
      <c r="E17" s="29" t="s">
        <v>2351</v>
      </c>
      <c r="F17" s="6">
        <v>830</v>
      </c>
      <c r="G17" s="6" t="s">
        <v>26</v>
      </c>
      <c r="H17" s="6"/>
      <c r="I17" s="6"/>
      <c r="J17" s="6"/>
      <c r="K17" s="7">
        <v>42244</v>
      </c>
      <c r="L17" s="30">
        <v>2668920</v>
      </c>
      <c r="M17" s="30">
        <v>49275</v>
      </c>
      <c r="N17" s="6" t="s">
        <v>30</v>
      </c>
      <c r="O17" s="31">
        <v>43103</v>
      </c>
      <c r="P17" s="1" t="e">
        <f>VLOOKUP(Table3[[#This Row],[UNIT NO.]],[1]!Table357[[#Headers],[#Data],[Unit '#]:[Application/Sold/ Unsold]],7,0)</f>
        <v>#REF!</v>
      </c>
    </row>
    <row r="18" spans="2:16" x14ac:dyDescent="0.25">
      <c r="B18" s="5">
        <f t="shared" si="0"/>
        <v>15</v>
      </c>
      <c r="C18" s="33" t="s">
        <v>2352</v>
      </c>
      <c r="D18" s="6" t="s">
        <v>2326</v>
      </c>
      <c r="E18" s="33" t="s">
        <v>2353</v>
      </c>
      <c r="F18" s="34">
        <v>830</v>
      </c>
      <c r="G18" s="6" t="s">
        <v>26</v>
      </c>
      <c r="H18" s="6"/>
      <c r="I18" s="6"/>
      <c r="J18" s="6"/>
      <c r="K18" s="35">
        <v>42566</v>
      </c>
      <c r="L18" s="36">
        <v>2460000</v>
      </c>
      <c r="M18" s="30">
        <v>246000</v>
      </c>
      <c r="N18" s="6" t="s">
        <v>30</v>
      </c>
      <c r="O18" s="31">
        <v>43103</v>
      </c>
      <c r="P18" s="1" t="e">
        <f>VLOOKUP(Table3[[#This Row],[UNIT NO.]],[1]!Table357[[#Headers],[#Data],[Unit '#]:[Application/Sold/ Unsold]],7,0)</f>
        <v>#REF!</v>
      </c>
    </row>
    <row r="19" spans="2:16" x14ac:dyDescent="0.25">
      <c r="B19" s="5">
        <f t="shared" si="0"/>
        <v>16</v>
      </c>
      <c r="C19" s="29" t="s">
        <v>2354</v>
      </c>
      <c r="D19" s="6" t="s">
        <v>2326</v>
      </c>
      <c r="E19" s="29" t="s">
        <v>2355</v>
      </c>
      <c r="F19" s="6">
        <v>830</v>
      </c>
      <c r="G19" s="6" t="s">
        <v>26</v>
      </c>
      <c r="H19" s="6"/>
      <c r="I19" s="6"/>
      <c r="J19" s="6"/>
      <c r="K19" s="7">
        <v>41329</v>
      </c>
      <c r="L19" s="30">
        <v>2229500</v>
      </c>
      <c r="M19" s="30">
        <v>153002</v>
      </c>
      <c r="N19" s="6" t="s">
        <v>30</v>
      </c>
      <c r="O19" s="31">
        <v>43103</v>
      </c>
      <c r="P19" s="1" t="e">
        <f>VLOOKUP(Table3[[#This Row],[UNIT NO.]],[1]!Table357[[#Headers],[#Data],[Unit '#]:[Application/Sold/ Unsold]],7,0)</f>
        <v>#REF!</v>
      </c>
    </row>
    <row r="20" spans="2:16" x14ac:dyDescent="0.25">
      <c r="B20" s="5">
        <f t="shared" si="0"/>
        <v>17</v>
      </c>
      <c r="C20" s="29" t="s">
        <v>1810</v>
      </c>
      <c r="D20" s="6" t="s">
        <v>2326</v>
      </c>
      <c r="E20" s="29" t="s">
        <v>2356</v>
      </c>
      <c r="F20" s="6">
        <v>830</v>
      </c>
      <c r="G20" s="6" t="s">
        <v>26</v>
      </c>
      <c r="H20" s="6"/>
      <c r="I20" s="6"/>
      <c r="J20" s="6"/>
      <c r="K20" s="7">
        <v>41608</v>
      </c>
      <c r="L20" s="30">
        <v>2640000</v>
      </c>
      <c r="M20" s="30">
        <v>528000</v>
      </c>
      <c r="N20" s="6" t="s">
        <v>30</v>
      </c>
      <c r="O20" s="31">
        <v>43103</v>
      </c>
      <c r="P20" s="1" t="e">
        <f>VLOOKUP(Table3[[#This Row],[UNIT NO.]],[1]!Table357[[#Headers],[#Data],[Unit '#]:[Application/Sold/ Unsold]],7,0)</f>
        <v>#REF!</v>
      </c>
    </row>
    <row r="21" spans="2:16" x14ac:dyDescent="0.25">
      <c r="B21" s="5">
        <f t="shared" si="0"/>
        <v>18</v>
      </c>
      <c r="C21" s="29" t="s">
        <v>2357</v>
      </c>
      <c r="D21" s="6" t="s">
        <v>2326</v>
      </c>
      <c r="E21" s="29" t="s">
        <v>2358</v>
      </c>
      <c r="F21" s="6">
        <v>830</v>
      </c>
      <c r="G21" s="6" t="s">
        <v>26</v>
      </c>
      <c r="H21" s="6"/>
      <c r="I21" s="6"/>
      <c r="J21" s="6"/>
      <c r="K21" s="7">
        <v>41597</v>
      </c>
      <c r="L21" s="30">
        <v>2489490</v>
      </c>
      <c r="M21" s="30">
        <v>497898</v>
      </c>
      <c r="N21" s="6" t="s">
        <v>30</v>
      </c>
      <c r="O21" s="31">
        <v>43103</v>
      </c>
      <c r="P21" s="1" t="e">
        <f>VLOOKUP(Table3[[#This Row],[UNIT NO.]],[1]!Table357[[#Headers],[#Data],[Unit '#]:[Application/Sold/ Unsold]],7,0)</f>
        <v>#REF!</v>
      </c>
    </row>
    <row r="22" spans="2:16" x14ac:dyDescent="0.25">
      <c r="B22" s="5">
        <f t="shared" si="0"/>
        <v>19</v>
      </c>
      <c r="C22" s="29" t="s">
        <v>1744</v>
      </c>
      <c r="D22" s="6" t="s">
        <v>2326</v>
      </c>
      <c r="E22" s="29" t="s">
        <v>2359</v>
      </c>
      <c r="F22" s="6">
        <v>830</v>
      </c>
      <c r="G22" s="6" t="s">
        <v>26</v>
      </c>
      <c r="H22" s="6"/>
      <c r="I22" s="6"/>
      <c r="J22" s="6"/>
      <c r="K22" s="7">
        <v>42116</v>
      </c>
      <c r="L22" s="30">
        <v>2700000</v>
      </c>
      <c r="M22" s="30">
        <v>538897</v>
      </c>
      <c r="N22" s="6" t="s">
        <v>46</v>
      </c>
      <c r="O22" s="31">
        <v>43103</v>
      </c>
      <c r="P22" s="1" t="e">
        <f>VLOOKUP(Table3[[#This Row],[UNIT NO.]],[1]!Table357[[#Headers],[#Data],[Unit '#]:[Application/Sold/ Unsold]],7,0)</f>
        <v>#REF!</v>
      </c>
    </row>
    <row r="23" spans="2:16" x14ac:dyDescent="0.25">
      <c r="B23" s="5">
        <f t="shared" si="0"/>
        <v>20</v>
      </c>
      <c r="C23" s="29" t="s">
        <v>2360</v>
      </c>
      <c r="D23" s="6" t="s">
        <v>2326</v>
      </c>
      <c r="E23" s="29" t="s">
        <v>2361</v>
      </c>
      <c r="F23" s="6">
        <v>830</v>
      </c>
      <c r="G23" s="6" t="s">
        <v>26</v>
      </c>
      <c r="H23" s="6"/>
      <c r="I23" s="6"/>
      <c r="J23" s="6"/>
      <c r="K23" s="7">
        <v>41786</v>
      </c>
      <c r="L23" s="30">
        <v>2618175</v>
      </c>
      <c r="M23" s="30">
        <v>383160</v>
      </c>
      <c r="N23" s="6" t="s">
        <v>30</v>
      </c>
      <c r="O23" s="31">
        <v>43103</v>
      </c>
      <c r="P23" s="1" t="e">
        <f>VLOOKUP(Table3[[#This Row],[UNIT NO.]],[1]!Table357[[#Headers],[#Data],[Unit '#]:[Application/Sold/ Unsold]],7,0)</f>
        <v>#REF!</v>
      </c>
    </row>
    <row r="24" spans="2:16" x14ac:dyDescent="0.25">
      <c r="B24" s="5">
        <f t="shared" si="0"/>
        <v>21</v>
      </c>
      <c r="C24" s="29" t="s">
        <v>2362</v>
      </c>
      <c r="D24" s="6" t="s">
        <v>2326</v>
      </c>
      <c r="E24" s="29" t="s">
        <v>2363</v>
      </c>
      <c r="F24" s="6">
        <v>830</v>
      </c>
      <c r="G24" s="6" t="s">
        <v>26</v>
      </c>
      <c r="H24" s="6"/>
      <c r="I24" s="6"/>
      <c r="J24" s="6"/>
      <c r="K24" s="7">
        <v>41943</v>
      </c>
      <c r="L24" s="30">
        <v>2633175</v>
      </c>
      <c r="M24" s="30">
        <v>552964</v>
      </c>
      <c r="N24" s="6" t="s">
        <v>30</v>
      </c>
      <c r="O24" s="31">
        <v>43103</v>
      </c>
      <c r="P24" s="1" t="e">
        <f>VLOOKUP(Table3[[#This Row],[UNIT NO.]],[1]!Table357[[#Headers],[#Data],[Unit '#]:[Application/Sold/ Unsold]],7,0)</f>
        <v>#REF!</v>
      </c>
    </row>
    <row r="25" spans="2:16" x14ac:dyDescent="0.25">
      <c r="B25" s="5">
        <f t="shared" si="0"/>
        <v>22</v>
      </c>
      <c r="C25" s="29" t="s">
        <v>2364</v>
      </c>
      <c r="D25" s="6" t="s">
        <v>2326</v>
      </c>
      <c r="E25" s="29" t="s">
        <v>2365</v>
      </c>
      <c r="F25" s="6">
        <v>830</v>
      </c>
      <c r="G25" s="6" t="s">
        <v>26</v>
      </c>
      <c r="H25" s="6"/>
      <c r="I25" s="6"/>
      <c r="J25" s="6"/>
      <c r="K25" s="7">
        <v>41575</v>
      </c>
      <c r="L25" s="30">
        <v>2590000</v>
      </c>
      <c r="M25" s="30">
        <v>518000</v>
      </c>
      <c r="N25" s="6" t="s">
        <v>30</v>
      </c>
      <c r="O25" s="31">
        <v>43103</v>
      </c>
      <c r="P25" s="1" t="e">
        <f>VLOOKUP(Table3[[#This Row],[UNIT NO.]],[1]!Table357[[#Headers],[#Data],[Unit '#]:[Application/Sold/ Unsold]],7,0)</f>
        <v>#REF!</v>
      </c>
    </row>
    <row r="26" spans="2:16" x14ac:dyDescent="0.25">
      <c r="B26" s="5">
        <f t="shared" si="0"/>
        <v>23</v>
      </c>
      <c r="C26" s="29" t="s">
        <v>1788</v>
      </c>
      <c r="D26" s="6" t="s">
        <v>2326</v>
      </c>
      <c r="E26" s="29" t="s">
        <v>2366</v>
      </c>
      <c r="F26" s="6">
        <v>830</v>
      </c>
      <c r="G26" s="6" t="s">
        <v>26</v>
      </c>
      <c r="H26" s="6"/>
      <c r="I26" s="6"/>
      <c r="J26" s="6"/>
      <c r="K26" s="7">
        <v>41575</v>
      </c>
      <c r="L26" s="30">
        <v>2590000</v>
      </c>
      <c r="M26" s="30">
        <v>523816</v>
      </c>
      <c r="N26" s="6" t="s">
        <v>30</v>
      </c>
      <c r="O26" s="31">
        <v>43103</v>
      </c>
      <c r="P26" s="1" t="e">
        <f>VLOOKUP(Table3[[#This Row],[UNIT NO.]],[1]!Table357[[#Headers],[#Data],[Unit '#]:[Application/Sold/ Unsold]],7,0)</f>
        <v>#REF!</v>
      </c>
    </row>
    <row r="27" spans="2:16" x14ac:dyDescent="0.25">
      <c r="B27" s="5">
        <f t="shared" si="0"/>
        <v>24</v>
      </c>
      <c r="C27" s="29" t="s">
        <v>2367</v>
      </c>
      <c r="D27" s="6" t="s">
        <v>2326</v>
      </c>
      <c r="E27" s="29" t="s">
        <v>2368</v>
      </c>
      <c r="F27" s="6">
        <v>830</v>
      </c>
      <c r="G27" s="6" t="s">
        <v>26</v>
      </c>
      <c r="H27" s="6"/>
      <c r="I27" s="6"/>
      <c r="J27" s="6"/>
      <c r="K27" s="7">
        <v>42070</v>
      </c>
      <c r="L27" s="30">
        <v>2730000</v>
      </c>
      <c r="M27" s="30">
        <v>545834</v>
      </c>
      <c r="N27" s="6" t="s">
        <v>30</v>
      </c>
      <c r="O27" s="31">
        <v>43103</v>
      </c>
      <c r="P27" s="1" t="e">
        <f>VLOOKUP(Table3[[#This Row],[UNIT NO.]],[1]!Table357[[#Headers],[#Data],[Unit '#]:[Application/Sold/ Unsold]],7,0)</f>
        <v>#REF!</v>
      </c>
    </row>
    <row r="28" spans="2:16" x14ac:dyDescent="0.25">
      <c r="B28" s="5">
        <f t="shared" si="0"/>
        <v>25</v>
      </c>
      <c r="C28" s="29" t="s">
        <v>2337</v>
      </c>
      <c r="D28" s="6" t="s">
        <v>2326</v>
      </c>
      <c r="E28" s="29" t="s">
        <v>2369</v>
      </c>
      <c r="F28" s="6">
        <v>830</v>
      </c>
      <c r="G28" s="6" t="s">
        <v>26</v>
      </c>
      <c r="H28" s="6"/>
      <c r="I28" s="6"/>
      <c r="J28" s="6"/>
      <c r="K28" s="7">
        <v>41588</v>
      </c>
      <c r="L28" s="30">
        <v>2602058</v>
      </c>
      <c r="M28" s="30">
        <v>504813</v>
      </c>
      <c r="N28" s="6" t="s">
        <v>30</v>
      </c>
      <c r="O28" s="31">
        <v>43103</v>
      </c>
      <c r="P28" s="1" t="e">
        <f>VLOOKUP(Table3[[#This Row],[UNIT NO.]],[1]!Table357[[#Headers],[#Data],[Unit '#]:[Application/Sold/ Unsold]],7,0)</f>
        <v>#REF!</v>
      </c>
    </row>
    <row r="29" spans="2:16" x14ac:dyDescent="0.25">
      <c r="B29" s="5">
        <f t="shared" si="0"/>
        <v>26</v>
      </c>
      <c r="C29" s="29" t="s">
        <v>2370</v>
      </c>
      <c r="D29" s="6" t="s">
        <v>2326</v>
      </c>
      <c r="E29" s="29" t="s">
        <v>2371</v>
      </c>
      <c r="F29" s="6">
        <v>830</v>
      </c>
      <c r="G29" s="6" t="s">
        <v>26</v>
      </c>
      <c r="H29" s="6"/>
      <c r="I29" s="6"/>
      <c r="J29" s="6"/>
      <c r="K29" s="7">
        <v>41553</v>
      </c>
      <c r="L29" s="30">
        <v>2643557</v>
      </c>
      <c r="M29" s="30">
        <v>194006</v>
      </c>
      <c r="N29" s="6" t="s">
        <v>30</v>
      </c>
      <c r="O29" s="31">
        <v>43103</v>
      </c>
      <c r="P29" s="1" t="e">
        <f>VLOOKUP(Table3[[#This Row],[UNIT NO.]],[1]!Table357[[#Headers],[#Data],[Unit '#]:[Application/Sold/ Unsold]],7,0)</f>
        <v>#REF!</v>
      </c>
    </row>
    <row r="30" spans="2:16" x14ac:dyDescent="0.25">
      <c r="B30" s="5">
        <f t="shared" si="0"/>
        <v>27</v>
      </c>
      <c r="C30" s="29" t="s">
        <v>1345</v>
      </c>
      <c r="D30" s="6" t="s">
        <v>2326</v>
      </c>
      <c r="E30" s="29" t="s">
        <v>2372</v>
      </c>
      <c r="F30" s="6">
        <v>830</v>
      </c>
      <c r="G30" s="6" t="s">
        <v>26</v>
      </c>
      <c r="H30" s="6"/>
      <c r="I30" s="6"/>
      <c r="J30" s="6"/>
      <c r="K30" s="7">
        <v>41889</v>
      </c>
      <c r="L30" s="30">
        <v>2936500</v>
      </c>
      <c r="M30" s="30">
        <v>581440</v>
      </c>
      <c r="N30" s="6" t="s">
        <v>30</v>
      </c>
      <c r="O30" s="31">
        <v>43103</v>
      </c>
      <c r="P30" s="1" t="e">
        <f>VLOOKUP(Table3[[#This Row],[UNIT NO.]],[1]!Table357[[#Headers],[#Data],[Unit '#]:[Application/Sold/ Unsold]],7,0)</f>
        <v>#REF!</v>
      </c>
    </row>
    <row r="31" spans="2:16" x14ac:dyDescent="0.25">
      <c r="B31" s="5">
        <f t="shared" si="0"/>
        <v>28</v>
      </c>
      <c r="C31" s="29" t="s">
        <v>2373</v>
      </c>
      <c r="D31" s="6" t="s">
        <v>2326</v>
      </c>
      <c r="E31" s="29" t="s">
        <v>2374</v>
      </c>
      <c r="F31" s="6">
        <v>830</v>
      </c>
      <c r="G31" s="6" t="s">
        <v>26</v>
      </c>
      <c r="H31" s="6"/>
      <c r="I31" s="6"/>
      <c r="J31" s="6"/>
      <c r="K31" s="7">
        <v>41856</v>
      </c>
      <c r="L31" s="30">
        <v>2961300</v>
      </c>
      <c r="M31" s="30">
        <v>552915</v>
      </c>
      <c r="N31" s="6" t="s">
        <v>30</v>
      </c>
      <c r="O31" s="31">
        <v>43103</v>
      </c>
      <c r="P31" s="1" t="e">
        <f>VLOOKUP(Table3[[#This Row],[UNIT NO.]],[1]!Table357[[#Headers],[#Data],[Unit '#]:[Application/Sold/ Unsold]],7,0)</f>
        <v>#REF!</v>
      </c>
    </row>
    <row r="32" spans="2:16" x14ac:dyDescent="0.25">
      <c r="B32" s="5">
        <f t="shared" si="0"/>
        <v>29</v>
      </c>
      <c r="C32" s="29" t="s">
        <v>2373</v>
      </c>
      <c r="D32" s="6" t="s">
        <v>2326</v>
      </c>
      <c r="E32" s="29" t="s">
        <v>2375</v>
      </c>
      <c r="F32" s="6">
        <v>830</v>
      </c>
      <c r="G32" s="6" t="s">
        <v>26</v>
      </c>
      <c r="H32" s="6"/>
      <c r="I32" s="6"/>
      <c r="J32" s="6"/>
      <c r="K32" s="7">
        <v>41856</v>
      </c>
      <c r="L32" s="30">
        <v>2961300</v>
      </c>
      <c r="M32" s="30">
        <v>552915</v>
      </c>
      <c r="N32" s="6" t="s">
        <v>30</v>
      </c>
      <c r="O32" s="31">
        <v>43103</v>
      </c>
      <c r="P32" s="1" t="e">
        <f>VLOOKUP(Table3[[#This Row],[UNIT NO.]],[1]!Table357[[#Headers],[#Data],[Unit '#]:[Application/Sold/ Unsold]],7,0)</f>
        <v>#REF!</v>
      </c>
    </row>
    <row r="33" spans="2:16" x14ac:dyDescent="0.25">
      <c r="B33" s="5">
        <f t="shared" si="0"/>
        <v>30</v>
      </c>
      <c r="C33" s="29" t="s">
        <v>2376</v>
      </c>
      <c r="D33" s="6" t="s">
        <v>2326</v>
      </c>
      <c r="E33" s="29" t="s">
        <v>2377</v>
      </c>
      <c r="F33" s="6">
        <v>830</v>
      </c>
      <c r="G33" s="6" t="s">
        <v>26</v>
      </c>
      <c r="H33" s="6"/>
      <c r="I33" s="6"/>
      <c r="J33" s="6"/>
      <c r="K33" s="7">
        <v>41327</v>
      </c>
      <c r="L33" s="30">
        <v>2498725</v>
      </c>
      <c r="M33" s="30">
        <v>574745</v>
      </c>
      <c r="N33" s="6" t="s">
        <v>30</v>
      </c>
      <c r="O33" s="31">
        <v>43103</v>
      </c>
      <c r="P33" s="1" t="e">
        <f>VLOOKUP(Table3[[#This Row],[UNIT NO.]],[1]!Table357[[#Headers],[#Data],[Unit '#]:[Application/Sold/ Unsold]],7,0)</f>
        <v>#REF!</v>
      </c>
    </row>
    <row r="34" spans="2:16" x14ac:dyDescent="0.25">
      <c r="B34" s="5">
        <f t="shared" si="0"/>
        <v>31</v>
      </c>
      <c r="C34" s="29" t="s">
        <v>2378</v>
      </c>
      <c r="D34" s="6" t="s">
        <v>2326</v>
      </c>
      <c r="E34" s="29" t="s">
        <v>2379</v>
      </c>
      <c r="F34" s="6">
        <v>830</v>
      </c>
      <c r="G34" s="6" t="s">
        <v>26</v>
      </c>
      <c r="H34" s="6"/>
      <c r="I34" s="6"/>
      <c r="J34" s="6"/>
      <c r="K34" s="7">
        <v>41670</v>
      </c>
      <c r="L34" s="30">
        <v>2773500</v>
      </c>
      <c r="M34" s="30">
        <v>554700</v>
      </c>
      <c r="N34" s="6" t="s">
        <v>30</v>
      </c>
      <c r="O34" s="31">
        <v>43103</v>
      </c>
      <c r="P34" s="1" t="e">
        <f>VLOOKUP(Table3[[#This Row],[UNIT NO.]],[1]!Table357[[#Headers],[#Data],[Unit '#]:[Application/Sold/ Unsold]],7,0)</f>
        <v>#REF!</v>
      </c>
    </row>
    <row r="35" spans="2:16" x14ac:dyDescent="0.25">
      <c r="B35" s="5">
        <f t="shared" si="0"/>
        <v>32</v>
      </c>
      <c r="C35" s="29" t="s">
        <v>2380</v>
      </c>
      <c r="D35" s="6" t="s">
        <v>2326</v>
      </c>
      <c r="E35" s="29" t="s">
        <v>2381</v>
      </c>
      <c r="F35" s="6">
        <v>830</v>
      </c>
      <c r="G35" s="6" t="s">
        <v>26</v>
      </c>
      <c r="H35" s="6"/>
      <c r="I35" s="6"/>
      <c r="J35" s="6"/>
      <c r="K35" s="7">
        <v>42067</v>
      </c>
      <c r="L35" s="30">
        <v>2966500</v>
      </c>
      <c r="M35" s="30">
        <v>288098</v>
      </c>
      <c r="N35" s="6" t="s">
        <v>30</v>
      </c>
      <c r="O35" s="31">
        <v>43103</v>
      </c>
      <c r="P35" s="1" t="e">
        <f>VLOOKUP(Table3[[#This Row],[UNIT NO.]],[1]!Table357[[#Headers],[#Data],[Unit '#]:[Application/Sold/ Unsold]],7,0)</f>
        <v>#REF!</v>
      </c>
    </row>
    <row r="36" spans="2:16" x14ac:dyDescent="0.25">
      <c r="B36" s="5">
        <f t="shared" si="0"/>
        <v>33</v>
      </c>
      <c r="C36" s="29" t="s">
        <v>2382</v>
      </c>
      <c r="D36" s="6" t="s">
        <v>2326</v>
      </c>
      <c r="E36" s="29" t="s">
        <v>2383</v>
      </c>
      <c r="F36" s="6">
        <v>830</v>
      </c>
      <c r="G36" s="6" t="s">
        <v>26</v>
      </c>
      <c r="H36" s="6"/>
      <c r="I36" s="6"/>
      <c r="J36" s="6"/>
      <c r="K36" s="7">
        <v>41726</v>
      </c>
      <c r="L36" s="30">
        <v>2792407</v>
      </c>
      <c r="M36" s="30">
        <v>558481</v>
      </c>
      <c r="N36" s="6" t="s">
        <v>30</v>
      </c>
      <c r="O36" s="31">
        <v>43103</v>
      </c>
      <c r="P36" s="1" t="e">
        <f>VLOOKUP(Table3[[#This Row],[UNIT NO.]],[1]!Table357[[#Headers],[#Data],[Unit '#]:[Application/Sold/ Unsold]],7,0)</f>
        <v>#REF!</v>
      </c>
    </row>
    <row r="37" spans="2:16" x14ac:dyDescent="0.25">
      <c r="B37" s="5">
        <f t="shared" si="0"/>
        <v>34</v>
      </c>
      <c r="C37" s="29" t="s">
        <v>168</v>
      </c>
      <c r="D37" s="6" t="s">
        <v>2326</v>
      </c>
      <c r="E37" s="29" t="s">
        <v>2384</v>
      </c>
      <c r="F37" s="6">
        <v>830</v>
      </c>
      <c r="G37" s="6" t="s">
        <v>26</v>
      </c>
      <c r="H37" s="6"/>
      <c r="I37" s="6"/>
      <c r="J37" s="6"/>
      <c r="K37" s="7">
        <v>42262</v>
      </c>
      <c r="L37" s="30">
        <v>3018500</v>
      </c>
      <c r="M37" s="30">
        <v>302512</v>
      </c>
      <c r="N37" s="6" t="s">
        <v>30</v>
      </c>
      <c r="O37" s="31">
        <v>43103</v>
      </c>
      <c r="P37" s="1" t="e">
        <f>VLOOKUP(Table3[[#This Row],[UNIT NO.]],[1]!Table357[[#Headers],[#Data],[Unit '#]:[Application/Sold/ Unsold]],7,0)</f>
        <v>#REF!</v>
      </c>
    </row>
    <row r="38" spans="2:16" x14ac:dyDescent="0.25">
      <c r="B38" s="5">
        <f t="shared" si="0"/>
        <v>35</v>
      </c>
      <c r="C38" s="29" t="s">
        <v>2385</v>
      </c>
      <c r="D38" s="6" t="s">
        <v>2326</v>
      </c>
      <c r="E38" s="29" t="s">
        <v>2386</v>
      </c>
      <c r="F38" s="6">
        <v>830</v>
      </c>
      <c r="G38" s="6" t="s">
        <v>26</v>
      </c>
      <c r="H38" s="6"/>
      <c r="I38" s="6"/>
      <c r="J38" s="6"/>
      <c r="K38" s="7">
        <v>42092</v>
      </c>
      <c r="L38" s="30">
        <v>2977000</v>
      </c>
      <c r="M38" s="30">
        <v>594185</v>
      </c>
      <c r="N38" s="6" t="s">
        <v>46</v>
      </c>
      <c r="O38" s="31">
        <v>43103</v>
      </c>
      <c r="P38" s="1" t="e">
        <f>VLOOKUP(Table3[[#This Row],[UNIT NO.]],[1]!Table357[[#Headers],[#Data],[Unit '#]:[Application/Sold/ Unsold]],7,0)</f>
        <v>#REF!</v>
      </c>
    </row>
    <row r="39" spans="2:16" x14ac:dyDescent="0.25">
      <c r="B39" s="5">
        <f t="shared" si="0"/>
        <v>36</v>
      </c>
      <c r="C39" s="29" t="s">
        <v>2387</v>
      </c>
      <c r="D39" s="6" t="s">
        <v>2326</v>
      </c>
      <c r="E39" s="29" t="s">
        <v>2388</v>
      </c>
      <c r="F39" s="6">
        <v>830</v>
      </c>
      <c r="G39" s="6" t="s">
        <v>26</v>
      </c>
      <c r="H39" s="6"/>
      <c r="I39" s="6"/>
      <c r="J39" s="6"/>
      <c r="K39" s="7">
        <v>41841</v>
      </c>
      <c r="L39" s="30">
        <v>2857500</v>
      </c>
      <c r="M39" s="30">
        <v>194005</v>
      </c>
      <c r="N39" s="6" t="s">
        <v>30</v>
      </c>
      <c r="O39" s="31">
        <v>43103</v>
      </c>
      <c r="P39" s="1" t="e">
        <f>VLOOKUP(Table3[[#This Row],[UNIT NO.]],[1]!Table357[[#Headers],[#Data],[Unit '#]:[Application/Sold/ Unsold]],7,0)</f>
        <v>#REF!</v>
      </c>
    </row>
    <row r="40" spans="2:16" x14ac:dyDescent="0.25">
      <c r="B40" s="5">
        <f t="shared" si="0"/>
        <v>37</v>
      </c>
      <c r="C40" s="29" t="s">
        <v>1615</v>
      </c>
      <c r="D40" s="6" t="s">
        <v>2326</v>
      </c>
      <c r="E40" s="29" t="s">
        <v>2389</v>
      </c>
      <c r="F40" s="6">
        <v>830</v>
      </c>
      <c r="G40" s="6" t="s">
        <v>26</v>
      </c>
      <c r="H40" s="6"/>
      <c r="I40" s="6"/>
      <c r="J40" s="6"/>
      <c r="K40" s="7">
        <v>41522</v>
      </c>
      <c r="L40" s="30">
        <v>2516075</v>
      </c>
      <c r="M40" s="30">
        <v>194005</v>
      </c>
      <c r="N40" s="6" t="s">
        <v>30</v>
      </c>
      <c r="O40" s="31">
        <v>43103</v>
      </c>
      <c r="P40" s="1" t="e">
        <f>VLOOKUP(Table3[[#This Row],[UNIT NO.]],[1]!Table357[[#Headers],[#Data],[Unit '#]:[Application/Sold/ Unsold]],7,0)</f>
        <v>#REF!</v>
      </c>
    </row>
    <row r="41" spans="2:16" x14ac:dyDescent="0.25">
      <c r="B41" s="5">
        <f t="shared" si="0"/>
        <v>38</v>
      </c>
      <c r="C41" s="29" t="s">
        <v>2390</v>
      </c>
      <c r="D41" s="6" t="s">
        <v>2326</v>
      </c>
      <c r="E41" s="29" t="s">
        <v>2391</v>
      </c>
      <c r="F41" s="6">
        <v>830</v>
      </c>
      <c r="G41" s="6" t="s">
        <v>26</v>
      </c>
      <c r="H41" s="6"/>
      <c r="I41" s="6"/>
      <c r="J41" s="6"/>
      <c r="K41" s="7">
        <v>41907</v>
      </c>
      <c r="L41" s="30">
        <v>2798550</v>
      </c>
      <c r="M41" s="30">
        <v>558883</v>
      </c>
      <c r="N41" s="6" t="s">
        <v>30</v>
      </c>
      <c r="O41" s="31">
        <v>43103</v>
      </c>
      <c r="P41" s="1" t="e">
        <f>VLOOKUP(Table3[[#This Row],[UNIT NO.]],[1]!Table357[[#Headers],[#Data],[Unit '#]:[Application/Sold/ Unsold]],7,0)</f>
        <v>#REF!</v>
      </c>
    </row>
    <row r="42" spans="2:16" x14ac:dyDescent="0.25">
      <c r="B42" s="5">
        <f t="shared" si="0"/>
        <v>39</v>
      </c>
      <c r="C42" s="29" t="s">
        <v>1712</v>
      </c>
      <c r="D42" s="6" t="s">
        <v>2326</v>
      </c>
      <c r="E42" s="29" t="s">
        <v>2392</v>
      </c>
      <c r="F42" s="6">
        <v>830</v>
      </c>
      <c r="G42" s="6" t="s">
        <v>26</v>
      </c>
      <c r="H42" s="6"/>
      <c r="I42" s="6"/>
      <c r="J42" s="6"/>
      <c r="K42" s="7">
        <v>41719</v>
      </c>
      <c r="L42" s="30">
        <v>2619333</v>
      </c>
      <c r="M42" s="30">
        <v>523867</v>
      </c>
      <c r="N42" s="6" t="s">
        <v>30</v>
      </c>
      <c r="O42" s="31">
        <v>43103</v>
      </c>
      <c r="P42" s="1" t="e">
        <f>VLOOKUP(Table3[[#This Row],[UNIT NO.]],[1]!Table357[[#Headers],[#Data],[Unit '#]:[Application/Sold/ Unsold]],7,0)</f>
        <v>#REF!</v>
      </c>
    </row>
    <row r="43" spans="2:16" x14ac:dyDescent="0.25">
      <c r="B43" s="5">
        <f t="shared" si="0"/>
        <v>40</v>
      </c>
      <c r="C43" s="29" t="s">
        <v>2393</v>
      </c>
      <c r="D43" s="6" t="s">
        <v>2326</v>
      </c>
      <c r="E43" s="29" t="s">
        <v>2394</v>
      </c>
      <c r="F43" s="6">
        <v>830</v>
      </c>
      <c r="G43" s="6" t="s">
        <v>26</v>
      </c>
      <c r="H43" s="6"/>
      <c r="I43" s="6"/>
      <c r="J43" s="6"/>
      <c r="K43" s="7">
        <v>41650</v>
      </c>
      <c r="L43" s="30">
        <v>2647575</v>
      </c>
      <c r="M43" s="30">
        <v>513643</v>
      </c>
      <c r="N43" s="6" t="s">
        <v>30</v>
      </c>
      <c r="O43" s="31">
        <v>43103</v>
      </c>
      <c r="P43" s="1" t="e">
        <f>VLOOKUP(Table3[[#This Row],[UNIT NO.]],[1]!Table357[[#Headers],[#Data],[Unit '#]:[Application/Sold/ Unsold]],7,0)</f>
        <v>#REF!</v>
      </c>
    </row>
    <row r="44" spans="2:16" x14ac:dyDescent="0.25">
      <c r="B44" s="5">
        <f t="shared" si="0"/>
        <v>41</v>
      </c>
      <c r="C44" s="29" t="s">
        <v>2395</v>
      </c>
      <c r="D44" s="6" t="s">
        <v>2326</v>
      </c>
      <c r="E44" s="29" t="s">
        <v>2396</v>
      </c>
      <c r="F44" s="6">
        <v>830</v>
      </c>
      <c r="G44" s="6" t="s">
        <v>26</v>
      </c>
      <c r="H44" s="6"/>
      <c r="I44" s="6"/>
      <c r="J44" s="6"/>
      <c r="K44" s="7">
        <v>42019</v>
      </c>
      <c r="L44" s="30">
        <v>2831500</v>
      </c>
      <c r="M44" s="30">
        <v>566300</v>
      </c>
      <c r="N44" s="6" t="s">
        <v>30</v>
      </c>
      <c r="O44" s="31">
        <v>43103</v>
      </c>
      <c r="P44" s="1" t="e">
        <f>VLOOKUP(Table3[[#This Row],[UNIT NO.]],[1]!Table357[[#Headers],[#Data],[Unit '#]:[Application/Sold/ Unsold]],7,0)</f>
        <v>#REF!</v>
      </c>
    </row>
    <row r="45" spans="2:16" x14ac:dyDescent="0.25">
      <c r="B45" s="5">
        <f t="shared" si="0"/>
        <v>42</v>
      </c>
      <c r="C45" s="29" t="s">
        <v>2397</v>
      </c>
      <c r="D45" s="6" t="s">
        <v>2326</v>
      </c>
      <c r="E45" s="29" t="s">
        <v>2398</v>
      </c>
      <c r="F45" s="6">
        <v>830</v>
      </c>
      <c r="G45" s="6" t="s">
        <v>26</v>
      </c>
      <c r="H45" s="6"/>
      <c r="I45" s="6"/>
      <c r="J45" s="6"/>
      <c r="K45" s="7">
        <v>41613</v>
      </c>
      <c r="L45" s="30">
        <v>2632575</v>
      </c>
      <c r="M45" s="30">
        <v>199820</v>
      </c>
      <c r="N45" s="6" t="s">
        <v>30</v>
      </c>
      <c r="O45" s="31">
        <v>43103</v>
      </c>
      <c r="P45" s="1" t="e">
        <f>VLOOKUP(Table3[[#This Row],[UNIT NO.]],[1]!Table357[[#Headers],[#Data],[Unit '#]:[Application/Sold/ Unsold]],7,0)</f>
        <v>#REF!</v>
      </c>
    </row>
    <row r="46" spans="2:16" x14ac:dyDescent="0.25">
      <c r="B46" s="5">
        <f t="shared" si="0"/>
        <v>43</v>
      </c>
      <c r="C46" s="29" t="s">
        <v>2399</v>
      </c>
      <c r="D46" s="6" t="s">
        <v>2326</v>
      </c>
      <c r="E46" s="29" t="s">
        <v>2400</v>
      </c>
      <c r="F46" s="6">
        <v>830</v>
      </c>
      <c r="G46" s="6" t="s">
        <v>26</v>
      </c>
      <c r="H46" s="6"/>
      <c r="I46" s="6"/>
      <c r="J46" s="6"/>
      <c r="K46" s="7">
        <v>42043</v>
      </c>
      <c r="L46" s="30">
        <v>2877700</v>
      </c>
      <c r="M46" s="30">
        <v>575539</v>
      </c>
      <c r="N46" s="6" t="s">
        <v>30</v>
      </c>
      <c r="O46" s="31">
        <v>43103</v>
      </c>
      <c r="P46" s="1" t="e">
        <f>VLOOKUP(Table3[[#This Row],[UNIT NO.]],[1]!Table357[[#Headers],[#Data],[Unit '#]:[Application/Sold/ Unsold]],7,0)</f>
        <v>#REF!</v>
      </c>
    </row>
    <row r="47" spans="2:16" x14ac:dyDescent="0.25">
      <c r="B47" s="5">
        <f t="shared" si="0"/>
        <v>44</v>
      </c>
      <c r="C47" s="29" t="s">
        <v>2401</v>
      </c>
      <c r="D47" s="6" t="s">
        <v>2326</v>
      </c>
      <c r="E47" s="29" t="s">
        <v>2402</v>
      </c>
      <c r="F47" s="6">
        <v>830</v>
      </c>
      <c r="G47" s="6" t="s">
        <v>26</v>
      </c>
      <c r="H47" s="6"/>
      <c r="I47" s="6"/>
      <c r="J47" s="6"/>
      <c r="K47" s="7">
        <v>41525</v>
      </c>
      <c r="L47" s="30">
        <v>2469758</v>
      </c>
      <c r="M47" s="30">
        <v>194005</v>
      </c>
      <c r="N47" s="6" t="s">
        <v>30</v>
      </c>
      <c r="O47" s="31">
        <v>43103</v>
      </c>
      <c r="P47" s="1" t="e">
        <f>VLOOKUP(Table3[[#This Row],[UNIT NO.]],[1]!Table357[[#Headers],[#Data],[Unit '#]:[Application/Sold/ Unsold]],7,0)</f>
        <v>#REF!</v>
      </c>
    </row>
    <row r="48" spans="2:16" x14ac:dyDescent="0.25">
      <c r="B48" s="5">
        <f t="shared" si="0"/>
        <v>45</v>
      </c>
      <c r="C48" s="29" t="s">
        <v>2403</v>
      </c>
      <c r="D48" s="6" t="s">
        <v>2326</v>
      </c>
      <c r="E48" s="29" t="s">
        <v>2404</v>
      </c>
      <c r="F48" s="6">
        <v>830</v>
      </c>
      <c r="G48" s="6" t="s">
        <v>26</v>
      </c>
      <c r="H48" s="6"/>
      <c r="I48" s="6"/>
      <c r="J48" s="6"/>
      <c r="K48" s="7">
        <v>41642</v>
      </c>
      <c r="L48" s="30">
        <v>2575123</v>
      </c>
      <c r="M48" s="30">
        <v>515079</v>
      </c>
      <c r="N48" s="6" t="s">
        <v>30</v>
      </c>
      <c r="O48" s="31">
        <v>43103</v>
      </c>
      <c r="P48" s="1" t="e">
        <f>VLOOKUP(Table3[[#This Row],[UNIT NO.]],[1]!Table357[[#Headers],[#Data],[Unit '#]:[Application/Sold/ Unsold]],7,0)</f>
        <v>#REF!</v>
      </c>
    </row>
    <row r="49" spans="2:16" x14ac:dyDescent="0.25">
      <c r="B49" s="5">
        <f t="shared" si="0"/>
        <v>46</v>
      </c>
      <c r="C49" s="29" t="s">
        <v>2405</v>
      </c>
      <c r="D49" s="6" t="s">
        <v>2326</v>
      </c>
      <c r="E49" s="29" t="s">
        <v>2406</v>
      </c>
      <c r="F49" s="6">
        <v>830</v>
      </c>
      <c r="G49" s="6" t="s">
        <v>26</v>
      </c>
      <c r="H49" s="6"/>
      <c r="I49" s="6"/>
      <c r="J49" s="6"/>
      <c r="K49" s="7">
        <v>41541</v>
      </c>
      <c r="L49" s="30">
        <v>2524325</v>
      </c>
      <c r="M49" s="30">
        <v>514864</v>
      </c>
      <c r="N49" s="6" t="s">
        <v>30</v>
      </c>
      <c r="O49" s="31">
        <v>43103</v>
      </c>
      <c r="P49" s="1" t="e">
        <f>VLOOKUP(Table3[[#This Row],[UNIT NO.]],[1]!Table357[[#Headers],[#Data],[Unit '#]:[Application/Sold/ Unsold]],7,0)</f>
        <v>#REF!</v>
      </c>
    </row>
    <row r="50" spans="2:16" x14ac:dyDescent="0.25">
      <c r="B50" s="5">
        <f t="shared" si="0"/>
        <v>47</v>
      </c>
      <c r="C50" s="29" t="s">
        <v>2407</v>
      </c>
      <c r="D50" s="6" t="s">
        <v>2326</v>
      </c>
      <c r="E50" s="29" t="s">
        <v>2408</v>
      </c>
      <c r="F50" s="6">
        <v>830</v>
      </c>
      <c r="G50" s="6" t="s">
        <v>26</v>
      </c>
      <c r="H50" s="6"/>
      <c r="I50" s="6"/>
      <c r="J50" s="6"/>
      <c r="K50" s="7">
        <v>41673</v>
      </c>
      <c r="L50" s="30">
        <v>2599315</v>
      </c>
      <c r="M50" s="30">
        <v>519863</v>
      </c>
      <c r="N50" s="6" t="s">
        <v>30</v>
      </c>
      <c r="O50" s="31">
        <v>43103</v>
      </c>
      <c r="P50" s="1" t="e">
        <f>VLOOKUP(Table3[[#This Row],[UNIT NO.]],[1]!Table357[[#Headers],[#Data],[Unit '#]:[Application/Sold/ Unsold]],7,0)</f>
        <v>#REF!</v>
      </c>
    </row>
    <row r="51" spans="2:16" x14ac:dyDescent="0.25">
      <c r="B51" s="5">
        <f t="shared" si="0"/>
        <v>48</v>
      </c>
      <c r="C51" s="29" t="s">
        <v>23</v>
      </c>
      <c r="D51" s="6" t="s">
        <v>2326</v>
      </c>
      <c r="E51" s="29" t="s">
        <v>2409</v>
      </c>
      <c r="F51" s="6">
        <v>830</v>
      </c>
      <c r="G51" s="6" t="s">
        <v>26</v>
      </c>
      <c r="H51" s="6"/>
      <c r="I51" s="6"/>
      <c r="J51" s="6"/>
      <c r="K51" s="7">
        <v>41775</v>
      </c>
      <c r="L51" s="30">
        <v>2870000</v>
      </c>
      <c r="M51" s="30">
        <v>194006</v>
      </c>
      <c r="N51" s="6" t="s">
        <v>30</v>
      </c>
      <c r="O51" s="31">
        <v>43103</v>
      </c>
      <c r="P51" s="1" t="e">
        <f>VLOOKUP(Table3[[#This Row],[UNIT NO.]],[1]!Table357[[#Headers],[#Data],[Unit '#]:[Application/Sold/ Unsold]],7,0)</f>
        <v>#REF!</v>
      </c>
    </row>
    <row r="52" spans="2:16" x14ac:dyDescent="0.25">
      <c r="B52" s="5">
        <f t="shared" si="0"/>
        <v>49</v>
      </c>
      <c r="C52" s="29" t="s">
        <v>811</v>
      </c>
      <c r="D52" s="6" t="s">
        <v>2326</v>
      </c>
      <c r="E52" s="29" t="s">
        <v>2410</v>
      </c>
      <c r="F52" s="6">
        <v>830</v>
      </c>
      <c r="G52" s="6" t="s">
        <v>26</v>
      </c>
      <c r="H52" s="6"/>
      <c r="I52" s="6"/>
      <c r="J52" s="6"/>
      <c r="K52" s="7">
        <v>42193</v>
      </c>
      <c r="L52" s="30">
        <v>2934900</v>
      </c>
      <c r="M52" s="30">
        <v>24251</v>
      </c>
      <c r="N52" s="6" t="s">
        <v>30</v>
      </c>
      <c r="O52" s="31">
        <v>43103</v>
      </c>
      <c r="P52" s="1" t="e">
        <f>VLOOKUP(Table3[[#This Row],[UNIT NO.]],[1]!Table357[[#Headers],[#Data],[Unit '#]:[Application/Sold/ Unsold]],7,0)</f>
        <v>#REF!</v>
      </c>
    </row>
    <row r="53" spans="2:16" x14ac:dyDescent="0.25">
      <c r="B53" s="5">
        <f t="shared" si="0"/>
        <v>50</v>
      </c>
      <c r="C53" s="29"/>
      <c r="D53" s="6" t="s">
        <v>2411</v>
      </c>
      <c r="E53" s="6" t="s">
        <v>2412</v>
      </c>
      <c r="F53" s="6">
        <v>800</v>
      </c>
      <c r="G53" s="6" t="s">
        <v>104</v>
      </c>
      <c r="H53" s="6"/>
      <c r="I53" s="6"/>
      <c r="J53" s="6"/>
      <c r="K53" s="7"/>
      <c r="L53" s="30"/>
      <c r="M53" s="30"/>
      <c r="N53" s="6"/>
      <c r="O53" s="6"/>
      <c r="P53" s="1" t="e">
        <f>VLOOKUP(Table3[[#This Row],[UNIT NO.]],[1]!Table357[[#Headers],[#Data],[Unit '#]:[Application/Sold/ Unsold]],7,0)</f>
        <v>#REF!</v>
      </c>
    </row>
    <row r="54" spans="2:16" x14ac:dyDescent="0.25">
      <c r="B54" s="5">
        <f t="shared" si="0"/>
        <v>51</v>
      </c>
      <c r="C54" s="29"/>
      <c r="D54" s="6" t="s">
        <v>2411</v>
      </c>
      <c r="E54" s="6" t="s">
        <v>2413</v>
      </c>
      <c r="F54" s="6">
        <v>800</v>
      </c>
      <c r="G54" s="6" t="s">
        <v>104</v>
      </c>
      <c r="H54" s="6"/>
      <c r="I54" s="6"/>
      <c r="J54" s="6"/>
      <c r="K54" s="7"/>
      <c r="L54" s="30"/>
      <c r="M54" s="30"/>
      <c r="N54" s="6"/>
      <c r="O54" s="6"/>
      <c r="P54" s="1" t="e">
        <f>VLOOKUP(Table3[[#This Row],[UNIT NO.]],[1]!Table357[[#Headers],[#Data],[Unit '#]:[Application/Sold/ Unsold]],7,0)</f>
        <v>#REF!</v>
      </c>
    </row>
    <row r="55" spans="2:16" x14ac:dyDescent="0.25">
      <c r="B55" s="5">
        <f t="shared" si="0"/>
        <v>52</v>
      </c>
      <c r="C55" s="29"/>
      <c r="D55" s="6" t="s">
        <v>2411</v>
      </c>
      <c r="E55" s="6" t="s">
        <v>2414</v>
      </c>
      <c r="F55" s="6">
        <v>800</v>
      </c>
      <c r="G55" s="6" t="s">
        <v>104</v>
      </c>
      <c r="H55" s="6"/>
      <c r="I55" s="6"/>
      <c r="J55" s="6"/>
      <c r="K55" s="7"/>
      <c r="L55" s="49"/>
      <c r="M55" s="49"/>
      <c r="N55" s="6"/>
      <c r="O55" s="6"/>
      <c r="P55" s="1" t="e">
        <f>VLOOKUP(Table3[[#This Row],[UNIT NO.]],[1]!Table357[[#Headers],[#Data],[Unit '#]:[Application/Sold/ Unsold]],7,0)</f>
        <v>#REF!</v>
      </c>
    </row>
    <row r="56" spans="2:16" x14ac:dyDescent="0.25">
      <c r="B56" s="5">
        <f t="shared" si="0"/>
        <v>53</v>
      </c>
      <c r="C56" s="29"/>
      <c r="D56" s="6" t="s">
        <v>2411</v>
      </c>
      <c r="E56" s="6" t="s">
        <v>2415</v>
      </c>
      <c r="F56" s="6">
        <v>800</v>
      </c>
      <c r="G56" s="6" t="s">
        <v>104</v>
      </c>
      <c r="H56" s="6"/>
      <c r="I56" s="6"/>
      <c r="J56" s="6"/>
      <c r="K56" s="7"/>
      <c r="L56" s="49"/>
      <c r="M56" s="49"/>
      <c r="N56" s="6"/>
      <c r="O56" s="6"/>
      <c r="P56" s="1" t="e">
        <f>VLOOKUP(Table3[[#This Row],[UNIT NO.]],[1]!Table357[[#Headers],[#Data],[Unit '#]:[Application/Sold/ Unsold]],7,0)</f>
        <v>#REF!</v>
      </c>
    </row>
    <row r="57" spans="2:16" x14ac:dyDescent="0.25">
      <c r="B57" s="5">
        <f t="shared" si="0"/>
        <v>54</v>
      </c>
      <c r="C57" s="29"/>
      <c r="D57" s="6" t="s">
        <v>2411</v>
      </c>
      <c r="E57" s="6" t="s">
        <v>2416</v>
      </c>
      <c r="F57" s="6">
        <v>800</v>
      </c>
      <c r="G57" s="6" t="s">
        <v>104</v>
      </c>
      <c r="H57" s="6"/>
      <c r="I57" s="6"/>
      <c r="J57" s="6"/>
      <c r="K57" s="7"/>
      <c r="L57" s="49"/>
      <c r="M57" s="49"/>
      <c r="N57" s="6"/>
      <c r="O57" s="6"/>
      <c r="P57" s="1" t="e">
        <f>VLOOKUP(Table3[[#This Row],[UNIT NO.]],[1]!Table357[[#Headers],[#Data],[Unit '#]:[Application/Sold/ Unsold]],7,0)</f>
        <v>#REF!</v>
      </c>
    </row>
    <row r="58" spans="2:16" x14ac:dyDescent="0.25">
      <c r="B58" s="5">
        <f t="shared" si="0"/>
        <v>55</v>
      </c>
      <c r="C58" s="29"/>
      <c r="D58" s="6" t="s">
        <v>2411</v>
      </c>
      <c r="E58" s="6" t="s">
        <v>2417</v>
      </c>
      <c r="F58" s="6">
        <v>800</v>
      </c>
      <c r="G58" s="6" t="s">
        <v>104</v>
      </c>
      <c r="H58" s="6"/>
      <c r="I58" s="6"/>
      <c r="J58" s="6"/>
      <c r="K58" s="7"/>
      <c r="L58" s="49"/>
      <c r="M58" s="49"/>
      <c r="N58" s="6"/>
      <c r="O58" s="6"/>
      <c r="P58" s="1" t="e">
        <f>VLOOKUP(Table3[[#This Row],[UNIT NO.]],[1]!Table357[[#Headers],[#Data],[Unit '#]:[Application/Sold/ Unsold]],7,0)</f>
        <v>#REF!</v>
      </c>
    </row>
    <row r="59" spans="2:16" x14ac:dyDescent="0.25">
      <c r="B59" s="5">
        <f t="shared" si="0"/>
        <v>56</v>
      </c>
      <c r="C59" s="29"/>
      <c r="D59" s="6" t="s">
        <v>2411</v>
      </c>
      <c r="E59" s="6" t="s">
        <v>2418</v>
      </c>
      <c r="F59" s="6">
        <v>800</v>
      </c>
      <c r="G59" s="6" t="s">
        <v>104</v>
      </c>
      <c r="H59" s="6"/>
      <c r="I59" s="6"/>
      <c r="J59" s="6"/>
      <c r="K59" s="7"/>
      <c r="L59" s="49"/>
      <c r="M59" s="49"/>
      <c r="N59" s="6"/>
      <c r="O59" s="6"/>
      <c r="P59" s="1" t="e">
        <f>VLOOKUP(Table3[[#This Row],[UNIT NO.]],[1]!Table357[[#Headers],[#Data],[Unit '#]:[Application/Sold/ Unsold]],7,0)</f>
        <v>#REF!</v>
      </c>
    </row>
    <row r="60" spans="2:16" x14ac:dyDescent="0.25">
      <c r="B60" s="5">
        <f t="shared" si="0"/>
        <v>57</v>
      </c>
      <c r="C60" s="29"/>
      <c r="D60" s="6" t="s">
        <v>2411</v>
      </c>
      <c r="E60" s="6" t="s">
        <v>2419</v>
      </c>
      <c r="F60" s="6">
        <v>800</v>
      </c>
      <c r="G60" s="6" t="s">
        <v>104</v>
      </c>
      <c r="H60" s="6"/>
      <c r="I60" s="6"/>
      <c r="J60" s="6"/>
      <c r="K60" s="7"/>
      <c r="L60" s="49"/>
      <c r="M60" s="49"/>
      <c r="N60" s="6"/>
      <c r="O60" s="6"/>
      <c r="P60" s="1" t="e">
        <f>VLOOKUP(Table3[[#This Row],[UNIT NO.]],[1]!Table357[[#Headers],[#Data],[Unit '#]:[Application/Sold/ Unsold]],7,0)</f>
        <v>#REF!</v>
      </c>
    </row>
    <row r="61" spans="2:16" x14ac:dyDescent="0.25">
      <c r="B61" s="5">
        <f t="shared" si="0"/>
        <v>58</v>
      </c>
      <c r="C61" s="29"/>
      <c r="D61" s="6" t="s">
        <v>2411</v>
      </c>
      <c r="E61" s="6" t="s">
        <v>2420</v>
      </c>
      <c r="F61" s="6">
        <v>800</v>
      </c>
      <c r="G61" s="6" t="s">
        <v>104</v>
      </c>
      <c r="H61" s="6"/>
      <c r="I61" s="6"/>
      <c r="J61" s="6"/>
      <c r="K61" s="7"/>
      <c r="L61" s="49"/>
      <c r="M61" s="49"/>
      <c r="N61" s="6"/>
      <c r="O61" s="6"/>
      <c r="P61" s="1" t="e">
        <f>VLOOKUP(Table3[[#This Row],[UNIT NO.]],[1]!Table357[[#Headers],[#Data],[Unit '#]:[Application/Sold/ Unsold]],7,0)</f>
        <v>#REF!</v>
      </c>
    </row>
    <row r="62" spans="2:16" x14ac:dyDescent="0.25">
      <c r="B62" s="5">
        <f t="shared" si="0"/>
        <v>59</v>
      </c>
      <c r="C62" s="29"/>
      <c r="D62" s="6" t="s">
        <v>2411</v>
      </c>
      <c r="E62" s="6" t="s">
        <v>2421</v>
      </c>
      <c r="F62" s="6">
        <v>800</v>
      </c>
      <c r="G62" s="6" t="s">
        <v>104</v>
      </c>
      <c r="H62" s="6"/>
      <c r="I62" s="6"/>
      <c r="J62" s="6"/>
      <c r="K62" s="7"/>
      <c r="L62" s="49"/>
      <c r="M62" s="49"/>
      <c r="N62" s="6"/>
      <c r="O62" s="6"/>
      <c r="P62" s="1" t="e">
        <f>VLOOKUP(Table3[[#This Row],[UNIT NO.]],[1]!Table357[[#Headers],[#Data],[Unit '#]:[Application/Sold/ Unsold]],7,0)</f>
        <v>#REF!</v>
      </c>
    </row>
    <row r="63" spans="2:16" x14ac:dyDescent="0.25">
      <c r="B63" s="5">
        <f t="shared" si="0"/>
        <v>60</v>
      </c>
      <c r="C63" s="29"/>
      <c r="D63" s="6" t="s">
        <v>2411</v>
      </c>
      <c r="E63" s="6" t="s">
        <v>2422</v>
      </c>
      <c r="F63" s="6">
        <v>800</v>
      </c>
      <c r="G63" s="6" t="s">
        <v>104</v>
      </c>
      <c r="H63" s="6"/>
      <c r="I63" s="6"/>
      <c r="J63" s="6"/>
      <c r="K63" s="7"/>
      <c r="L63" s="49"/>
      <c r="M63" s="49"/>
      <c r="N63" s="6"/>
      <c r="O63" s="6"/>
      <c r="P63" s="1" t="e">
        <f>VLOOKUP(Table3[[#This Row],[UNIT NO.]],[1]!Table357[[#Headers],[#Data],[Unit '#]:[Application/Sold/ Unsold]],7,0)</f>
        <v>#REF!</v>
      </c>
    </row>
    <row r="64" spans="2:16" x14ac:dyDescent="0.25">
      <c r="B64" s="5">
        <f t="shared" si="0"/>
        <v>61</v>
      </c>
      <c r="C64" s="29"/>
      <c r="D64" s="6" t="s">
        <v>2411</v>
      </c>
      <c r="E64" s="6" t="s">
        <v>2423</v>
      </c>
      <c r="F64" s="6">
        <v>800</v>
      </c>
      <c r="G64" s="6" t="s">
        <v>104</v>
      </c>
      <c r="H64" s="6"/>
      <c r="I64" s="6"/>
      <c r="J64" s="6"/>
      <c r="K64" s="7"/>
      <c r="L64" s="49"/>
      <c r="M64" s="49"/>
      <c r="N64" s="6"/>
      <c r="O64" s="6"/>
      <c r="P64" s="1" t="e">
        <f>VLOOKUP(Table3[[#This Row],[UNIT NO.]],[1]!Table357[[#Headers],[#Data],[Unit '#]:[Application/Sold/ Unsold]],7,0)</f>
        <v>#REF!</v>
      </c>
    </row>
    <row r="65" spans="2:16" x14ac:dyDescent="0.25">
      <c r="B65" s="5">
        <f t="shared" si="0"/>
        <v>62</v>
      </c>
      <c r="C65" s="29"/>
      <c r="D65" s="6" t="s">
        <v>2411</v>
      </c>
      <c r="E65" s="6" t="s">
        <v>2424</v>
      </c>
      <c r="F65" s="6">
        <v>800</v>
      </c>
      <c r="G65" s="6" t="s">
        <v>104</v>
      </c>
      <c r="H65" s="6"/>
      <c r="I65" s="6"/>
      <c r="J65" s="6"/>
      <c r="K65" s="7"/>
      <c r="L65" s="49"/>
      <c r="M65" s="49"/>
      <c r="N65" s="6"/>
      <c r="O65" s="6"/>
      <c r="P65" s="1" t="e">
        <f>VLOOKUP(Table3[[#This Row],[UNIT NO.]],[1]!Table357[[#Headers],[#Data],[Unit '#]:[Application/Sold/ Unsold]],7,0)</f>
        <v>#REF!</v>
      </c>
    </row>
    <row r="66" spans="2:16" x14ac:dyDescent="0.25">
      <c r="B66" s="5">
        <f t="shared" si="0"/>
        <v>63</v>
      </c>
      <c r="C66" s="29"/>
      <c r="D66" s="6" t="s">
        <v>2411</v>
      </c>
      <c r="E66" s="6" t="s">
        <v>2425</v>
      </c>
      <c r="F66" s="6">
        <v>800</v>
      </c>
      <c r="G66" s="6" t="s">
        <v>104</v>
      </c>
      <c r="H66" s="6"/>
      <c r="I66" s="6"/>
      <c r="J66" s="6"/>
      <c r="K66" s="7"/>
      <c r="L66" s="49"/>
      <c r="M66" s="49"/>
      <c r="N66" s="6"/>
      <c r="O66" s="6"/>
      <c r="P66" s="1" t="e">
        <f>VLOOKUP(Table3[[#This Row],[UNIT NO.]],[1]!Table357[[#Headers],[#Data],[Unit '#]:[Application/Sold/ Unsold]],7,0)</f>
        <v>#REF!</v>
      </c>
    </row>
    <row r="67" spans="2:16" x14ac:dyDescent="0.25">
      <c r="B67" s="5">
        <f t="shared" si="0"/>
        <v>64</v>
      </c>
      <c r="C67" s="29"/>
      <c r="D67" s="6" t="s">
        <v>2411</v>
      </c>
      <c r="E67" s="6" t="s">
        <v>2426</v>
      </c>
      <c r="F67" s="6">
        <v>800</v>
      </c>
      <c r="G67" s="6" t="s">
        <v>104</v>
      </c>
      <c r="H67" s="6"/>
      <c r="I67" s="6"/>
      <c r="J67" s="6"/>
      <c r="K67" s="7"/>
      <c r="L67" s="49"/>
      <c r="M67" s="49"/>
      <c r="N67" s="6"/>
      <c r="O67" s="6"/>
      <c r="P67" s="1" t="e">
        <f>VLOOKUP(Table3[[#This Row],[UNIT NO.]],[1]!Table357[[#Headers],[#Data],[Unit '#]:[Application/Sold/ Unsold]],7,0)</f>
        <v>#REF!</v>
      </c>
    </row>
    <row r="68" spans="2:16" x14ac:dyDescent="0.25">
      <c r="B68" s="5">
        <f t="shared" si="0"/>
        <v>65</v>
      </c>
      <c r="C68" s="29"/>
      <c r="D68" s="6" t="s">
        <v>2411</v>
      </c>
      <c r="E68" s="6" t="s">
        <v>2427</v>
      </c>
      <c r="F68" s="6">
        <v>800</v>
      </c>
      <c r="G68" s="6" t="s">
        <v>104</v>
      </c>
      <c r="H68" s="6"/>
      <c r="I68" s="6"/>
      <c r="J68" s="6"/>
      <c r="K68" s="7"/>
      <c r="L68" s="49"/>
      <c r="M68" s="49"/>
      <c r="N68" s="6"/>
      <c r="O68" s="6"/>
      <c r="P68" s="1" t="e">
        <f>VLOOKUP(Table3[[#This Row],[UNIT NO.]],[1]!Table357[[#Headers],[#Data],[Unit '#]:[Application/Sold/ Unsold]],7,0)</f>
        <v>#REF!</v>
      </c>
    </row>
    <row r="69" spans="2:16" x14ac:dyDescent="0.25">
      <c r="B69" s="5">
        <f t="shared" si="0"/>
        <v>66</v>
      </c>
      <c r="C69" s="29"/>
      <c r="D69" s="6" t="s">
        <v>2411</v>
      </c>
      <c r="E69" s="6" t="s">
        <v>2428</v>
      </c>
      <c r="F69" s="6">
        <v>800</v>
      </c>
      <c r="G69" s="6" t="s">
        <v>104</v>
      </c>
      <c r="H69" s="6"/>
      <c r="I69" s="6"/>
      <c r="J69" s="6"/>
      <c r="K69" s="7"/>
      <c r="L69" s="49"/>
      <c r="M69" s="49"/>
      <c r="N69" s="6"/>
      <c r="O69" s="6"/>
      <c r="P69" s="1" t="e">
        <f>VLOOKUP(Table3[[#This Row],[UNIT NO.]],[1]!Table357[[#Headers],[#Data],[Unit '#]:[Application/Sold/ Unsold]],7,0)</f>
        <v>#REF!</v>
      </c>
    </row>
    <row r="70" spans="2:16" x14ac:dyDescent="0.25">
      <c r="B70" s="5">
        <f t="shared" ref="B70:B133" si="1">B69+1</f>
        <v>67</v>
      </c>
      <c r="C70" s="29"/>
      <c r="D70" s="6" t="s">
        <v>2411</v>
      </c>
      <c r="E70" s="6" t="s">
        <v>2429</v>
      </c>
      <c r="F70" s="6">
        <v>800</v>
      </c>
      <c r="G70" s="6" t="s">
        <v>104</v>
      </c>
      <c r="H70" s="6"/>
      <c r="I70" s="6"/>
      <c r="J70" s="6"/>
      <c r="K70" s="7"/>
      <c r="L70" s="49"/>
      <c r="M70" s="49"/>
      <c r="N70" s="6"/>
      <c r="O70" s="6"/>
      <c r="P70" s="1" t="e">
        <f>VLOOKUP(Table3[[#This Row],[UNIT NO.]],[1]!Table357[[#Headers],[#Data],[Unit '#]:[Application/Sold/ Unsold]],7,0)</f>
        <v>#REF!</v>
      </c>
    </row>
    <row r="71" spans="2:16" x14ac:dyDescent="0.25">
      <c r="B71" s="5">
        <f t="shared" si="1"/>
        <v>68</v>
      </c>
      <c r="C71" s="29"/>
      <c r="D71" s="6" t="s">
        <v>2411</v>
      </c>
      <c r="E71" s="6" t="s">
        <v>2430</v>
      </c>
      <c r="F71" s="6">
        <v>800</v>
      </c>
      <c r="G71" s="6" t="s">
        <v>104</v>
      </c>
      <c r="H71" s="6"/>
      <c r="I71" s="6"/>
      <c r="J71" s="6"/>
      <c r="K71" s="7"/>
      <c r="L71" s="49"/>
      <c r="M71" s="49"/>
      <c r="N71" s="6"/>
      <c r="O71" s="6"/>
      <c r="P71" s="1" t="e">
        <f>VLOOKUP(Table3[[#This Row],[UNIT NO.]],[1]!Table357[[#Headers],[#Data],[Unit '#]:[Application/Sold/ Unsold]],7,0)</f>
        <v>#REF!</v>
      </c>
    </row>
    <row r="72" spans="2:16" x14ac:dyDescent="0.25">
      <c r="B72" s="5">
        <f t="shared" si="1"/>
        <v>69</v>
      </c>
      <c r="C72" s="29"/>
      <c r="D72" s="6" t="s">
        <v>2411</v>
      </c>
      <c r="E72" s="6" t="s">
        <v>2431</v>
      </c>
      <c r="F72" s="6">
        <v>800</v>
      </c>
      <c r="G72" s="6" t="s">
        <v>104</v>
      </c>
      <c r="H72" s="6"/>
      <c r="I72" s="6"/>
      <c r="J72" s="6"/>
      <c r="K72" s="7"/>
      <c r="L72" s="49"/>
      <c r="M72" s="49"/>
      <c r="N72" s="6"/>
      <c r="O72" s="6"/>
      <c r="P72" s="1" t="e">
        <f>VLOOKUP(Table3[[#This Row],[UNIT NO.]],[1]!Table357[[#Headers],[#Data],[Unit '#]:[Application/Sold/ Unsold]],7,0)</f>
        <v>#REF!</v>
      </c>
    </row>
    <row r="73" spans="2:16" x14ac:dyDescent="0.25">
      <c r="B73" s="5">
        <f t="shared" si="1"/>
        <v>70</v>
      </c>
      <c r="C73" s="29"/>
      <c r="D73" s="6" t="s">
        <v>2411</v>
      </c>
      <c r="E73" s="6" t="s">
        <v>2432</v>
      </c>
      <c r="F73" s="6">
        <v>800</v>
      </c>
      <c r="G73" s="6" t="s">
        <v>104</v>
      </c>
      <c r="H73" s="6"/>
      <c r="I73" s="6"/>
      <c r="J73" s="6"/>
      <c r="K73" s="7"/>
      <c r="L73" s="49"/>
      <c r="M73" s="49"/>
      <c r="N73" s="6"/>
      <c r="O73" s="6"/>
      <c r="P73" s="1" t="e">
        <f>VLOOKUP(Table3[[#This Row],[UNIT NO.]],[1]!Table357[[#Headers],[#Data],[Unit '#]:[Application/Sold/ Unsold]],7,0)</f>
        <v>#REF!</v>
      </c>
    </row>
    <row r="74" spans="2:16" x14ac:dyDescent="0.25">
      <c r="B74" s="5">
        <f t="shared" si="1"/>
        <v>71</v>
      </c>
      <c r="C74" s="29"/>
      <c r="D74" s="6" t="s">
        <v>2411</v>
      </c>
      <c r="E74" s="6" t="s">
        <v>2433</v>
      </c>
      <c r="F74" s="6">
        <v>800</v>
      </c>
      <c r="G74" s="6" t="s">
        <v>104</v>
      </c>
      <c r="H74" s="6"/>
      <c r="I74" s="6"/>
      <c r="J74" s="6"/>
      <c r="K74" s="7"/>
      <c r="L74" s="49"/>
      <c r="M74" s="49"/>
      <c r="N74" s="6"/>
      <c r="O74" s="6"/>
      <c r="P74" s="1" t="e">
        <f>VLOOKUP(Table3[[#This Row],[UNIT NO.]],[1]!Table357[[#Headers],[#Data],[Unit '#]:[Application/Sold/ Unsold]],7,0)</f>
        <v>#REF!</v>
      </c>
    </row>
    <row r="75" spans="2:16" x14ac:dyDescent="0.25">
      <c r="B75" s="5">
        <f t="shared" si="1"/>
        <v>72</v>
      </c>
      <c r="C75" s="29"/>
      <c r="D75" s="6" t="s">
        <v>2411</v>
      </c>
      <c r="E75" s="6" t="s">
        <v>2434</v>
      </c>
      <c r="F75" s="6">
        <v>800</v>
      </c>
      <c r="G75" s="6" t="s">
        <v>104</v>
      </c>
      <c r="H75" s="6"/>
      <c r="I75" s="6"/>
      <c r="J75" s="6"/>
      <c r="K75" s="7"/>
      <c r="L75" s="49"/>
      <c r="M75" s="49"/>
      <c r="N75" s="6"/>
      <c r="O75" s="6"/>
      <c r="P75" s="1" t="e">
        <f>VLOOKUP(Table3[[#This Row],[UNIT NO.]],[1]!Table357[[#Headers],[#Data],[Unit '#]:[Application/Sold/ Unsold]],7,0)</f>
        <v>#REF!</v>
      </c>
    </row>
    <row r="76" spans="2:16" x14ac:dyDescent="0.25">
      <c r="B76" s="5">
        <f t="shared" si="1"/>
        <v>73</v>
      </c>
      <c r="C76" s="29"/>
      <c r="D76" s="6" t="s">
        <v>2411</v>
      </c>
      <c r="E76" s="6" t="s">
        <v>2435</v>
      </c>
      <c r="F76" s="6">
        <v>800</v>
      </c>
      <c r="G76" s="6" t="s">
        <v>104</v>
      </c>
      <c r="H76" s="6"/>
      <c r="I76" s="6"/>
      <c r="J76" s="6"/>
      <c r="K76" s="7"/>
      <c r="L76" s="49"/>
      <c r="M76" s="49"/>
      <c r="N76" s="6"/>
      <c r="O76" s="6"/>
      <c r="P76" s="1" t="e">
        <f>VLOOKUP(Table3[[#This Row],[UNIT NO.]],[1]!Table357[[#Headers],[#Data],[Unit '#]:[Application/Sold/ Unsold]],7,0)</f>
        <v>#REF!</v>
      </c>
    </row>
    <row r="77" spans="2:16" x14ac:dyDescent="0.25">
      <c r="B77" s="5">
        <f t="shared" si="1"/>
        <v>74</v>
      </c>
      <c r="C77" s="29"/>
      <c r="D77" s="6" t="s">
        <v>2411</v>
      </c>
      <c r="E77" s="6" t="s">
        <v>2436</v>
      </c>
      <c r="F77" s="6">
        <v>800</v>
      </c>
      <c r="G77" s="6" t="s">
        <v>104</v>
      </c>
      <c r="H77" s="6"/>
      <c r="I77" s="6"/>
      <c r="J77" s="6"/>
      <c r="K77" s="7"/>
      <c r="L77" s="49"/>
      <c r="M77" s="49"/>
      <c r="N77" s="6"/>
      <c r="O77" s="6"/>
      <c r="P77" s="1" t="e">
        <f>VLOOKUP(Table3[[#This Row],[UNIT NO.]],[1]!Table357[[#Headers],[#Data],[Unit '#]:[Application/Sold/ Unsold]],7,0)</f>
        <v>#REF!</v>
      </c>
    </row>
    <row r="78" spans="2:16" x14ac:dyDescent="0.25">
      <c r="B78" s="5">
        <f t="shared" si="1"/>
        <v>75</v>
      </c>
      <c r="C78" s="29"/>
      <c r="D78" s="6" t="s">
        <v>2411</v>
      </c>
      <c r="E78" s="6" t="s">
        <v>2437</v>
      </c>
      <c r="F78" s="6">
        <v>800</v>
      </c>
      <c r="G78" s="6" t="s">
        <v>104</v>
      </c>
      <c r="H78" s="6"/>
      <c r="I78" s="6"/>
      <c r="J78" s="6"/>
      <c r="K78" s="7"/>
      <c r="L78" s="49"/>
      <c r="M78" s="49"/>
      <c r="N78" s="6"/>
      <c r="O78" s="6"/>
      <c r="P78" s="1" t="e">
        <f>VLOOKUP(Table3[[#This Row],[UNIT NO.]],[1]!Table357[[#Headers],[#Data],[Unit '#]:[Application/Sold/ Unsold]],7,0)</f>
        <v>#REF!</v>
      </c>
    </row>
    <row r="79" spans="2:16" x14ac:dyDescent="0.25">
      <c r="B79" s="5">
        <f t="shared" si="1"/>
        <v>76</v>
      </c>
      <c r="C79" s="29"/>
      <c r="D79" s="6" t="s">
        <v>2411</v>
      </c>
      <c r="E79" s="6" t="s">
        <v>2438</v>
      </c>
      <c r="F79" s="6">
        <v>800</v>
      </c>
      <c r="G79" s="6" t="s">
        <v>104</v>
      </c>
      <c r="H79" s="6"/>
      <c r="I79" s="6"/>
      <c r="J79" s="6"/>
      <c r="K79" s="7"/>
      <c r="L79" s="49"/>
      <c r="M79" s="49"/>
      <c r="N79" s="6"/>
      <c r="O79" s="6"/>
      <c r="P79" s="1" t="e">
        <f>VLOOKUP(Table3[[#This Row],[UNIT NO.]],[1]!Table357[[#Headers],[#Data],[Unit '#]:[Application/Sold/ Unsold]],7,0)</f>
        <v>#REF!</v>
      </c>
    </row>
    <row r="80" spans="2:16" x14ac:dyDescent="0.25">
      <c r="B80" s="5">
        <f t="shared" si="1"/>
        <v>77</v>
      </c>
      <c r="C80" s="29"/>
      <c r="D80" s="6" t="s">
        <v>2411</v>
      </c>
      <c r="E80" s="6" t="s">
        <v>2439</v>
      </c>
      <c r="F80" s="6">
        <v>800</v>
      </c>
      <c r="G80" s="6" t="s">
        <v>104</v>
      </c>
      <c r="H80" s="6"/>
      <c r="I80" s="6"/>
      <c r="J80" s="6"/>
      <c r="K80" s="7"/>
      <c r="L80" s="49"/>
      <c r="M80" s="49"/>
      <c r="N80" s="6"/>
      <c r="O80" s="6"/>
      <c r="P80" s="1" t="e">
        <f>VLOOKUP(Table3[[#This Row],[UNIT NO.]],[1]!Table357[[#Headers],[#Data],[Unit '#]:[Application/Sold/ Unsold]],7,0)</f>
        <v>#REF!</v>
      </c>
    </row>
    <row r="81" spans="2:16" x14ac:dyDescent="0.25">
      <c r="B81" s="5">
        <f t="shared" si="1"/>
        <v>78</v>
      </c>
      <c r="C81" s="29"/>
      <c r="D81" s="6" t="s">
        <v>2411</v>
      </c>
      <c r="E81" s="6" t="s">
        <v>2440</v>
      </c>
      <c r="F81" s="6">
        <v>800</v>
      </c>
      <c r="G81" s="6" t="s">
        <v>104</v>
      </c>
      <c r="H81" s="6"/>
      <c r="I81" s="6"/>
      <c r="J81" s="6"/>
      <c r="K81" s="7"/>
      <c r="L81" s="49"/>
      <c r="M81" s="49"/>
      <c r="N81" s="6"/>
      <c r="O81" s="6"/>
      <c r="P81" s="1" t="e">
        <f>VLOOKUP(Table3[[#This Row],[UNIT NO.]],[1]!Table357[[#Headers],[#Data],[Unit '#]:[Application/Sold/ Unsold]],7,0)</f>
        <v>#REF!</v>
      </c>
    </row>
    <row r="82" spans="2:16" x14ac:dyDescent="0.25">
      <c r="B82" s="5">
        <f t="shared" si="1"/>
        <v>79</v>
      </c>
      <c r="C82" s="29"/>
      <c r="D82" s="6" t="s">
        <v>2411</v>
      </c>
      <c r="E82" s="6" t="s">
        <v>2441</v>
      </c>
      <c r="F82" s="6">
        <v>800</v>
      </c>
      <c r="G82" s="6" t="s">
        <v>104</v>
      </c>
      <c r="H82" s="6"/>
      <c r="I82" s="6"/>
      <c r="J82" s="6"/>
      <c r="K82" s="7"/>
      <c r="L82" s="49"/>
      <c r="M82" s="49"/>
      <c r="N82" s="6"/>
      <c r="O82" s="6"/>
      <c r="P82" s="1" t="e">
        <f>VLOOKUP(Table3[[#This Row],[UNIT NO.]],[1]!Table357[[#Headers],[#Data],[Unit '#]:[Application/Sold/ Unsold]],7,0)</f>
        <v>#REF!</v>
      </c>
    </row>
    <row r="83" spans="2:16" x14ac:dyDescent="0.25">
      <c r="B83" s="5">
        <f t="shared" si="1"/>
        <v>80</v>
      </c>
      <c r="C83" s="29"/>
      <c r="D83" s="6" t="s">
        <v>2411</v>
      </c>
      <c r="E83" s="6" t="s">
        <v>2442</v>
      </c>
      <c r="F83" s="6">
        <v>800</v>
      </c>
      <c r="G83" s="6" t="s">
        <v>104</v>
      </c>
      <c r="H83" s="6"/>
      <c r="I83" s="6"/>
      <c r="J83" s="6"/>
      <c r="K83" s="7"/>
      <c r="L83" s="49"/>
      <c r="M83" s="49"/>
      <c r="N83" s="6"/>
      <c r="O83" s="6"/>
      <c r="P83" s="1" t="e">
        <f>VLOOKUP(Table3[[#This Row],[UNIT NO.]],[1]!Table357[[#Headers],[#Data],[Unit '#]:[Application/Sold/ Unsold]],7,0)</f>
        <v>#REF!</v>
      </c>
    </row>
    <row r="84" spans="2:16" x14ac:dyDescent="0.25">
      <c r="B84" s="5">
        <f t="shared" si="1"/>
        <v>81</v>
      </c>
      <c r="C84" s="29"/>
      <c r="D84" s="6" t="s">
        <v>2411</v>
      </c>
      <c r="E84" s="6" t="s">
        <v>2443</v>
      </c>
      <c r="F84" s="6">
        <v>800</v>
      </c>
      <c r="G84" s="6" t="s">
        <v>104</v>
      </c>
      <c r="H84" s="6"/>
      <c r="I84" s="6"/>
      <c r="J84" s="6"/>
      <c r="K84" s="7"/>
      <c r="L84" s="49"/>
      <c r="M84" s="49"/>
      <c r="N84" s="6"/>
      <c r="O84" s="6"/>
      <c r="P84" s="1" t="e">
        <f>VLOOKUP(Table3[[#This Row],[UNIT NO.]],[1]!Table357[[#Headers],[#Data],[Unit '#]:[Application/Sold/ Unsold]],7,0)</f>
        <v>#REF!</v>
      </c>
    </row>
    <row r="85" spans="2:16" x14ac:dyDescent="0.25">
      <c r="B85" s="5">
        <f t="shared" si="1"/>
        <v>82</v>
      </c>
      <c r="C85" s="29"/>
      <c r="D85" s="6" t="s">
        <v>2411</v>
      </c>
      <c r="E85" s="6" t="s">
        <v>2444</v>
      </c>
      <c r="F85" s="6">
        <v>800</v>
      </c>
      <c r="G85" s="6" t="s">
        <v>104</v>
      </c>
      <c r="H85" s="6"/>
      <c r="I85" s="6"/>
      <c r="J85" s="6"/>
      <c r="K85" s="7"/>
      <c r="L85" s="49"/>
      <c r="M85" s="49"/>
      <c r="N85" s="6"/>
      <c r="O85" s="6"/>
      <c r="P85" s="1" t="e">
        <f>VLOOKUP(Table3[[#This Row],[UNIT NO.]],[1]!Table357[[#Headers],[#Data],[Unit '#]:[Application/Sold/ Unsold]],7,0)</f>
        <v>#REF!</v>
      </c>
    </row>
    <row r="86" spans="2:16" x14ac:dyDescent="0.25">
      <c r="B86" s="5">
        <f t="shared" si="1"/>
        <v>83</v>
      </c>
      <c r="C86" s="29"/>
      <c r="D86" s="6" t="s">
        <v>2411</v>
      </c>
      <c r="E86" s="6" t="s">
        <v>2445</v>
      </c>
      <c r="F86" s="6">
        <v>800</v>
      </c>
      <c r="G86" s="6" t="s">
        <v>104</v>
      </c>
      <c r="H86" s="6"/>
      <c r="I86" s="6"/>
      <c r="J86" s="6"/>
      <c r="K86" s="7"/>
      <c r="L86" s="49"/>
      <c r="M86" s="49"/>
      <c r="N86" s="6"/>
      <c r="O86" s="6"/>
      <c r="P86" s="1" t="e">
        <f>VLOOKUP(Table3[[#This Row],[UNIT NO.]],[1]!Table357[[#Headers],[#Data],[Unit '#]:[Application/Sold/ Unsold]],7,0)</f>
        <v>#REF!</v>
      </c>
    </row>
    <row r="87" spans="2:16" x14ac:dyDescent="0.25">
      <c r="B87" s="5">
        <f t="shared" si="1"/>
        <v>84</v>
      </c>
      <c r="C87" s="29"/>
      <c r="D87" s="6" t="s">
        <v>2411</v>
      </c>
      <c r="E87" s="6" t="s">
        <v>2446</v>
      </c>
      <c r="F87" s="6">
        <v>800</v>
      </c>
      <c r="G87" s="6" t="s">
        <v>104</v>
      </c>
      <c r="H87" s="6"/>
      <c r="I87" s="6"/>
      <c r="J87" s="6"/>
      <c r="K87" s="7"/>
      <c r="L87" s="49"/>
      <c r="M87" s="49"/>
      <c r="N87" s="6"/>
      <c r="O87" s="6"/>
      <c r="P87" s="1" t="e">
        <f>VLOOKUP(Table3[[#This Row],[UNIT NO.]],[1]!Table357[[#Headers],[#Data],[Unit '#]:[Application/Sold/ Unsold]],7,0)</f>
        <v>#REF!</v>
      </c>
    </row>
    <row r="88" spans="2:16" x14ac:dyDescent="0.25">
      <c r="B88" s="5">
        <f t="shared" si="1"/>
        <v>85</v>
      </c>
      <c r="C88" s="29"/>
      <c r="D88" s="6" t="s">
        <v>2411</v>
      </c>
      <c r="E88" s="6" t="s">
        <v>2447</v>
      </c>
      <c r="F88" s="6">
        <v>800</v>
      </c>
      <c r="G88" s="6" t="s">
        <v>104</v>
      </c>
      <c r="H88" s="6"/>
      <c r="I88" s="6"/>
      <c r="J88" s="6"/>
      <c r="K88" s="7"/>
      <c r="L88" s="49"/>
      <c r="M88" s="49"/>
      <c r="N88" s="6"/>
      <c r="O88" s="6"/>
      <c r="P88" s="1" t="e">
        <f>VLOOKUP(Table3[[#This Row],[UNIT NO.]],[1]!Table357[[#Headers],[#Data],[Unit '#]:[Application/Sold/ Unsold]],7,0)</f>
        <v>#REF!</v>
      </c>
    </row>
    <row r="89" spans="2:16" x14ac:dyDescent="0.25">
      <c r="B89" s="5">
        <f t="shared" si="1"/>
        <v>86</v>
      </c>
      <c r="C89" s="29"/>
      <c r="D89" s="6" t="s">
        <v>2411</v>
      </c>
      <c r="E89" s="6" t="s">
        <v>2448</v>
      </c>
      <c r="F89" s="6">
        <v>800</v>
      </c>
      <c r="G89" s="6" t="s">
        <v>104</v>
      </c>
      <c r="H89" s="6"/>
      <c r="I89" s="6"/>
      <c r="J89" s="6"/>
      <c r="K89" s="7"/>
      <c r="L89" s="49"/>
      <c r="M89" s="49"/>
      <c r="N89" s="6"/>
      <c r="O89" s="6"/>
      <c r="P89" s="1" t="e">
        <f>VLOOKUP(Table3[[#This Row],[UNIT NO.]],[1]!Table357[[#Headers],[#Data],[Unit '#]:[Application/Sold/ Unsold]],7,0)</f>
        <v>#REF!</v>
      </c>
    </row>
    <row r="90" spans="2:16" x14ac:dyDescent="0.25">
      <c r="B90" s="5">
        <f t="shared" si="1"/>
        <v>87</v>
      </c>
      <c r="C90" s="29"/>
      <c r="D90" s="6" t="s">
        <v>2411</v>
      </c>
      <c r="E90" s="6" t="s">
        <v>2449</v>
      </c>
      <c r="F90" s="6">
        <v>800</v>
      </c>
      <c r="G90" s="6" t="s">
        <v>104</v>
      </c>
      <c r="H90" s="6"/>
      <c r="I90" s="6"/>
      <c r="J90" s="6"/>
      <c r="K90" s="7"/>
      <c r="L90" s="49"/>
      <c r="M90" s="49"/>
      <c r="N90" s="6"/>
      <c r="O90" s="6"/>
      <c r="P90" s="1" t="e">
        <f>VLOOKUP(Table3[[#This Row],[UNIT NO.]],[1]!Table357[[#Headers],[#Data],[Unit '#]:[Application/Sold/ Unsold]],7,0)</f>
        <v>#REF!</v>
      </c>
    </row>
    <row r="91" spans="2:16" x14ac:dyDescent="0.25">
      <c r="B91" s="5">
        <f t="shared" si="1"/>
        <v>88</v>
      </c>
      <c r="C91" s="29"/>
      <c r="D91" s="6" t="s">
        <v>2411</v>
      </c>
      <c r="E91" s="6" t="s">
        <v>2450</v>
      </c>
      <c r="F91" s="6">
        <v>800</v>
      </c>
      <c r="G91" s="6" t="s">
        <v>104</v>
      </c>
      <c r="H91" s="6"/>
      <c r="I91" s="6"/>
      <c r="J91" s="6"/>
      <c r="K91" s="7"/>
      <c r="L91" s="49"/>
      <c r="M91" s="49"/>
      <c r="N91" s="6"/>
      <c r="O91" s="6"/>
      <c r="P91" s="1" t="e">
        <f>VLOOKUP(Table3[[#This Row],[UNIT NO.]],[1]!Table357[[#Headers],[#Data],[Unit '#]:[Application/Sold/ Unsold]],7,0)</f>
        <v>#REF!</v>
      </c>
    </row>
    <row r="92" spans="2:16" x14ac:dyDescent="0.25">
      <c r="B92" s="5">
        <f t="shared" si="1"/>
        <v>89</v>
      </c>
      <c r="C92" s="29"/>
      <c r="D92" s="6" t="s">
        <v>2411</v>
      </c>
      <c r="E92" s="6" t="s">
        <v>2451</v>
      </c>
      <c r="F92" s="6">
        <v>800</v>
      </c>
      <c r="G92" s="6" t="s">
        <v>104</v>
      </c>
      <c r="H92" s="6"/>
      <c r="I92" s="6"/>
      <c r="J92" s="6"/>
      <c r="K92" s="7"/>
      <c r="L92" s="49"/>
      <c r="M92" s="49"/>
      <c r="N92" s="6"/>
      <c r="O92" s="6"/>
      <c r="P92" s="1" t="e">
        <f>VLOOKUP(Table3[[#This Row],[UNIT NO.]],[1]!Table357[[#Headers],[#Data],[Unit '#]:[Application/Sold/ Unsold]],7,0)</f>
        <v>#REF!</v>
      </c>
    </row>
    <row r="93" spans="2:16" x14ac:dyDescent="0.25">
      <c r="B93" s="5">
        <f t="shared" si="1"/>
        <v>90</v>
      </c>
      <c r="C93" s="29"/>
      <c r="D93" s="6" t="s">
        <v>2411</v>
      </c>
      <c r="E93" s="6" t="s">
        <v>2452</v>
      </c>
      <c r="F93" s="6">
        <v>800</v>
      </c>
      <c r="G93" s="6" t="s">
        <v>104</v>
      </c>
      <c r="H93" s="6"/>
      <c r="I93" s="6"/>
      <c r="J93" s="6"/>
      <c r="K93" s="7"/>
      <c r="L93" s="49"/>
      <c r="M93" s="49"/>
      <c r="N93" s="6"/>
      <c r="O93" s="6"/>
      <c r="P93" s="1" t="e">
        <f>VLOOKUP(Table3[[#This Row],[UNIT NO.]],[1]!Table357[[#Headers],[#Data],[Unit '#]:[Application/Sold/ Unsold]],7,0)</f>
        <v>#REF!</v>
      </c>
    </row>
    <row r="94" spans="2:16" x14ac:dyDescent="0.25">
      <c r="B94" s="5">
        <f t="shared" si="1"/>
        <v>91</v>
      </c>
      <c r="C94" s="29"/>
      <c r="D94" s="6" t="s">
        <v>2411</v>
      </c>
      <c r="E94" s="6" t="s">
        <v>2453</v>
      </c>
      <c r="F94" s="6">
        <v>800</v>
      </c>
      <c r="G94" s="6" t="s">
        <v>104</v>
      </c>
      <c r="H94" s="6"/>
      <c r="I94" s="6"/>
      <c r="J94" s="6"/>
      <c r="K94" s="7"/>
      <c r="L94" s="49"/>
      <c r="M94" s="49"/>
      <c r="N94" s="6"/>
      <c r="O94" s="6"/>
      <c r="P94" s="1" t="e">
        <f>VLOOKUP(Table3[[#This Row],[UNIT NO.]],[1]!Table357[[#Headers],[#Data],[Unit '#]:[Application/Sold/ Unsold]],7,0)</f>
        <v>#REF!</v>
      </c>
    </row>
    <row r="95" spans="2:16" x14ac:dyDescent="0.25">
      <c r="B95" s="5">
        <f t="shared" si="1"/>
        <v>92</v>
      </c>
      <c r="C95" s="29"/>
      <c r="D95" s="6" t="s">
        <v>2411</v>
      </c>
      <c r="E95" s="6" t="s">
        <v>2454</v>
      </c>
      <c r="F95" s="6">
        <v>800</v>
      </c>
      <c r="G95" s="6" t="s">
        <v>104</v>
      </c>
      <c r="H95" s="6"/>
      <c r="I95" s="6"/>
      <c r="J95" s="6"/>
      <c r="K95" s="7"/>
      <c r="L95" s="49"/>
      <c r="M95" s="49"/>
      <c r="N95" s="6"/>
      <c r="O95" s="6"/>
      <c r="P95" s="1" t="e">
        <f>VLOOKUP(Table3[[#This Row],[UNIT NO.]],[1]!Table357[[#Headers],[#Data],[Unit '#]:[Application/Sold/ Unsold]],7,0)</f>
        <v>#REF!</v>
      </c>
    </row>
    <row r="96" spans="2:16" x14ac:dyDescent="0.25">
      <c r="B96" s="5">
        <f t="shared" si="1"/>
        <v>93</v>
      </c>
      <c r="C96" s="29"/>
      <c r="D96" s="6" t="s">
        <v>2411</v>
      </c>
      <c r="E96" s="6" t="s">
        <v>2455</v>
      </c>
      <c r="F96" s="6">
        <v>800</v>
      </c>
      <c r="G96" s="6" t="s">
        <v>104</v>
      </c>
      <c r="H96" s="6"/>
      <c r="I96" s="6"/>
      <c r="J96" s="6"/>
      <c r="K96" s="7"/>
      <c r="L96" s="49"/>
      <c r="M96" s="49"/>
      <c r="N96" s="6"/>
      <c r="O96" s="6"/>
      <c r="P96" s="1" t="e">
        <f>VLOOKUP(Table3[[#This Row],[UNIT NO.]],[1]!Table357[[#Headers],[#Data],[Unit '#]:[Application/Sold/ Unsold]],7,0)</f>
        <v>#REF!</v>
      </c>
    </row>
    <row r="97" spans="2:16" x14ac:dyDescent="0.25">
      <c r="B97" s="5">
        <f t="shared" si="1"/>
        <v>94</v>
      </c>
      <c r="C97" s="29"/>
      <c r="D97" s="6" t="s">
        <v>2411</v>
      </c>
      <c r="E97" s="6" t="s">
        <v>2456</v>
      </c>
      <c r="F97" s="6">
        <v>800</v>
      </c>
      <c r="G97" s="6" t="s">
        <v>104</v>
      </c>
      <c r="H97" s="6"/>
      <c r="I97" s="6"/>
      <c r="J97" s="6"/>
      <c r="K97" s="7"/>
      <c r="L97" s="49"/>
      <c r="M97" s="49"/>
      <c r="N97" s="6"/>
      <c r="O97" s="6"/>
      <c r="P97" s="1" t="e">
        <f>VLOOKUP(Table3[[#This Row],[UNIT NO.]],[1]!Table357[[#Headers],[#Data],[Unit '#]:[Application/Sold/ Unsold]],7,0)</f>
        <v>#REF!</v>
      </c>
    </row>
    <row r="98" spans="2:16" x14ac:dyDescent="0.25">
      <c r="B98" s="5">
        <f t="shared" si="1"/>
        <v>95</v>
      </c>
      <c r="C98" s="29"/>
      <c r="D98" s="6" t="s">
        <v>2411</v>
      </c>
      <c r="E98" s="6" t="s">
        <v>2457</v>
      </c>
      <c r="F98" s="6">
        <v>800</v>
      </c>
      <c r="G98" s="6" t="s">
        <v>104</v>
      </c>
      <c r="H98" s="6"/>
      <c r="I98" s="6"/>
      <c r="J98" s="6"/>
      <c r="K98" s="7"/>
      <c r="L98" s="49"/>
      <c r="M98" s="49"/>
      <c r="N98" s="6"/>
      <c r="O98" s="6"/>
      <c r="P98" s="1" t="e">
        <f>VLOOKUP(Table3[[#This Row],[UNIT NO.]],[1]!Table357[[#Headers],[#Data],[Unit '#]:[Application/Sold/ Unsold]],7,0)</f>
        <v>#REF!</v>
      </c>
    </row>
    <row r="99" spans="2:16" x14ac:dyDescent="0.25">
      <c r="B99" s="5">
        <f t="shared" si="1"/>
        <v>96</v>
      </c>
      <c r="C99" s="29"/>
      <c r="D99" s="6" t="s">
        <v>2411</v>
      </c>
      <c r="E99" s="6" t="s">
        <v>2458</v>
      </c>
      <c r="F99" s="6">
        <v>800</v>
      </c>
      <c r="G99" s="6" t="s">
        <v>104</v>
      </c>
      <c r="H99" s="6"/>
      <c r="I99" s="6"/>
      <c r="J99" s="6"/>
      <c r="K99" s="7"/>
      <c r="L99" s="49"/>
      <c r="M99" s="49"/>
      <c r="N99" s="6"/>
      <c r="O99" s="6"/>
      <c r="P99" s="1" t="e">
        <f>VLOOKUP(Table3[[#This Row],[UNIT NO.]],[1]!Table357[[#Headers],[#Data],[Unit '#]:[Application/Sold/ Unsold]],7,0)</f>
        <v>#REF!</v>
      </c>
    </row>
    <row r="100" spans="2:16" x14ac:dyDescent="0.25">
      <c r="B100" s="5">
        <f t="shared" si="1"/>
        <v>97</v>
      </c>
      <c r="C100" s="29"/>
      <c r="D100" s="6" t="s">
        <v>2411</v>
      </c>
      <c r="E100" s="6" t="s">
        <v>2459</v>
      </c>
      <c r="F100" s="6">
        <v>800</v>
      </c>
      <c r="G100" s="6" t="s">
        <v>104</v>
      </c>
      <c r="H100" s="6"/>
      <c r="I100" s="6"/>
      <c r="J100" s="6"/>
      <c r="K100" s="7"/>
      <c r="L100" s="49"/>
      <c r="M100" s="49"/>
      <c r="N100" s="6"/>
      <c r="O100" s="6"/>
      <c r="P100" s="1" t="e">
        <f>VLOOKUP(Table3[[#This Row],[UNIT NO.]],[1]!Table357[[#Headers],[#Data],[Unit '#]:[Application/Sold/ Unsold]],7,0)</f>
        <v>#REF!</v>
      </c>
    </row>
    <row r="101" spans="2:16" x14ac:dyDescent="0.25">
      <c r="B101" s="5">
        <f t="shared" si="1"/>
        <v>98</v>
      </c>
      <c r="C101" s="29"/>
      <c r="D101" s="6" t="s">
        <v>2411</v>
      </c>
      <c r="E101" s="6" t="s">
        <v>2460</v>
      </c>
      <c r="F101" s="6">
        <v>800</v>
      </c>
      <c r="G101" s="6" t="s">
        <v>104</v>
      </c>
      <c r="H101" s="6"/>
      <c r="I101" s="6"/>
      <c r="J101" s="6"/>
      <c r="K101" s="7"/>
      <c r="L101" s="49"/>
      <c r="M101" s="49"/>
      <c r="N101" s="6"/>
      <c r="O101" s="6"/>
      <c r="P101" s="1" t="e">
        <f>VLOOKUP(Table3[[#This Row],[UNIT NO.]],[1]!Table357[[#Headers],[#Data],[Unit '#]:[Application/Sold/ Unsold]],7,0)</f>
        <v>#REF!</v>
      </c>
    </row>
    <row r="102" spans="2:16" x14ac:dyDescent="0.25">
      <c r="B102" s="5">
        <f t="shared" si="1"/>
        <v>99</v>
      </c>
      <c r="C102" s="29"/>
      <c r="D102" s="6" t="s">
        <v>2411</v>
      </c>
      <c r="E102" s="6" t="s">
        <v>2461</v>
      </c>
      <c r="F102" s="6">
        <v>800</v>
      </c>
      <c r="G102" s="6" t="s">
        <v>104</v>
      </c>
      <c r="H102" s="6"/>
      <c r="I102" s="6"/>
      <c r="J102" s="6"/>
      <c r="K102" s="7"/>
      <c r="L102" s="49"/>
      <c r="M102" s="49"/>
      <c r="N102" s="6"/>
      <c r="O102" s="6"/>
      <c r="P102" s="1" t="e">
        <f>VLOOKUP(Table3[[#This Row],[UNIT NO.]],[1]!Table357[[#Headers],[#Data],[Unit '#]:[Application/Sold/ Unsold]],7,0)</f>
        <v>#REF!</v>
      </c>
    </row>
    <row r="103" spans="2:16" x14ac:dyDescent="0.25">
      <c r="B103" s="5">
        <f t="shared" si="1"/>
        <v>100</v>
      </c>
      <c r="C103" s="29"/>
      <c r="D103" s="6" t="s">
        <v>2411</v>
      </c>
      <c r="E103" s="6" t="s">
        <v>2462</v>
      </c>
      <c r="F103" s="6">
        <v>800</v>
      </c>
      <c r="G103" s="6" t="s">
        <v>104</v>
      </c>
      <c r="H103" s="6"/>
      <c r="I103" s="6"/>
      <c r="J103" s="6"/>
      <c r="K103" s="7"/>
      <c r="L103" s="49"/>
      <c r="M103" s="49"/>
      <c r="N103" s="6"/>
      <c r="O103" s="6"/>
      <c r="P103" s="1" t="e">
        <f>VLOOKUP(Table3[[#This Row],[UNIT NO.]],[1]!Table357[[#Headers],[#Data],[Unit '#]:[Application/Sold/ Unsold]],7,0)</f>
        <v>#REF!</v>
      </c>
    </row>
    <row r="104" spans="2:16" x14ac:dyDescent="0.25">
      <c r="B104" s="5">
        <f t="shared" si="1"/>
        <v>101</v>
      </c>
      <c r="C104" s="29"/>
      <c r="D104" s="6" t="s">
        <v>2411</v>
      </c>
      <c r="E104" s="6" t="s">
        <v>2463</v>
      </c>
      <c r="F104" s="6">
        <v>800</v>
      </c>
      <c r="G104" s="6" t="s">
        <v>104</v>
      </c>
      <c r="H104" s="6"/>
      <c r="I104" s="6"/>
      <c r="J104" s="6"/>
      <c r="K104" s="7"/>
      <c r="L104" s="49"/>
      <c r="M104" s="49"/>
      <c r="N104" s="6"/>
      <c r="O104" s="6"/>
      <c r="P104" s="1" t="e">
        <f>VLOOKUP(Table3[[#This Row],[UNIT NO.]],[1]!Table357[[#Headers],[#Data],[Unit '#]:[Application/Sold/ Unsold]],7,0)</f>
        <v>#REF!</v>
      </c>
    </row>
    <row r="105" spans="2:16" x14ac:dyDescent="0.25">
      <c r="B105" s="5">
        <f t="shared" si="1"/>
        <v>102</v>
      </c>
      <c r="C105" s="29"/>
      <c r="D105" s="6" t="s">
        <v>2411</v>
      </c>
      <c r="E105" s="6" t="s">
        <v>2464</v>
      </c>
      <c r="F105" s="6">
        <v>800</v>
      </c>
      <c r="G105" s="6" t="s">
        <v>104</v>
      </c>
      <c r="H105" s="6"/>
      <c r="I105" s="6"/>
      <c r="J105" s="6"/>
      <c r="K105" s="7"/>
      <c r="L105" s="49"/>
      <c r="M105" s="49"/>
      <c r="N105" s="6"/>
      <c r="O105" s="6"/>
      <c r="P105" s="1" t="e">
        <f>VLOOKUP(Table3[[#This Row],[UNIT NO.]],[1]!Table357[[#Headers],[#Data],[Unit '#]:[Application/Sold/ Unsold]],7,0)</f>
        <v>#REF!</v>
      </c>
    </row>
    <row r="106" spans="2:16" x14ac:dyDescent="0.25">
      <c r="B106" s="5">
        <f t="shared" si="1"/>
        <v>103</v>
      </c>
      <c r="C106" s="29"/>
      <c r="D106" s="6" t="s">
        <v>2411</v>
      </c>
      <c r="E106" s="6" t="s">
        <v>2465</v>
      </c>
      <c r="F106" s="6">
        <v>800</v>
      </c>
      <c r="G106" s="6" t="s">
        <v>104</v>
      </c>
      <c r="H106" s="6"/>
      <c r="I106" s="6"/>
      <c r="J106" s="6"/>
      <c r="K106" s="7"/>
      <c r="L106" s="49"/>
      <c r="M106" s="49"/>
      <c r="N106" s="6"/>
      <c r="O106" s="6"/>
      <c r="P106" s="1" t="e">
        <f>VLOOKUP(Table3[[#This Row],[UNIT NO.]],[1]!Table357[[#Headers],[#Data],[Unit '#]:[Application/Sold/ Unsold]],7,0)</f>
        <v>#REF!</v>
      </c>
    </row>
    <row r="107" spans="2:16" x14ac:dyDescent="0.25">
      <c r="B107" s="5">
        <f t="shared" si="1"/>
        <v>104</v>
      </c>
      <c r="C107" s="29"/>
      <c r="D107" s="6" t="s">
        <v>2411</v>
      </c>
      <c r="E107" s="6" t="s">
        <v>2466</v>
      </c>
      <c r="F107" s="6">
        <v>800</v>
      </c>
      <c r="G107" s="6" t="s">
        <v>104</v>
      </c>
      <c r="H107" s="6"/>
      <c r="I107" s="6"/>
      <c r="J107" s="6"/>
      <c r="K107" s="7"/>
      <c r="L107" s="49"/>
      <c r="M107" s="49"/>
      <c r="N107" s="6"/>
      <c r="O107" s="6"/>
      <c r="P107" s="1" t="e">
        <f>VLOOKUP(Table3[[#This Row],[UNIT NO.]],[1]!Table357[[#Headers],[#Data],[Unit '#]:[Application/Sold/ Unsold]],7,0)</f>
        <v>#REF!</v>
      </c>
    </row>
    <row r="108" spans="2:16" x14ac:dyDescent="0.25">
      <c r="B108" s="5">
        <f t="shared" si="1"/>
        <v>105</v>
      </c>
      <c r="C108" s="29"/>
      <c r="D108" s="6" t="s">
        <v>2411</v>
      </c>
      <c r="E108" s="6" t="s">
        <v>2467</v>
      </c>
      <c r="F108" s="6">
        <v>800</v>
      </c>
      <c r="G108" s="6" t="s">
        <v>104</v>
      </c>
      <c r="H108" s="6"/>
      <c r="I108" s="6"/>
      <c r="J108" s="6"/>
      <c r="K108" s="7"/>
      <c r="L108" s="49"/>
      <c r="M108" s="49"/>
      <c r="N108" s="6"/>
      <c r="O108" s="6"/>
      <c r="P108" s="1" t="e">
        <f>VLOOKUP(Table3[[#This Row],[UNIT NO.]],[1]!Table357[[#Headers],[#Data],[Unit '#]:[Application/Sold/ Unsold]],7,0)</f>
        <v>#REF!</v>
      </c>
    </row>
    <row r="109" spans="2:16" x14ac:dyDescent="0.25">
      <c r="B109" s="5">
        <f t="shared" si="1"/>
        <v>106</v>
      </c>
      <c r="C109" s="29"/>
      <c r="D109" s="6" t="s">
        <v>2411</v>
      </c>
      <c r="E109" s="6" t="s">
        <v>2468</v>
      </c>
      <c r="F109" s="6">
        <v>800</v>
      </c>
      <c r="G109" s="6" t="s">
        <v>104</v>
      </c>
      <c r="H109" s="6"/>
      <c r="I109" s="6"/>
      <c r="J109" s="6"/>
      <c r="K109" s="7"/>
      <c r="L109" s="49"/>
      <c r="M109" s="49"/>
      <c r="N109" s="6"/>
      <c r="O109" s="6"/>
      <c r="P109" s="1" t="e">
        <f>VLOOKUP(Table3[[#This Row],[UNIT NO.]],[1]!Table357[[#Headers],[#Data],[Unit '#]:[Application/Sold/ Unsold]],7,0)</f>
        <v>#REF!</v>
      </c>
    </row>
    <row r="110" spans="2:16" x14ac:dyDescent="0.25">
      <c r="B110" s="5">
        <f t="shared" si="1"/>
        <v>107</v>
      </c>
      <c r="C110" s="29"/>
      <c r="D110" s="6" t="s">
        <v>2411</v>
      </c>
      <c r="E110" s="6" t="s">
        <v>2469</v>
      </c>
      <c r="F110" s="6">
        <v>800</v>
      </c>
      <c r="G110" s="6" t="s">
        <v>104</v>
      </c>
      <c r="H110" s="6"/>
      <c r="I110" s="6"/>
      <c r="J110" s="6"/>
      <c r="K110" s="7"/>
      <c r="L110" s="49"/>
      <c r="M110" s="49"/>
      <c r="N110" s="6"/>
      <c r="O110" s="6"/>
      <c r="P110" s="1" t="e">
        <f>VLOOKUP(Table3[[#This Row],[UNIT NO.]],[1]!Table357[[#Headers],[#Data],[Unit '#]:[Application/Sold/ Unsold]],7,0)</f>
        <v>#REF!</v>
      </c>
    </row>
    <row r="111" spans="2:16" x14ac:dyDescent="0.25">
      <c r="B111" s="5">
        <f t="shared" si="1"/>
        <v>108</v>
      </c>
      <c r="C111" s="29"/>
      <c r="D111" s="6" t="s">
        <v>2411</v>
      </c>
      <c r="E111" s="6" t="s">
        <v>2470</v>
      </c>
      <c r="F111" s="6">
        <v>800</v>
      </c>
      <c r="G111" s="6" t="s">
        <v>104</v>
      </c>
      <c r="H111" s="6"/>
      <c r="I111" s="6"/>
      <c r="J111" s="6"/>
      <c r="K111" s="7"/>
      <c r="L111" s="49"/>
      <c r="M111" s="49"/>
      <c r="N111" s="6"/>
      <c r="O111" s="6"/>
      <c r="P111" s="1" t="e">
        <f>VLOOKUP(Table3[[#This Row],[UNIT NO.]],[1]!Table357[[#Headers],[#Data],[Unit '#]:[Application/Sold/ Unsold]],7,0)</f>
        <v>#REF!</v>
      </c>
    </row>
    <row r="112" spans="2:16" x14ac:dyDescent="0.25">
      <c r="B112" s="5">
        <f t="shared" si="1"/>
        <v>109</v>
      </c>
      <c r="C112" s="29"/>
      <c r="D112" s="6" t="s">
        <v>2411</v>
      </c>
      <c r="E112" s="6" t="s">
        <v>2471</v>
      </c>
      <c r="F112" s="6">
        <v>800</v>
      </c>
      <c r="G112" s="6" t="s">
        <v>104</v>
      </c>
      <c r="H112" s="6"/>
      <c r="I112" s="6"/>
      <c r="J112" s="6"/>
      <c r="K112" s="7"/>
      <c r="L112" s="49"/>
      <c r="M112" s="49"/>
      <c r="N112" s="6"/>
      <c r="O112" s="6"/>
      <c r="P112" s="1" t="e">
        <f>VLOOKUP(Table3[[#This Row],[UNIT NO.]],[1]!Table357[[#Headers],[#Data],[Unit '#]:[Application/Sold/ Unsold]],7,0)</f>
        <v>#REF!</v>
      </c>
    </row>
    <row r="113" spans="2:16" x14ac:dyDescent="0.25">
      <c r="B113" s="5">
        <f t="shared" si="1"/>
        <v>110</v>
      </c>
      <c r="C113" s="29"/>
      <c r="D113" s="6" t="s">
        <v>2411</v>
      </c>
      <c r="E113" s="6" t="s">
        <v>2472</v>
      </c>
      <c r="F113" s="6">
        <v>800</v>
      </c>
      <c r="G113" s="6" t="s">
        <v>104</v>
      </c>
      <c r="H113" s="6"/>
      <c r="I113" s="6"/>
      <c r="J113" s="6"/>
      <c r="K113" s="7"/>
      <c r="L113" s="49"/>
      <c r="M113" s="49"/>
      <c r="N113" s="6"/>
      <c r="O113" s="6"/>
      <c r="P113" s="1" t="e">
        <f>VLOOKUP(Table3[[#This Row],[UNIT NO.]],[1]!Table357[[#Headers],[#Data],[Unit '#]:[Application/Sold/ Unsold]],7,0)</f>
        <v>#REF!</v>
      </c>
    </row>
    <row r="114" spans="2:16" x14ac:dyDescent="0.25">
      <c r="B114" s="5">
        <f t="shared" si="1"/>
        <v>111</v>
      </c>
      <c r="C114" s="29"/>
      <c r="D114" s="6" t="s">
        <v>2411</v>
      </c>
      <c r="E114" s="6" t="s">
        <v>2473</v>
      </c>
      <c r="F114" s="6">
        <v>800</v>
      </c>
      <c r="G114" s="6" t="s">
        <v>104</v>
      </c>
      <c r="H114" s="6"/>
      <c r="I114" s="6"/>
      <c r="J114" s="6"/>
      <c r="K114" s="7"/>
      <c r="L114" s="49"/>
      <c r="M114" s="49"/>
      <c r="N114" s="6"/>
      <c r="O114" s="6"/>
      <c r="P114" s="1" t="e">
        <f>VLOOKUP(Table3[[#This Row],[UNIT NO.]],[1]!Table357[[#Headers],[#Data],[Unit '#]:[Application/Sold/ Unsold]],7,0)</f>
        <v>#REF!</v>
      </c>
    </row>
    <row r="115" spans="2:16" x14ac:dyDescent="0.25">
      <c r="B115" s="5">
        <f t="shared" si="1"/>
        <v>112</v>
      </c>
      <c r="C115" s="29"/>
      <c r="D115" s="6" t="s">
        <v>2411</v>
      </c>
      <c r="E115" s="6" t="s">
        <v>2474</v>
      </c>
      <c r="F115" s="6">
        <v>800</v>
      </c>
      <c r="G115" s="6" t="s">
        <v>104</v>
      </c>
      <c r="H115" s="6"/>
      <c r="I115" s="6"/>
      <c r="J115" s="6"/>
      <c r="K115" s="7"/>
      <c r="L115" s="49"/>
      <c r="M115" s="49"/>
      <c r="N115" s="6"/>
      <c r="O115" s="6"/>
      <c r="P115" s="1" t="e">
        <f>VLOOKUP(Table3[[#This Row],[UNIT NO.]],[1]!Table357[[#Headers],[#Data],[Unit '#]:[Application/Sold/ Unsold]],7,0)</f>
        <v>#REF!</v>
      </c>
    </row>
    <row r="116" spans="2:16" x14ac:dyDescent="0.25">
      <c r="B116" s="5">
        <f t="shared" si="1"/>
        <v>113</v>
      </c>
      <c r="C116" s="29"/>
      <c r="D116" s="6" t="s">
        <v>2411</v>
      </c>
      <c r="E116" s="6" t="s">
        <v>2475</v>
      </c>
      <c r="F116" s="6">
        <v>800</v>
      </c>
      <c r="G116" s="6" t="s">
        <v>104</v>
      </c>
      <c r="H116" s="6"/>
      <c r="I116" s="6"/>
      <c r="J116" s="6"/>
      <c r="K116" s="7"/>
      <c r="L116" s="49"/>
      <c r="M116" s="49"/>
      <c r="N116" s="6"/>
      <c r="O116" s="6"/>
      <c r="P116" s="1" t="e">
        <f>VLOOKUP(Table3[[#This Row],[UNIT NO.]],[1]!Table357[[#Headers],[#Data],[Unit '#]:[Application/Sold/ Unsold]],7,0)</f>
        <v>#REF!</v>
      </c>
    </row>
    <row r="117" spans="2:16" x14ac:dyDescent="0.25">
      <c r="B117" s="5">
        <f t="shared" si="1"/>
        <v>114</v>
      </c>
      <c r="C117" s="29"/>
      <c r="D117" s="6" t="s">
        <v>2411</v>
      </c>
      <c r="E117" s="6" t="s">
        <v>2476</v>
      </c>
      <c r="F117" s="6">
        <v>800</v>
      </c>
      <c r="G117" s="6" t="s">
        <v>104</v>
      </c>
      <c r="H117" s="6"/>
      <c r="I117" s="6"/>
      <c r="J117" s="6"/>
      <c r="K117" s="7"/>
      <c r="L117" s="49"/>
      <c r="M117" s="49"/>
      <c r="N117" s="6"/>
      <c r="O117" s="6"/>
      <c r="P117" s="1" t="e">
        <f>VLOOKUP(Table3[[#This Row],[UNIT NO.]],[1]!Table357[[#Headers],[#Data],[Unit '#]:[Application/Sold/ Unsold]],7,0)</f>
        <v>#REF!</v>
      </c>
    </row>
    <row r="118" spans="2:16" x14ac:dyDescent="0.25">
      <c r="B118" s="5">
        <f t="shared" si="1"/>
        <v>115</v>
      </c>
      <c r="C118" s="29"/>
      <c r="D118" s="6" t="s">
        <v>2411</v>
      </c>
      <c r="E118" s="6" t="s">
        <v>2477</v>
      </c>
      <c r="F118" s="6">
        <v>800</v>
      </c>
      <c r="G118" s="6" t="s">
        <v>104</v>
      </c>
      <c r="H118" s="6"/>
      <c r="I118" s="6"/>
      <c r="J118" s="6"/>
      <c r="K118" s="7"/>
      <c r="L118" s="49"/>
      <c r="M118" s="49"/>
      <c r="N118" s="6"/>
      <c r="O118" s="6"/>
      <c r="P118" s="1" t="e">
        <f>VLOOKUP(Table3[[#This Row],[UNIT NO.]],[1]!Table357[[#Headers],[#Data],[Unit '#]:[Application/Sold/ Unsold]],7,0)</f>
        <v>#REF!</v>
      </c>
    </row>
    <row r="119" spans="2:16" x14ac:dyDescent="0.25">
      <c r="B119" s="5">
        <f t="shared" si="1"/>
        <v>116</v>
      </c>
      <c r="C119" s="29"/>
      <c r="D119" s="6" t="s">
        <v>2411</v>
      </c>
      <c r="E119" s="6" t="s">
        <v>2478</v>
      </c>
      <c r="F119" s="6">
        <v>800</v>
      </c>
      <c r="G119" s="6" t="s">
        <v>104</v>
      </c>
      <c r="H119" s="6"/>
      <c r="I119" s="6"/>
      <c r="J119" s="6"/>
      <c r="K119" s="7"/>
      <c r="L119" s="49"/>
      <c r="M119" s="49"/>
      <c r="N119" s="6"/>
      <c r="O119" s="6"/>
      <c r="P119" s="1" t="e">
        <f>VLOOKUP(Table3[[#This Row],[UNIT NO.]],[1]!Table357[[#Headers],[#Data],[Unit '#]:[Application/Sold/ Unsold]],7,0)</f>
        <v>#REF!</v>
      </c>
    </row>
    <row r="120" spans="2:16" x14ac:dyDescent="0.25">
      <c r="B120" s="5">
        <f t="shared" si="1"/>
        <v>117</v>
      </c>
      <c r="C120" s="29"/>
      <c r="D120" s="6" t="s">
        <v>2411</v>
      </c>
      <c r="E120" s="6" t="s">
        <v>2479</v>
      </c>
      <c r="F120" s="6">
        <v>800</v>
      </c>
      <c r="G120" s="6" t="s">
        <v>104</v>
      </c>
      <c r="H120" s="6"/>
      <c r="I120" s="6"/>
      <c r="J120" s="6"/>
      <c r="K120" s="7"/>
      <c r="L120" s="49"/>
      <c r="M120" s="49"/>
      <c r="N120" s="6"/>
      <c r="O120" s="6"/>
      <c r="P120" s="1" t="e">
        <f>VLOOKUP(Table3[[#This Row],[UNIT NO.]],[1]!Table357[[#Headers],[#Data],[Unit '#]:[Application/Sold/ Unsold]],7,0)</f>
        <v>#REF!</v>
      </c>
    </row>
    <row r="121" spans="2:16" x14ac:dyDescent="0.25">
      <c r="B121" s="5">
        <f t="shared" si="1"/>
        <v>118</v>
      </c>
      <c r="C121" s="29"/>
      <c r="D121" s="6" t="s">
        <v>2411</v>
      </c>
      <c r="E121" s="6" t="s">
        <v>2480</v>
      </c>
      <c r="F121" s="6">
        <v>800</v>
      </c>
      <c r="G121" s="6" t="s">
        <v>104</v>
      </c>
      <c r="H121" s="6"/>
      <c r="I121" s="6"/>
      <c r="J121" s="6"/>
      <c r="K121" s="7"/>
      <c r="L121" s="49"/>
      <c r="M121" s="49"/>
      <c r="N121" s="6"/>
      <c r="O121" s="6"/>
      <c r="P121" s="1" t="e">
        <f>VLOOKUP(Table3[[#This Row],[UNIT NO.]],[1]!Table357[[#Headers],[#Data],[Unit '#]:[Application/Sold/ Unsold]],7,0)</f>
        <v>#REF!</v>
      </c>
    </row>
    <row r="122" spans="2:16" x14ac:dyDescent="0.25">
      <c r="B122" s="5">
        <f t="shared" si="1"/>
        <v>119</v>
      </c>
      <c r="C122" s="29"/>
      <c r="D122" s="6" t="s">
        <v>2411</v>
      </c>
      <c r="E122" s="6" t="s">
        <v>2481</v>
      </c>
      <c r="F122" s="6">
        <v>800</v>
      </c>
      <c r="G122" s="6" t="s">
        <v>104</v>
      </c>
      <c r="H122" s="6"/>
      <c r="I122" s="6"/>
      <c r="J122" s="6"/>
      <c r="K122" s="7"/>
      <c r="L122" s="49"/>
      <c r="M122" s="49"/>
      <c r="N122" s="6"/>
      <c r="O122" s="6"/>
      <c r="P122" s="1" t="e">
        <f>VLOOKUP(Table3[[#This Row],[UNIT NO.]],[1]!Table357[[#Headers],[#Data],[Unit '#]:[Application/Sold/ Unsold]],7,0)</f>
        <v>#REF!</v>
      </c>
    </row>
    <row r="123" spans="2:16" x14ac:dyDescent="0.25">
      <c r="B123" s="5">
        <f t="shared" si="1"/>
        <v>120</v>
      </c>
      <c r="C123" s="29"/>
      <c r="D123" s="6" t="s">
        <v>2411</v>
      </c>
      <c r="E123" s="6" t="s">
        <v>2482</v>
      </c>
      <c r="F123" s="6">
        <v>800</v>
      </c>
      <c r="G123" s="6" t="s">
        <v>104</v>
      </c>
      <c r="H123" s="6"/>
      <c r="I123" s="6"/>
      <c r="J123" s="6"/>
      <c r="K123" s="7"/>
      <c r="L123" s="49"/>
      <c r="M123" s="49"/>
      <c r="N123" s="6"/>
      <c r="O123" s="6"/>
      <c r="P123" s="1" t="e">
        <f>VLOOKUP(Table3[[#This Row],[UNIT NO.]],[1]!Table357[[#Headers],[#Data],[Unit '#]:[Application/Sold/ Unsold]],7,0)</f>
        <v>#REF!</v>
      </c>
    </row>
    <row r="124" spans="2:16" x14ac:dyDescent="0.25">
      <c r="B124" s="5">
        <f t="shared" si="1"/>
        <v>121</v>
      </c>
      <c r="C124" s="29"/>
      <c r="D124" s="6" t="s">
        <v>2411</v>
      </c>
      <c r="E124" s="6" t="s">
        <v>2483</v>
      </c>
      <c r="F124" s="6">
        <v>800</v>
      </c>
      <c r="G124" s="6" t="s">
        <v>104</v>
      </c>
      <c r="H124" s="6"/>
      <c r="I124" s="6"/>
      <c r="J124" s="6"/>
      <c r="K124" s="7"/>
      <c r="L124" s="49"/>
      <c r="M124" s="49"/>
      <c r="N124" s="6"/>
      <c r="O124" s="6"/>
      <c r="P124" s="1" t="e">
        <f>VLOOKUP(Table3[[#This Row],[UNIT NO.]],[1]!Table357[[#Headers],[#Data],[Unit '#]:[Application/Sold/ Unsold]],7,0)</f>
        <v>#REF!</v>
      </c>
    </row>
    <row r="125" spans="2:16" x14ac:dyDescent="0.25">
      <c r="B125" s="5">
        <f t="shared" si="1"/>
        <v>122</v>
      </c>
      <c r="C125" s="29"/>
      <c r="D125" s="6" t="s">
        <v>2411</v>
      </c>
      <c r="E125" s="6" t="s">
        <v>2484</v>
      </c>
      <c r="F125" s="6">
        <v>800</v>
      </c>
      <c r="G125" s="6" t="s">
        <v>104</v>
      </c>
      <c r="H125" s="6"/>
      <c r="I125" s="6"/>
      <c r="J125" s="6"/>
      <c r="K125" s="7"/>
      <c r="L125" s="49"/>
      <c r="M125" s="49"/>
      <c r="N125" s="6"/>
      <c r="O125" s="6"/>
      <c r="P125" s="1" t="e">
        <f>VLOOKUP(Table3[[#This Row],[UNIT NO.]],[1]!Table357[[#Headers],[#Data],[Unit '#]:[Application/Sold/ Unsold]],7,0)</f>
        <v>#REF!</v>
      </c>
    </row>
    <row r="126" spans="2:16" x14ac:dyDescent="0.25">
      <c r="B126" s="5">
        <f t="shared" si="1"/>
        <v>123</v>
      </c>
      <c r="C126" s="29"/>
      <c r="D126" s="6" t="s">
        <v>2411</v>
      </c>
      <c r="E126" s="6" t="s">
        <v>2485</v>
      </c>
      <c r="F126" s="6">
        <v>800</v>
      </c>
      <c r="G126" s="6" t="s">
        <v>104</v>
      </c>
      <c r="H126" s="6"/>
      <c r="I126" s="6"/>
      <c r="J126" s="6"/>
      <c r="K126" s="7"/>
      <c r="L126" s="49"/>
      <c r="M126" s="49"/>
      <c r="N126" s="6"/>
      <c r="O126" s="6"/>
      <c r="P126" s="1" t="e">
        <f>VLOOKUP(Table3[[#This Row],[UNIT NO.]],[1]!Table357[[#Headers],[#Data],[Unit '#]:[Application/Sold/ Unsold]],7,0)</f>
        <v>#REF!</v>
      </c>
    </row>
    <row r="127" spans="2:16" x14ac:dyDescent="0.25">
      <c r="B127" s="5">
        <f t="shared" si="1"/>
        <v>124</v>
      </c>
      <c r="C127" s="29"/>
      <c r="D127" s="6" t="s">
        <v>2411</v>
      </c>
      <c r="E127" s="6" t="s">
        <v>2486</v>
      </c>
      <c r="F127" s="6">
        <v>800</v>
      </c>
      <c r="G127" s="6" t="s">
        <v>104</v>
      </c>
      <c r="H127" s="6"/>
      <c r="I127" s="6"/>
      <c r="J127" s="6"/>
      <c r="K127" s="7"/>
      <c r="L127" s="49"/>
      <c r="M127" s="49"/>
      <c r="N127" s="6"/>
      <c r="O127" s="6"/>
      <c r="P127" s="1" t="e">
        <f>VLOOKUP(Table3[[#This Row],[UNIT NO.]],[1]!Table357[[#Headers],[#Data],[Unit '#]:[Application/Sold/ Unsold]],7,0)</f>
        <v>#REF!</v>
      </c>
    </row>
    <row r="128" spans="2:16" x14ac:dyDescent="0.25">
      <c r="B128" s="5">
        <f t="shared" si="1"/>
        <v>125</v>
      </c>
      <c r="C128" s="29"/>
      <c r="D128" s="6" t="s">
        <v>2411</v>
      </c>
      <c r="E128" s="6" t="s">
        <v>2487</v>
      </c>
      <c r="F128" s="6">
        <v>800</v>
      </c>
      <c r="G128" s="6" t="s">
        <v>104</v>
      </c>
      <c r="H128" s="6"/>
      <c r="I128" s="6"/>
      <c r="J128" s="6"/>
      <c r="K128" s="7"/>
      <c r="L128" s="49"/>
      <c r="M128" s="49"/>
      <c r="N128" s="6"/>
      <c r="O128" s="6"/>
      <c r="P128" s="1" t="e">
        <f>VLOOKUP(Table3[[#This Row],[UNIT NO.]],[1]!Table357[[#Headers],[#Data],[Unit '#]:[Application/Sold/ Unsold]],7,0)</f>
        <v>#REF!</v>
      </c>
    </row>
    <row r="129" spans="2:16" x14ac:dyDescent="0.25">
      <c r="B129" s="5">
        <f t="shared" si="1"/>
        <v>126</v>
      </c>
      <c r="C129" s="29"/>
      <c r="D129" s="6" t="s">
        <v>2411</v>
      </c>
      <c r="E129" s="6" t="s">
        <v>2488</v>
      </c>
      <c r="F129" s="6">
        <v>800</v>
      </c>
      <c r="G129" s="6" t="s">
        <v>104</v>
      </c>
      <c r="H129" s="6"/>
      <c r="I129" s="6"/>
      <c r="J129" s="6"/>
      <c r="K129" s="7"/>
      <c r="L129" s="49"/>
      <c r="M129" s="49"/>
      <c r="N129" s="6"/>
      <c r="O129" s="6"/>
      <c r="P129" s="1" t="e">
        <f>VLOOKUP(Table3[[#This Row],[UNIT NO.]],[1]!Table357[[#Headers],[#Data],[Unit '#]:[Application/Sold/ Unsold]],7,0)</f>
        <v>#REF!</v>
      </c>
    </row>
    <row r="130" spans="2:16" x14ac:dyDescent="0.25">
      <c r="B130" s="5">
        <f t="shared" si="1"/>
        <v>127</v>
      </c>
      <c r="C130" s="29"/>
      <c r="D130" s="6" t="s">
        <v>2411</v>
      </c>
      <c r="E130" s="6" t="s">
        <v>2489</v>
      </c>
      <c r="F130" s="6">
        <v>800</v>
      </c>
      <c r="G130" s="6" t="s">
        <v>104</v>
      </c>
      <c r="H130" s="6"/>
      <c r="I130" s="6"/>
      <c r="J130" s="6"/>
      <c r="K130" s="7"/>
      <c r="L130" s="49"/>
      <c r="M130" s="49"/>
      <c r="N130" s="6"/>
      <c r="O130" s="6"/>
      <c r="P130" s="1" t="e">
        <f>VLOOKUP(Table3[[#This Row],[UNIT NO.]],[1]!Table357[[#Headers],[#Data],[Unit '#]:[Application/Sold/ Unsold]],7,0)</f>
        <v>#REF!</v>
      </c>
    </row>
    <row r="131" spans="2:16" x14ac:dyDescent="0.25">
      <c r="B131" s="5">
        <f t="shared" si="1"/>
        <v>128</v>
      </c>
      <c r="C131" s="29"/>
      <c r="D131" s="6" t="s">
        <v>2411</v>
      </c>
      <c r="E131" s="6" t="s">
        <v>2490</v>
      </c>
      <c r="F131" s="6">
        <v>800</v>
      </c>
      <c r="G131" s="6" t="s">
        <v>104</v>
      </c>
      <c r="H131" s="6"/>
      <c r="I131" s="6"/>
      <c r="J131" s="6"/>
      <c r="K131" s="7"/>
      <c r="L131" s="49"/>
      <c r="M131" s="49"/>
      <c r="N131" s="6"/>
      <c r="O131" s="6"/>
      <c r="P131" s="1" t="e">
        <f>VLOOKUP(Table3[[#This Row],[UNIT NO.]],[1]!Table357[[#Headers],[#Data],[Unit '#]:[Application/Sold/ Unsold]],7,0)</f>
        <v>#REF!</v>
      </c>
    </row>
    <row r="132" spans="2:16" x14ac:dyDescent="0.25">
      <c r="B132" s="5">
        <f t="shared" si="1"/>
        <v>129</v>
      </c>
      <c r="C132" s="29"/>
      <c r="D132" s="6" t="s">
        <v>2411</v>
      </c>
      <c r="E132" s="6" t="s">
        <v>2491</v>
      </c>
      <c r="F132" s="6">
        <v>800</v>
      </c>
      <c r="G132" s="6" t="s">
        <v>104</v>
      </c>
      <c r="H132" s="6"/>
      <c r="I132" s="6"/>
      <c r="J132" s="6"/>
      <c r="K132" s="7"/>
      <c r="L132" s="49"/>
      <c r="M132" s="49"/>
      <c r="N132" s="6"/>
      <c r="O132" s="6"/>
      <c r="P132" s="1" t="e">
        <f>VLOOKUP(Table3[[#This Row],[UNIT NO.]],[1]!Table357[[#Headers],[#Data],[Unit '#]:[Application/Sold/ Unsold]],7,0)</f>
        <v>#REF!</v>
      </c>
    </row>
    <row r="133" spans="2:16" x14ac:dyDescent="0.25">
      <c r="B133" s="5">
        <f t="shared" si="1"/>
        <v>130</v>
      </c>
      <c r="C133" s="29"/>
      <c r="D133" s="6" t="s">
        <v>2411</v>
      </c>
      <c r="E133" s="6" t="s">
        <v>2492</v>
      </c>
      <c r="F133" s="6">
        <v>800</v>
      </c>
      <c r="G133" s="6" t="s">
        <v>104</v>
      </c>
      <c r="H133" s="6"/>
      <c r="I133" s="6"/>
      <c r="J133" s="6"/>
      <c r="K133" s="7"/>
      <c r="L133" s="49"/>
      <c r="M133" s="49"/>
      <c r="N133" s="6"/>
      <c r="O133" s="6"/>
      <c r="P133" s="1" t="e">
        <f>VLOOKUP(Table3[[#This Row],[UNIT NO.]],[1]!Table357[[#Headers],[#Data],[Unit '#]:[Application/Sold/ Unsold]],7,0)</f>
        <v>#REF!</v>
      </c>
    </row>
    <row r="134" spans="2:16" x14ac:dyDescent="0.25">
      <c r="B134" s="5">
        <f t="shared" ref="B134:B197" si="2">B133+1</f>
        <v>131</v>
      </c>
      <c r="C134" s="29"/>
      <c r="D134" s="6" t="s">
        <v>2411</v>
      </c>
      <c r="E134" s="6" t="s">
        <v>2493</v>
      </c>
      <c r="F134" s="6">
        <v>800</v>
      </c>
      <c r="G134" s="6" t="s">
        <v>104</v>
      </c>
      <c r="H134" s="6"/>
      <c r="I134" s="6"/>
      <c r="J134" s="6"/>
      <c r="K134" s="7"/>
      <c r="L134" s="49"/>
      <c r="M134" s="49"/>
      <c r="N134" s="6"/>
      <c r="O134" s="6"/>
      <c r="P134" s="1" t="e">
        <f>VLOOKUP(Table3[[#This Row],[UNIT NO.]],[1]!Table357[[#Headers],[#Data],[Unit '#]:[Application/Sold/ Unsold]],7,0)</f>
        <v>#REF!</v>
      </c>
    </row>
    <row r="135" spans="2:16" x14ac:dyDescent="0.25">
      <c r="B135" s="5">
        <f t="shared" si="2"/>
        <v>132</v>
      </c>
      <c r="C135" s="29"/>
      <c r="D135" s="6" t="s">
        <v>2411</v>
      </c>
      <c r="E135" s="6" t="s">
        <v>2494</v>
      </c>
      <c r="F135" s="6">
        <v>800</v>
      </c>
      <c r="G135" s="6" t="s">
        <v>104</v>
      </c>
      <c r="H135" s="6"/>
      <c r="I135" s="6"/>
      <c r="J135" s="6"/>
      <c r="K135" s="7"/>
      <c r="L135" s="49"/>
      <c r="M135" s="49"/>
      <c r="N135" s="6"/>
      <c r="O135" s="6"/>
      <c r="P135" s="1" t="e">
        <f>VLOOKUP(Table3[[#This Row],[UNIT NO.]],[1]!Table357[[#Headers],[#Data],[Unit '#]:[Application/Sold/ Unsold]],7,0)</f>
        <v>#REF!</v>
      </c>
    </row>
    <row r="136" spans="2:16" x14ac:dyDescent="0.25">
      <c r="B136" s="5">
        <f t="shared" si="2"/>
        <v>133</v>
      </c>
      <c r="C136" s="29"/>
      <c r="D136" s="6" t="s">
        <v>2411</v>
      </c>
      <c r="E136" s="6" t="s">
        <v>2495</v>
      </c>
      <c r="F136" s="6">
        <v>800</v>
      </c>
      <c r="G136" s="6" t="s">
        <v>104</v>
      </c>
      <c r="H136" s="6"/>
      <c r="I136" s="6"/>
      <c r="J136" s="6"/>
      <c r="K136" s="7"/>
      <c r="L136" s="49"/>
      <c r="M136" s="49"/>
      <c r="N136" s="6"/>
      <c r="O136" s="6"/>
      <c r="P136" s="1" t="e">
        <f>VLOOKUP(Table3[[#This Row],[UNIT NO.]],[1]!Table357[[#Headers],[#Data],[Unit '#]:[Application/Sold/ Unsold]],7,0)</f>
        <v>#REF!</v>
      </c>
    </row>
    <row r="137" spans="2:16" x14ac:dyDescent="0.25">
      <c r="B137" s="5">
        <f t="shared" si="2"/>
        <v>134</v>
      </c>
      <c r="C137" s="29"/>
      <c r="D137" s="6" t="s">
        <v>2411</v>
      </c>
      <c r="E137" s="6" t="s">
        <v>2496</v>
      </c>
      <c r="F137" s="6">
        <v>800</v>
      </c>
      <c r="G137" s="6" t="s">
        <v>104</v>
      </c>
      <c r="H137" s="6"/>
      <c r="I137" s="6"/>
      <c r="J137" s="6"/>
      <c r="K137" s="7"/>
      <c r="L137" s="49"/>
      <c r="M137" s="49"/>
      <c r="N137" s="6"/>
      <c r="O137" s="6"/>
      <c r="P137" s="1" t="e">
        <f>VLOOKUP(Table3[[#This Row],[UNIT NO.]],[1]!Table357[[#Headers],[#Data],[Unit '#]:[Application/Sold/ Unsold]],7,0)</f>
        <v>#REF!</v>
      </c>
    </row>
    <row r="138" spans="2:16" x14ac:dyDescent="0.25">
      <c r="B138" s="5">
        <f t="shared" si="2"/>
        <v>135</v>
      </c>
      <c r="C138" s="29"/>
      <c r="D138" s="6" t="s">
        <v>2411</v>
      </c>
      <c r="E138" s="6" t="s">
        <v>2497</v>
      </c>
      <c r="F138" s="6">
        <v>800</v>
      </c>
      <c r="G138" s="6" t="s">
        <v>104</v>
      </c>
      <c r="H138" s="6"/>
      <c r="I138" s="6"/>
      <c r="J138" s="6"/>
      <c r="K138" s="7"/>
      <c r="L138" s="49"/>
      <c r="M138" s="49"/>
      <c r="N138" s="6"/>
      <c r="O138" s="6"/>
      <c r="P138" s="1" t="e">
        <f>VLOOKUP(Table3[[#This Row],[UNIT NO.]],[1]!Table357[[#Headers],[#Data],[Unit '#]:[Application/Sold/ Unsold]],7,0)</f>
        <v>#REF!</v>
      </c>
    </row>
    <row r="139" spans="2:16" x14ac:dyDescent="0.25">
      <c r="B139" s="5">
        <f t="shared" si="2"/>
        <v>136</v>
      </c>
      <c r="C139" s="29"/>
      <c r="D139" s="6" t="s">
        <v>2411</v>
      </c>
      <c r="E139" s="6" t="s">
        <v>2498</v>
      </c>
      <c r="F139" s="6">
        <v>800</v>
      </c>
      <c r="G139" s="6" t="s">
        <v>104</v>
      </c>
      <c r="H139" s="6"/>
      <c r="I139" s="6"/>
      <c r="J139" s="6"/>
      <c r="K139" s="7"/>
      <c r="L139" s="49"/>
      <c r="M139" s="49"/>
      <c r="N139" s="6"/>
      <c r="O139" s="6"/>
      <c r="P139" s="1" t="e">
        <f>VLOOKUP(Table3[[#This Row],[UNIT NO.]],[1]!Table357[[#Headers],[#Data],[Unit '#]:[Application/Sold/ Unsold]],7,0)</f>
        <v>#REF!</v>
      </c>
    </row>
    <row r="140" spans="2:16" x14ac:dyDescent="0.25">
      <c r="B140" s="5">
        <f t="shared" si="2"/>
        <v>137</v>
      </c>
      <c r="C140" s="29"/>
      <c r="D140" s="6" t="s">
        <v>2411</v>
      </c>
      <c r="E140" s="6" t="s">
        <v>2499</v>
      </c>
      <c r="F140" s="6">
        <v>800</v>
      </c>
      <c r="G140" s="6" t="s">
        <v>104</v>
      </c>
      <c r="H140" s="6"/>
      <c r="I140" s="6"/>
      <c r="J140" s="6"/>
      <c r="K140" s="7"/>
      <c r="L140" s="49"/>
      <c r="M140" s="49"/>
      <c r="N140" s="6"/>
      <c r="O140" s="6"/>
      <c r="P140" s="1" t="e">
        <f>VLOOKUP(Table3[[#This Row],[UNIT NO.]],[1]!Table357[[#Headers],[#Data],[Unit '#]:[Application/Sold/ Unsold]],7,0)</f>
        <v>#REF!</v>
      </c>
    </row>
    <row r="141" spans="2:16" x14ac:dyDescent="0.25">
      <c r="B141" s="5">
        <f t="shared" si="2"/>
        <v>138</v>
      </c>
      <c r="C141" s="29"/>
      <c r="D141" s="6" t="s">
        <v>2411</v>
      </c>
      <c r="E141" s="6" t="s">
        <v>2500</v>
      </c>
      <c r="F141" s="6">
        <v>800</v>
      </c>
      <c r="G141" s="6" t="s">
        <v>104</v>
      </c>
      <c r="H141" s="6"/>
      <c r="I141" s="6"/>
      <c r="J141" s="6"/>
      <c r="K141" s="7"/>
      <c r="L141" s="49"/>
      <c r="M141" s="49"/>
      <c r="N141" s="6"/>
      <c r="O141" s="6"/>
      <c r="P141" s="1" t="e">
        <f>VLOOKUP(Table3[[#This Row],[UNIT NO.]],[1]!Table357[[#Headers],[#Data],[Unit '#]:[Application/Sold/ Unsold]],7,0)</f>
        <v>#REF!</v>
      </c>
    </row>
    <row r="142" spans="2:16" x14ac:dyDescent="0.25">
      <c r="B142" s="5">
        <f t="shared" si="2"/>
        <v>139</v>
      </c>
      <c r="C142" s="29"/>
      <c r="D142" s="6" t="s">
        <v>2411</v>
      </c>
      <c r="E142" s="6" t="s">
        <v>2501</v>
      </c>
      <c r="F142" s="6">
        <v>800</v>
      </c>
      <c r="G142" s="6" t="s">
        <v>104</v>
      </c>
      <c r="H142" s="6"/>
      <c r="I142" s="6"/>
      <c r="J142" s="6"/>
      <c r="K142" s="7"/>
      <c r="L142" s="49"/>
      <c r="M142" s="49"/>
      <c r="N142" s="6"/>
      <c r="O142" s="6"/>
      <c r="P142" s="1" t="e">
        <f>VLOOKUP(Table3[[#This Row],[UNIT NO.]],[1]!Table357[[#Headers],[#Data],[Unit '#]:[Application/Sold/ Unsold]],7,0)</f>
        <v>#REF!</v>
      </c>
    </row>
    <row r="143" spans="2:16" x14ac:dyDescent="0.25">
      <c r="B143" s="5">
        <f t="shared" si="2"/>
        <v>140</v>
      </c>
      <c r="C143" s="29"/>
      <c r="D143" s="6" t="s">
        <v>2411</v>
      </c>
      <c r="E143" s="6" t="s">
        <v>2502</v>
      </c>
      <c r="F143" s="6">
        <v>800</v>
      </c>
      <c r="G143" s="6" t="s">
        <v>104</v>
      </c>
      <c r="H143" s="6"/>
      <c r="I143" s="6"/>
      <c r="J143" s="6"/>
      <c r="K143" s="7"/>
      <c r="L143" s="49"/>
      <c r="M143" s="49"/>
      <c r="N143" s="6"/>
      <c r="O143" s="6"/>
      <c r="P143" s="1" t="e">
        <f>VLOOKUP(Table3[[#This Row],[UNIT NO.]],[1]!Table357[[#Headers],[#Data],[Unit '#]:[Application/Sold/ Unsold]],7,0)</f>
        <v>#REF!</v>
      </c>
    </row>
    <row r="144" spans="2:16" x14ac:dyDescent="0.25">
      <c r="B144" s="5">
        <f t="shared" si="2"/>
        <v>141</v>
      </c>
      <c r="C144" s="29"/>
      <c r="D144" s="6" t="s">
        <v>2411</v>
      </c>
      <c r="E144" s="6" t="s">
        <v>2503</v>
      </c>
      <c r="F144" s="6">
        <v>800</v>
      </c>
      <c r="G144" s="6" t="s">
        <v>104</v>
      </c>
      <c r="H144" s="6"/>
      <c r="I144" s="6"/>
      <c r="J144" s="6"/>
      <c r="K144" s="7"/>
      <c r="L144" s="49"/>
      <c r="M144" s="49"/>
      <c r="N144" s="6"/>
      <c r="O144" s="6"/>
      <c r="P144" s="1" t="e">
        <f>VLOOKUP(Table3[[#This Row],[UNIT NO.]],[1]!Table357[[#Headers],[#Data],[Unit '#]:[Application/Sold/ Unsold]],7,0)</f>
        <v>#REF!</v>
      </c>
    </row>
    <row r="145" spans="2:16" x14ac:dyDescent="0.25">
      <c r="B145" s="5">
        <f t="shared" si="2"/>
        <v>142</v>
      </c>
      <c r="C145" s="29"/>
      <c r="D145" s="6" t="s">
        <v>2411</v>
      </c>
      <c r="E145" s="6" t="s">
        <v>2504</v>
      </c>
      <c r="F145" s="6">
        <v>800</v>
      </c>
      <c r="G145" s="6" t="s">
        <v>104</v>
      </c>
      <c r="H145" s="6"/>
      <c r="I145" s="6"/>
      <c r="J145" s="6"/>
      <c r="K145" s="7"/>
      <c r="L145" s="49"/>
      <c r="M145" s="49"/>
      <c r="N145" s="6"/>
      <c r="O145" s="6"/>
      <c r="P145" s="1" t="e">
        <f>VLOOKUP(Table3[[#This Row],[UNIT NO.]],[1]!Table357[[#Headers],[#Data],[Unit '#]:[Application/Sold/ Unsold]],7,0)</f>
        <v>#REF!</v>
      </c>
    </row>
    <row r="146" spans="2:16" x14ac:dyDescent="0.25">
      <c r="B146" s="5">
        <f t="shared" si="2"/>
        <v>143</v>
      </c>
      <c r="C146" s="29"/>
      <c r="D146" s="6" t="s">
        <v>2411</v>
      </c>
      <c r="E146" s="6" t="s">
        <v>2505</v>
      </c>
      <c r="F146" s="6">
        <v>800</v>
      </c>
      <c r="G146" s="6" t="s">
        <v>104</v>
      </c>
      <c r="H146" s="6"/>
      <c r="I146" s="6"/>
      <c r="J146" s="6"/>
      <c r="K146" s="7"/>
      <c r="L146" s="49"/>
      <c r="M146" s="49"/>
      <c r="N146" s="6"/>
      <c r="O146" s="6"/>
      <c r="P146" s="1" t="e">
        <f>VLOOKUP(Table3[[#This Row],[UNIT NO.]],[1]!Table357[[#Headers],[#Data],[Unit '#]:[Application/Sold/ Unsold]],7,0)</f>
        <v>#REF!</v>
      </c>
    </row>
    <row r="147" spans="2:16" x14ac:dyDescent="0.25">
      <c r="B147" s="5">
        <f t="shared" si="2"/>
        <v>144</v>
      </c>
      <c r="C147" s="29"/>
      <c r="D147" s="6" t="s">
        <v>2411</v>
      </c>
      <c r="E147" s="6" t="s">
        <v>2506</v>
      </c>
      <c r="F147" s="6">
        <v>800</v>
      </c>
      <c r="G147" s="6" t="s">
        <v>104</v>
      </c>
      <c r="H147" s="6"/>
      <c r="I147" s="6"/>
      <c r="J147" s="6"/>
      <c r="K147" s="7"/>
      <c r="L147" s="49"/>
      <c r="M147" s="49"/>
      <c r="N147" s="6"/>
      <c r="O147" s="6"/>
      <c r="P147" s="1" t="e">
        <f>VLOOKUP(Table3[[#This Row],[UNIT NO.]],[1]!Table357[[#Headers],[#Data],[Unit '#]:[Application/Sold/ Unsold]],7,0)</f>
        <v>#REF!</v>
      </c>
    </row>
    <row r="148" spans="2:16" x14ac:dyDescent="0.25">
      <c r="B148" s="5">
        <f t="shared" si="2"/>
        <v>145</v>
      </c>
      <c r="C148" s="29"/>
      <c r="D148" s="6" t="s">
        <v>2411</v>
      </c>
      <c r="E148" s="6" t="s">
        <v>2507</v>
      </c>
      <c r="F148" s="6">
        <v>800</v>
      </c>
      <c r="G148" s="6" t="s">
        <v>104</v>
      </c>
      <c r="H148" s="6"/>
      <c r="I148" s="6"/>
      <c r="J148" s="6"/>
      <c r="K148" s="7"/>
      <c r="L148" s="49"/>
      <c r="M148" s="49"/>
      <c r="N148" s="6"/>
      <c r="O148" s="6"/>
      <c r="P148" s="1" t="e">
        <f>VLOOKUP(Table3[[#This Row],[UNIT NO.]],[1]!Table357[[#Headers],[#Data],[Unit '#]:[Application/Sold/ Unsold]],7,0)</f>
        <v>#REF!</v>
      </c>
    </row>
    <row r="149" spans="2:16" x14ac:dyDescent="0.25">
      <c r="B149" s="5">
        <f t="shared" si="2"/>
        <v>146</v>
      </c>
      <c r="C149" s="29"/>
      <c r="D149" s="6" t="s">
        <v>2411</v>
      </c>
      <c r="E149" s="6" t="s">
        <v>2508</v>
      </c>
      <c r="F149" s="6">
        <v>800</v>
      </c>
      <c r="G149" s="6" t="s">
        <v>104</v>
      </c>
      <c r="H149" s="6"/>
      <c r="I149" s="6"/>
      <c r="J149" s="6"/>
      <c r="K149" s="7"/>
      <c r="L149" s="49"/>
      <c r="M149" s="49"/>
      <c r="N149" s="6"/>
      <c r="O149" s="6"/>
      <c r="P149" s="1" t="e">
        <f>VLOOKUP(Table3[[#This Row],[UNIT NO.]],[1]!Table357[[#Headers],[#Data],[Unit '#]:[Application/Sold/ Unsold]],7,0)</f>
        <v>#REF!</v>
      </c>
    </row>
    <row r="150" spans="2:16" x14ac:dyDescent="0.25">
      <c r="B150" s="5">
        <f t="shared" si="2"/>
        <v>147</v>
      </c>
      <c r="C150" s="29"/>
      <c r="D150" s="6" t="s">
        <v>2411</v>
      </c>
      <c r="E150" s="6" t="s">
        <v>2509</v>
      </c>
      <c r="F150" s="6">
        <v>800</v>
      </c>
      <c r="G150" s="6" t="s">
        <v>104</v>
      </c>
      <c r="H150" s="6"/>
      <c r="I150" s="6"/>
      <c r="J150" s="6"/>
      <c r="K150" s="7"/>
      <c r="L150" s="49"/>
      <c r="M150" s="49"/>
      <c r="N150" s="6"/>
      <c r="O150" s="6"/>
      <c r="P150" s="1" t="e">
        <f>VLOOKUP(Table3[[#This Row],[UNIT NO.]],[1]!Table357[[#Headers],[#Data],[Unit '#]:[Application/Sold/ Unsold]],7,0)</f>
        <v>#REF!</v>
      </c>
    </row>
    <row r="151" spans="2:16" x14ac:dyDescent="0.25">
      <c r="B151" s="5">
        <f t="shared" si="2"/>
        <v>148</v>
      </c>
      <c r="C151" s="29"/>
      <c r="D151" s="6" t="s">
        <v>2411</v>
      </c>
      <c r="E151" s="6" t="s">
        <v>2510</v>
      </c>
      <c r="F151" s="6">
        <v>800</v>
      </c>
      <c r="G151" s="6" t="s">
        <v>104</v>
      </c>
      <c r="H151" s="6"/>
      <c r="I151" s="6"/>
      <c r="J151" s="6"/>
      <c r="K151" s="7"/>
      <c r="L151" s="49"/>
      <c r="M151" s="49"/>
      <c r="N151" s="6"/>
      <c r="O151" s="6"/>
      <c r="P151" s="1" t="e">
        <f>VLOOKUP(Table3[[#This Row],[UNIT NO.]],[1]!Table357[[#Headers],[#Data],[Unit '#]:[Application/Sold/ Unsold]],7,0)</f>
        <v>#REF!</v>
      </c>
    </row>
    <row r="152" spans="2:16" x14ac:dyDescent="0.25">
      <c r="B152" s="5">
        <f t="shared" si="2"/>
        <v>149</v>
      </c>
      <c r="C152" s="29"/>
      <c r="D152" s="6" t="s">
        <v>2411</v>
      </c>
      <c r="E152" s="6" t="s">
        <v>2511</v>
      </c>
      <c r="F152" s="6">
        <v>800</v>
      </c>
      <c r="G152" s="6" t="s">
        <v>104</v>
      </c>
      <c r="H152" s="6"/>
      <c r="I152" s="6"/>
      <c r="J152" s="6"/>
      <c r="K152" s="7"/>
      <c r="L152" s="49"/>
      <c r="M152" s="49"/>
      <c r="N152" s="6"/>
      <c r="O152" s="6"/>
      <c r="P152" s="1" t="e">
        <f>VLOOKUP(Table3[[#This Row],[UNIT NO.]],[1]!Table357[[#Headers],[#Data],[Unit '#]:[Application/Sold/ Unsold]],7,0)</f>
        <v>#REF!</v>
      </c>
    </row>
    <row r="153" spans="2:16" x14ac:dyDescent="0.25">
      <c r="B153" s="5">
        <f t="shared" si="2"/>
        <v>150</v>
      </c>
      <c r="C153" s="29"/>
      <c r="D153" s="6" t="s">
        <v>2411</v>
      </c>
      <c r="E153" s="6" t="s">
        <v>2512</v>
      </c>
      <c r="F153" s="6">
        <v>800</v>
      </c>
      <c r="G153" s="6" t="s">
        <v>104</v>
      </c>
      <c r="H153" s="6"/>
      <c r="I153" s="6"/>
      <c r="J153" s="6"/>
      <c r="K153" s="7"/>
      <c r="L153" s="49"/>
      <c r="M153" s="49"/>
      <c r="N153" s="6"/>
      <c r="O153" s="6"/>
      <c r="P153" s="1" t="e">
        <f>VLOOKUP(Table3[[#This Row],[UNIT NO.]],[1]!Table357[[#Headers],[#Data],[Unit '#]:[Application/Sold/ Unsold]],7,0)</f>
        <v>#REF!</v>
      </c>
    </row>
    <row r="154" spans="2:16" x14ac:dyDescent="0.25">
      <c r="B154" s="5">
        <f t="shared" si="2"/>
        <v>151</v>
      </c>
      <c r="C154" s="29"/>
      <c r="D154" s="6" t="s">
        <v>2411</v>
      </c>
      <c r="E154" s="6" t="s">
        <v>2513</v>
      </c>
      <c r="F154" s="6">
        <v>800</v>
      </c>
      <c r="G154" s="6" t="s">
        <v>104</v>
      </c>
      <c r="H154" s="6"/>
      <c r="I154" s="6"/>
      <c r="J154" s="6"/>
      <c r="K154" s="7"/>
      <c r="L154" s="49"/>
      <c r="M154" s="49"/>
      <c r="N154" s="6"/>
      <c r="O154" s="6"/>
      <c r="P154" s="1" t="e">
        <f>VLOOKUP(Table3[[#This Row],[UNIT NO.]],[1]!Table357[[#Headers],[#Data],[Unit '#]:[Application/Sold/ Unsold]],7,0)</f>
        <v>#REF!</v>
      </c>
    </row>
    <row r="155" spans="2:16" x14ac:dyDescent="0.25">
      <c r="B155" s="5">
        <f t="shared" si="2"/>
        <v>152</v>
      </c>
      <c r="C155" s="29"/>
      <c r="D155" s="6" t="s">
        <v>2411</v>
      </c>
      <c r="E155" s="6" t="s">
        <v>2514</v>
      </c>
      <c r="F155" s="6">
        <v>800</v>
      </c>
      <c r="G155" s="6" t="s">
        <v>104</v>
      </c>
      <c r="H155" s="6"/>
      <c r="I155" s="6"/>
      <c r="J155" s="6"/>
      <c r="K155" s="7"/>
      <c r="L155" s="49"/>
      <c r="M155" s="49"/>
      <c r="N155" s="6"/>
      <c r="O155" s="6"/>
      <c r="P155" s="1" t="e">
        <f>VLOOKUP(Table3[[#This Row],[UNIT NO.]],[1]!Table357[[#Headers],[#Data],[Unit '#]:[Application/Sold/ Unsold]],7,0)</f>
        <v>#REF!</v>
      </c>
    </row>
    <row r="156" spans="2:16" x14ac:dyDescent="0.25">
      <c r="B156" s="5">
        <f t="shared" si="2"/>
        <v>153</v>
      </c>
      <c r="C156" s="33"/>
      <c r="D156" s="6" t="s">
        <v>2411</v>
      </c>
      <c r="E156" s="6" t="s">
        <v>2515</v>
      </c>
      <c r="F156" s="6">
        <v>800</v>
      </c>
      <c r="G156" s="6" t="s">
        <v>104</v>
      </c>
      <c r="H156" s="6"/>
      <c r="I156" s="6"/>
      <c r="J156" s="6"/>
      <c r="K156" s="58"/>
      <c r="L156" s="51"/>
      <c r="M156" s="49"/>
      <c r="N156" s="6"/>
      <c r="O156" s="6"/>
      <c r="P156" s="1" t="e">
        <f>VLOOKUP(Table3[[#This Row],[UNIT NO.]],[1]!Table357[[#Headers],[#Data],[Unit '#]:[Application/Sold/ Unsold]],7,0)</f>
        <v>#REF!</v>
      </c>
    </row>
    <row r="157" spans="2:16" x14ac:dyDescent="0.25">
      <c r="B157" s="5">
        <f t="shared" si="2"/>
        <v>154</v>
      </c>
      <c r="C157" s="29"/>
      <c r="D157" s="6" t="s">
        <v>2411</v>
      </c>
      <c r="E157" s="6" t="s">
        <v>2516</v>
      </c>
      <c r="F157" s="6">
        <v>800</v>
      </c>
      <c r="G157" s="6" t="s">
        <v>104</v>
      </c>
      <c r="H157" s="6"/>
      <c r="I157" s="6"/>
      <c r="J157" s="6"/>
      <c r="K157" s="7"/>
      <c r="L157" s="49"/>
      <c r="M157" s="49"/>
      <c r="N157" s="6"/>
      <c r="O157" s="6"/>
      <c r="P157" s="1" t="e">
        <f>VLOOKUP(Table3[[#This Row],[UNIT NO.]],[1]!Table357[[#Headers],[#Data],[Unit '#]:[Application/Sold/ Unsold]],7,0)</f>
        <v>#REF!</v>
      </c>
    </row>
    <row r="158" spans="2:16" x14ac:dyDescent="0.25">
      <c r="B158" s="5">
        <f t="shared" si="2"/>
        <v>155</v>
      </c>
      <c r="C158" s="29"/>
      <c r="D158" s="6" t="s">
        <v>2411</v>
      </c>
      <c r="E158" s="6" t="s">
        <v>2517</v>
      </c>
      <c r="F158" s="6">
        <v>800</v>
      </c>
      <c r="G158" s="6" t="s">
        <v>104</v>
      </c>
      <c r="H158" s="6"/>
      <c r="I158" s="6"/>
      <c r="J158" s="6"/>
      <c r="K158" s="7"/>
      <c r="L158" s="49"/>
      <c r="M158" s="49"/>
      <c r="N158" s="6"/>
      <c r="O158" s="6"/>
      <c r="P158" s="1" t="e">
        <f>VLOOKUP(Table3[[#This Row],[UNIT NO.]],[1]!Table357[[#Headers],[#Data],[Unit '#]:[Application/Sold/ Unsold]],7,0)</f>
        <v>#REF!</v>
      </c>
    </row>
    <row r="159" spans="2:16" x14ac:dyDescent="0.25">
      <c r="B159" s="5">
        <f t="shared" si="2"/>
        <v>156</v>
      </c>
      <c r="C159" s="29"/>
      <c r="D159" s="6" t="s">
        <v>2411</v>
      </c>
      <c r="E159" s="6" t="s">
        <v>2518</v>
      </c>
      <c r="F159" s="6">
        <v>800</v>
      </c>
      <c r="G159" s="6" t="s">
        <v>104</v>
      </c>
      <c r="H159" s="6"/>
      <c r="I159" s="6"/>
      <c r="J159" s="6"/>
      <c r="K159" s="7"/>
      <c r="L159" s="49"/>
      <c r="M159" s="49"/>
      <c r="N159" s="6"/>
      <c r="O159" s="6"/>
      <c r="P159" s="1" t="e">
        <f>VLOOKUP(Table3[[#This Row],[UNIT NO.]],[1]!Table357[[#Headers],[#Data],[Unit '#]:[Application/Sold/ Unsold]],7,0)</f>
        <v>#REF!</v>
      </c>
    </row>
    <row r="160" spans="2:16" x14ac:dyDescent="0.25">
      <c r="B160" s="5">
        <f t="shared" si="2"/>
        <v>157</v>
      </c>
      <c r="C160" s="29"/>
      <c r="D160" s="6" t="s">
        <v>2411</v>
      </c>
      <c r="E160" s="6" t="s">
        <v>2519</v>
      </c>
      <c r="F160" s="6">
        <v>800</v>
      </c>
      <c r="G160" s="6" t="s">
        <v>104</v>
      </c>
      <c r="H160" s="6"/>
      <c r="I160" s="6"/>
      <c r="J160" s="6"/>
      <c r="K160" s="7"/>
      <c r="L160" s="49"/>
      <c r="M160" s="49"/>
      <c r="N160" s="6"/>
      <c r="O160" s="6"/>
      <c r="P160" s="1" t="e">
        <f>VLOOKUP(Table3[[#This Row],[UNIT NO.]],[1]!Table357[[#Headers],[#Data],[Unit '#]:[Application/Sold/ Unsold]],7,0)</f>
        <v>#REF!</v>
      </c>
    </row>
    <row r="161" spans="2:16" x14ac:dyDescent="0.25">
      <c r="B161" s="5">
        <f t="shared" si="2"/>
        <v>158</v>
      </c>
      <c r="C161" s="29"/>
      <c r="D161" s="6" t="s">
        <v>2411</v>
      </c>
      <c r="E161" s="6" t="s">
        <v>2520</v>
      </c>
      <c r="F161" s="6">
        <v>800</v>
      </c>
      <c r="G161" s="6" t="s">
        <v>104</v>
      </c>
      <c r="H161" s="6"/>
      <c r="I161" s="6"/>
      <c r="J161" s="6"/>
      <c r="K161" s="7"/>
      <c r="L161" s="49"/>
      <c r="M161" s="49"/>
      <c r="N161" s="6"/>
      <c r="O161" s="6"/>
      <c r="P161" s="1" t="e">
        <f>VLOOKUP(Table3[[#This Row],[UNIT NO.]],[1]!Table357[[#Headers],[#Data],[Unit '#]:[Application/Sold/ Unsold]],7,0)</f>
        <v>#REF!</v>
      </c>
    </row>
    <row r="162" spans="2:16" x14ac:dyDescent="0.25">
      <c r="B162" s="5">
        <f t="shared" si="2"/>
        <v>159</v>
      </c>
      <c r="C162" s="29"/>
      <c r="D162" s="6" t="s">
        <v>2411</v>
      </c>
      <c r="E162" s="6" t="s">
        <v>2521</v>
      </c>
      <c r="F162" s="6">
        <v>800</v>
      </c>
      <c r="G162" s="6" t="s">
        <v>104</v>
      </c>
      <c r="H162" s="6"/>
      <c r="I162" s="6"/>
      <c r="J162" s="6"/>
      <c r="K162" s="7"/>
      <c r="L162" s="49"/>
      <c r="M162" s="49"/>
      <c r="N162" s="6"/>
      <c r="O162" s="6"/>
      <c r="P162" s="1" t="e">
        <f>VLOOKUP(Table3[[#This Row],[UNIT NO.]],[1]!Table357[[#Headers],[#Data],[Unit '#]:[Application/Sold/ Unsold]],7,0)</f>
        <v>#REF!</v>
      </c>
    </row>
    <row r="163" spans="2:16" x14ac:dyDescent="0.25">
      <c r="B163" s="5">
        <f t="shared" si="2"/>
        <v>160</v>
      </c>
      <c r="C163" s="29"/>
      <c r="D163" s="6" t="s">
        <v>2411</v>
      </c>
      <c r="E163" s="6" t="s">
        <v>2522</v>
      </c>
      <c r="F163" s="6">
        <v>800</v>
      </c>
      <c r="G163" s="6" t="s">
        <v>104</v>
      </c>
      <c r="H163" s="6"/>
      <c r="I163" s="6"/>
      <c r="J163" s="6"/>
      <c r="K163" s="7"/>
      <c r="L163" s="49"/>
      <c r="M163" s="49"/>
      <c r="N163" s="6"/>
      <c r="O163" s="6"/>
      <c r="P163" s="1" t="e">
        <f>VLOOKUP(Table3[[#This Row],[UNIT NO.]],[1]!Table357[[#Headers],[#Data],[Unit '#]:[Application/Sold/ Unsold]],7,0)</f>
        <v>#REF!</v>
      </c>
    </row>
    <row r="164" spans="2:16" x14ac:dyDescent="0.25">
      <c r="B164" s="5">
        <f t="shared" si="2"/>
        <v>161</v>
      </c>
      <c r="C164" s="29"/>
      <c r="D164" s="6" t="s">
        <v>2411</v>
      </c>
      <c r="E164" s="6" t="s">
        <v>2523</v>
      </c>
      <c r="F164" s="6">
        <v>800</v>
      </c>
      <c r="G164" s="6" t="s">
        <v>104</v>
      </c>
      <c r="H164" s="6"/>
      <c r="I164" s="6"/>
      <c r="J164" s="6"/>
      <c r="K164" s="7"/>
      <c r="L164" s="49"/>
      <c r="M164" s="49"/>
      <c r="N164" s="6"/>
      <c r="O164" s="6"/>
      <c r="P164" s="1" t="e">
        <f>VLOOKUP(Table3[[#This Row],[UNIT NO.]],[1]!Table357[[#Headers],[#Data],[Unit '#]:[Application/Sold/ Unsold]],7,0)</f>
        <v>#REF!</v>
      </c>
    </row>
    <row r="165" spans="2:16" x14ac:dyDescent="0.25">
      <c r="B165" s="5">
        <f t="shared" si="2"/>
        <v>162</v>
      </c>
      <c r="C165" s="29"/>
      <c r="D165" s="6" t="s">
        <v>2411</v>
      </c>
      <c r="E165" s="6" t="s">
        <v>2524</v>
      </c>
      <c r="F165" s="6">
        <v>800</v>
      </c>
      <c r="G165" s="6" t="s">
        <v>104</v>
      </c>
      <c r="H165" s="6"/>
      <c r="I165" s="6"/>
      <c r="J165" s="6"/>
      <c r="K165" s="7"/>
      <c r="L165" s="49"/>
      <c r="M165" s="49"/>
      <c r="N165" s="6"/>
      <c r="O165" s="6"/>
      <c r="P165" s="1" t="e">
        <f>VLOOKUP(Table3[[#This Row],[UNIT NO.]],[1]!Table357[[#Headers],[#Data],[Unit '#]:[Application/Sold/ Unsold]],7,0)</f>
        <v>#REF!</v>
      </c>
    </row>
    <row r="166" spans="2:16" x14ac:dyDescent="0.25">
      <c r="B166" s="5">
        <f t="shared" si="2"/>
        <v>163</v>
      </c>
      <c r="C166" s="29"/>
      <c r="D166" s="6" t="s">
        <v>2411</v>
      </c>
      <c r="E166" s="6" t="s">
        <v>2525</v>
      </c>
      <c r="F166" s="6">
        <v>800</v>
      </c>
      <c r="G166" s="6" t="s">
        <v>104</v>
      </c>
      <c r="H166" s="6"/>
      <c r="I166" s="6"/>
      <c r="J166" s="6"/>
      <c r="K166" s="7"/>
      <c r="L166" s="49"/>
      <c r="M166" s="49"/>
      <c r="N166" s="6"/>
      <c r="O166" s="6"/>
      <c r="P166" s="1" t="e">
        <f>VLOOKUP(Table3[[#This Row],[UNIT NO.]],[1]!Table357[[#Headers],[#Data],[Unit '#]:[Application/Sold/ Unsold]],7,0)</f>
        <v>#REF!</v>
      </c>
    </row>
    <row r="167" spans="2:16" x14ac:dyDescent="0.25">
      <c r="B167" s="5">
        <f t="shared" si="2"/>
        <v>164</v>
      </c>
      <c r="C167" s="29"/>
      <c r="D167" s="6" t="s">
        <v>2411</v>
      </c>
      <c r="E167" s="6" t="s">
        <v>2526</v>
      </c>
      <c r="F167" s="6">
        <v>800</v>
      </c>
      <c r="G167" s="6" t="s">
        <v>104</v>
      </c>
      <c r="H167" s="6"/>
      <c r="I167" s="6"/>
      <c r="J167" s="6"/>
      <c r="K167" s="7"/>
      <c r="L167" s="49"/>
      <c r="M167" s="49"/>
      <c r="N167" s="6"/>
      <c r="O167" s="6"/>
      <c r="P167" s="1" t="e">
        <f>VLOOKUP(Table3[[#This Row],[UNIT NO.]],[1]!Table357[[#Headers],[#Data],[Unit '#]:[Application/Sold/ Unsold]],7,0)</f>
        <v>#REF!</v>
      </c>
    </row>
    <row r="168" spans="2:16" x14ac:dyDescent="0.25">
      <c r="B168" s="5">
        <f t="shared" si="2"/>
        <v>165</v>
      </c>
      <c r="C168" s="29"/>
      <c r="D168" s="6" t="s">
        <v>2527</v>
      </c>
      <c r="E168" s="6" t="s">
        <v>2528</v>
      </c>
      <c r="F168" s="6">
        <v>1000</v>
      </c>
      <c r="G168" s="6" t="s">
        <v>104</v>
      </c>
      <c r="H168" s="6"/>
      <c r="I168" s="6"/>
      <c r="J168" s="6"/>
      <c r="K168" s="7"/>
      <c r="L168" s="49"/>
      <c r="M168" s="49"/>
      <c r="N168" s="6"/>
      <c r="O168" s="6"/>
      <c r="P168" s="1" t="e">
        <f>VLOOKUP(Table3[[#This Row],[UNIT NO.]],[1]!Table357[[#Headers],[#Data],[Unit '#]:[Application/Sold/ Unsold]],7,0)</f>
        <v>#REF!</v>
      </c>
    </row>
    <row r="169" spans="2:16" x14ac:dyDescent="0.25">
      <c r="B169" s="5">
        <f t="shared" si="2"/>
        <v>166</v>
      </c>
      <c r="C169" s="29"/>
      <c r="D169" s="6" t="s">
        <v>2527</v>
      </c>
      <c r="E169" s="6" t="s">
        <v>2529</v>
      </c>
      <c r="F169" s="6">
        <v>1000</v>
      </c>
      <c r="G169" s="6" t="s">
        <v>104</v>
      </c>
      <c r="H169" s="6"/>
      <c r="I169" s="6"/>
      <c r="J169" s="6"/>
      <c r="K169" s="7"/>
      <c r="L169" s="49"/>
      <c r="M169" s="49"/>
      <c r="N169" s="6"/>
      <c r="O169" s="6"/>
      <c r="P169" s="1" t="e">
        <f>VLOOKUP(Table3[[#This Row],[UNIT NO.]],[1]!Table357[[#Headers],[#Data],[Unit '#]:[Application/Sold/ Unsold]],7,0)</f>
        <v>#REF!</v>
      </c>
    </row>
    <row r="170" spans="2:16" x14ac:dyDescent="0.25">
      <c r="B170" s="5">
        <f t="shared" si="2"/>
        <v>167</v>
      </c>
      <c r="C170" s="29"/>
      <c r="D170" s="6" t="s">
        <v>2527</v>
      </c>
      <c r="E170" s="6" t="s">
        <v>2530</v>
      </c>
      <c r="F170" s="6">
        <v>1000</v>
      </c>
      <c r="G170" s="6" t="s">
        <v>104</v>
      </c>
      <c r="H170" s="6"/>
      <c r="I170" s="6"/>
      <c r="J170" s="6"/>
      <c r="K170" s="7"/>
      <c r="L170" s="49"/>
      <c r="M170" s="49"/>
      <c r="N170" s="6"/>
      <c r="O170" s="6"/>
      <c r="P170" s="1" t="e">
        <f>VLOOKUP(Table3[[#This Row],[UNIT NO.]],[1]!Table357[[#Headers],[#Data],[Unit '#]:[Application/Sold/ Unsold]],7,0)</f>
        <v>#REF!</v>
      </c>
    </row>
    <row r="171" spans="2:16" x14ac:dyDescent="0.25">
      <c r="B171" s="5">
        <f t="shared" si="2"/>
        <v>168</v>
      </c>
      <c r="C171" s="33"/>
      <c r="D171" s="6" t="s">
        <v>2527</v>
      </c>
      <c r="E171" s="6" t="s">
        <v>2531</v>
      </c>
      <c r="F171" s="6">
        <v>1000</v>
      </c>
      <c r="G171" s="6" t="s">
        <v>104</v>
      </c>
      <c r="H171" s="6"/>
      <c r="I171" s="6"/>
      <c r="J171" s="6"/>
      <c r="K171" s="58"/>
      <c r="L171" s="36"/>
      <c r="M171" s="30"/>
      <c r="N171" s="6"/>
      <c r="O171" s="6"/>
      <c r="P171" s="1" t="e">
        <f>VLOOKUP(Table3[[#This Row],[UNIT NO.]],[1]!Table357[[#Headers],[#Data],[Unit '#]:[Application/Sold/ Unsold]],7,0)</f>
        <v>#REF!</v>
      </c>
    </row>
    <row r="172" spans="2:16" x14ac:dyDescent="0.25">
      <c r="B172" s="5">
        <f t="shared" si="2"/>
        <v>169</v>
      </c>
      <c r="C172" s="29"/>
      <c r="D172" s="6" t="s">
        <v>2527</v>
      </c>
      <c r="E172" s="6" t="s">
        <v>2532</v>
      </c>
      <c r="F172" s="6">
        <v>1000</v>
      </c>
      <c r="G172" s="6" t="s">
        <v>104</v>
      </c>
      <c r="H172" s="6"/>
      <c r="I172" s="6"/>
      <c r="J172" s="6"/>
      <c r="K172" s="7"/>
      <c r="L172" s="49"/>
      <c r="M172" s="49"/>
      <c r="N172" s="6"/>
      <c r="O172" s="6"/>
      <c r="P172" s="1" t="e">
        <f>VLOOKUP(Table3[[#This Row],[UNIT NO.]],[1]!Table357[[#Headers],[#Data],[Unit '#]:[Application/Sold/ Unsold]],7,0)</f>
        <v>#REF!</v>
      </c>
    </row>
    <row r="173" spans="2:16" x14ac:dyDescent="0.25">
      <c r="B173" s="5">
        <f t="shared" si="2"/>
        <v>170</v>
      </c>
      <c r="C173" s="29"/>
      <c r="D173" s="6" t="s">
        <v>2527</v>
      </c>
      <c r="E173" s="6" t="s">
        <v>2533</v>
      </c>
      <c r="F173" s="6">
        <v>1000</v>
      </c>
      <c r="G173" s="6" t="s">
        <v>104</v>
      </c>
      <c r="H173" s="6"/>
      <c r="I173" s="6"/>
      <c r="J173" s="6"/>
      <c r="K173" s="7"/>
      <c r="L173" s="49"/>
      <c r="M173" s="49"/>
      <c r="N173" s="6"/>
      <c r="O173" s="6"/>
      <c r="P173" s="1" t="e">
        <f>VLOOKUP(Table3[[#This Row],[UNIT NO.]],[1]!Table357[[#Headers],[#Data],[Unit '#]:[Application/Sold/ Unsold]],7,0)</f>
        <v>#REF!</v>
      </c>
    </row>
    <row r="174" spans="2:16" x14ac:dyDescent="0.25">
      <c r="B174" s="5">
        <f t="shared" si="2"/>
        <v>171</v>
      </c>
      <c r="C174" s="29"/>
      <c r="D174" s="6" t="s">
        <v>2527</v>
      </c>
      <c r="E174" s="6" t="s">
        <v>2534</v>
      </c>
      <c r="F174" s="6">
        <v>1000</v>
      </c>
      <c r="G174" s="6" t="s">
        <v>104</v>
      </c>
      <c r="H174" s="6"/>
      <c r="I174" s="6"/>
      <c r="J174" s="6"/>
      <c r="K174" s="7"/>
      <c r="L174" s="49"/>
      <c r="M174" s="49"/>
      <c r="N174" s="6"/>
      <c r="O174" s="6"/>
      <c r="P174" s="1" t="e">
        <f>VLOOKUP(Table3[[#This Row],[UNIT NO.]],[1]!Table357[[#Headers],[#Data],[Unit '#]:[Application/Sold/ Unsold]],7,0)</f>
        <v>#REF!</v>
      </c>
    </row>
    <row r="175" spans="2:16" x14ac:dyDescent="0.25">
      <c r="B175" s="5">
        <f t="shared" si="2"/>
        <v>172</v>
      </c>
      <c r="C175" s="29"/>
      <c r="D175" s="6" t="s">
        <v>2527</v>
      </c>
      <c r="E175" s="6" t="s">
        <v>2535</v>
      </c>
      <c r="F175" s="6">
        <v>1000</v>
      </c>
      <c r="G175" s="6" t="s">
        <v>104</v>
      </c>
      <c r="H175" s="6"/>
      <c r="I175" s="6"/>
      <c r="J175" s="6"/>
      <c r="K175" s="7"/>
      <c r="L175" s="49"/>
      <c r="M175" s="49"/>
      <c r="N175" s="6"/>
      <c r="O175" s="6"/>
      <c r="P175" s="1" t="e">
        <f>VLOOKUP(Table3[[#This Row],[UNIT NO.]],[1]!Table357[[#Headers],[#Data],[Unit '#]:[Application/Sold/ Unsold]],7,0)</f>
        <v>#REF!</v>
      </c>
    </row>
    <row r="176" spans="2:16" x14ac:dyDescent="0.25">
      <c r="B176" s="5">
        <f t="shared" si="2"/>
        <v>173</v>
      </c>
      <c r="C176" s="29"/>
      <c r="D176" s="6" t="s">
        <v>2527</v>
      </c>
      <c r="E176" s="6" t="s">
        <v>2536</v>
      </c>
      <c r="F176" s="6">
        <v>1000</v>
      </c>
      <c r="G176" s="6" t="s">
        <v>104</v>
      </c>
      <c r="H176" s="6"/>
      <c r="I176" s="6"/>
      <c r="J176" s="6"/>
      <c r="K176" s="7"/>
      <c r="L176" s="49"/>
      <c r="M176" s="49"/>
      <c r="N176" s="6"/>
      <c r="O176" s="6"/>
      <c r="P176" s="1" t="e">
        <f>VLOOKUP(Table3[[#This Row],[UNIT NO.]],[1]!Table357[[#Headers],[#Data],[Unit '#]:[Application/Sold/ Unsold]],7,0)</f>
        <v>#REF!</v>
      </c>
    </row>
    <row r="177" spans="2:16" x14ac:dyDescent="0.25">
      <c r="B177" s="5">
        <f t="shared" si="2"/>
        <v>174</v>
      </c>
      <c r="C177" s="29"/>
      <c r="D177" s="6" t="s">
        <v>2527</v>
      </c>
      <c r="E177" s="6" t="s">
        <v>2537</v>
      </c>
      <c r="F177" s="6">
        <v>1000</v>
      </c>
      <c r="G177" s="6" t="s">
        <v>104</v>
      </c>
      <c r="H177" s="6"/>
      <c r="I177" s="6"/>
      <c r="J177" s="6"/>
      <c r="K177" s="7"/>
      <c r="L177" s="49"/>
      <c r="M177" s="49"/>
      <c r="N177" s="6"/>
      <c r="O177" s="6"/>
      <c r="P177" s="1" t="e">
        <f>VLOOKUP(Table3[[#This Row],[UNIT NO.]],[1]!Table357[[#Headers],[#Data],[Unit '#]:[Application/Sold/ Unsold]],7,0)</f>
        <v>#REF!</v>
      </c>
    </row>
    <row r="178" spans="2:16" x14ac:dyDescent="0.25">
      <c r="B178" s="5">
        <f t="shared" si="2"/>
        <v>175</v>
      </c>
      <c r="C178" s="29"/>
      <c r="D178" s="6" t="s">
        <v>2527</v>
      </c>
      <c r="E178" s="6" t="s">
        <v>2538</v>
      </c>
      <c r="F178" s="6">
        <v>1000</v>
      </c>
      <c r="G178" s="6" t="s">
        <v>104</v>
      </c>
      <c r="H178" s="6"/>
      <c r="I178" s="6"/>
      <c r="J178" s="6"/>
      <c r="K178" s="7"/>
      <c r="L178" s="49"/>
      <c r="M178" s="49"/>
      <c r="N178" s="6"/>
      <c r="O178" s="6"/>
      <c r="P178" s="1" t="e">
        <f>VLOOKUP(Table3[[#This Row],[UNIT NO.]],[1]!Table357[[#Headers],[#Data],[Unit '#]:[Application/Sold/ Unsold]],7,0)</f>
        <v>#REF!</v>
      </c>
    </row>
    <row r="179" spans="2:16" x14ac:dyDescent="0.25">
      <c r="B179" s="5">
        <f t="shared" si="2"/>
        <v>176</v>
      </c>
      <c r="C179" s="29"/>
      <c r="D179" s="6" t="s">
        <v>2527</v>
      </c>
      <c r="E179" s="6" t="s">
        <v>2539</v>
      </c>
      <c r="F179" s="6">
        <v>1000</v>
      </c>
      <c r="G179" s="6" t="s">
        <v>104</v>
      </c>
      <c r="H179" s="6"/>
      <c r="I179" s="6"/>
      <c r="J179" s="6"/>
      <c r="K179" s="7"/>
      <c r="L179" s="49"/>
      <c r="M179" s="49"/>
      <c r="N179" s="6"/>
      <c r="O179" s="6"/>
      <c r="P179" s="1" t="e">
        <f>VLOOKUP(Table3[[#This Row],[UNIT NO.]],[1]!Table357[[#Headers],[#Data],[Unit '#]:[Application/Sold/ Unsold]],7,0)</f>
        <v>#REF!</v>
      </c>
    </row>
    <row r="180" spans="2:16" x14ac:dyDescent="0.25">
      <c r="B180" s="5">
        <f t="shared" si="2"/>
        <v>177</v>
      </c>
      <c r="C180" s="29"/>
      <c r="D180" s="6" t="s">
        <v>2527</v>
      </c>
      <c r="E180" s="6" t="s">
        <v>2540</v>
      </c>
      <c r="F180" s="6">
        <v>1000</v>
      </c>
      <c r="G180" s="6" t="s">
        <v>104</v>
      </c>
      <c r="H180" s="6"/>
      <c r="I180" s="6"/>
      <c r="J180" s="6"/>
      <c r="K180" s="7"/>
      <c r="L180" s="49"/>
      <c r="M180" s="49"/>
      <c r="N180" s="6"/>
      <c r="O180" s="6"/>
      <c r="P180" s="1" t="e">
        <f>VLOOKUP(Table3[[#This Row],[UNIT NO.]],[1]!Table357[[#Headers],[#Data],[Unit '#]:[Application/Sold/ Unsold]],7,0)</f>
        <v>#REF!</v>
      </c>
    </row>
    <row r="181" spans="2:16" x14ac:dyDescent="0.25">
      <c r="B181" s="5">
        <f t="shared" si="2"/>
        <v>178</v>
      </c>
      <c r="C181" s="29"/>
      <c r="D181" s="6" t="s">
        <v>2527</v>
      </c>
      <c r="E181" s="6" t="s">
        <v>2541</v>
      </c>
      <c r="F181" s="6">
        <v>1000</v>
      </c>
      <c r="G181" s="6" t="s">
        <v>104</v>
      </c>
      <c r="H181" s="6"/>
      <c r="I181" s="6"/>
      <c r="J181" s="6"/>
      <c r="K181" s="7"/>
      <c r="L181" s="49"/>
      <c r="M181" s="49"/>
      <c r="N181" s="6"/>
      <c r="O181" s="6"/>
      <c r="P181" s="1" t="e">
        <f>VLOOKUP(Table3[[#This Row],[UNIT NO.]],[1]!Table357[[#Headers],[#Data],[Unit '#]:[Application/Sold/ Unsold]],7,0)</f>
        <v>#REF!</v>
      </c>
    </row>
    <row r="182" spans="2:16" x14ac:dyDescent="0.25">
      <c r="B182" s="5">
        <f t="shared" si="2"/>
        <v>179</v>
      </c>
      <c r="C182" s="29"/>
      <c r="D182" s="6" t="s">
        <v>2527</v>
      </c>
      <c r="E182" s="6" t="s">
        <v>2542</v>
      </c>
      <c r="F182" s="6">
        <v>1000</v>
      </c>
      <c r="G182" s="6" t="s">
        <v>104</v>
      </c>
      <c r="H182" s="6"/>
      <c r="I182" s="6"/>
      <c r="J182" s="6"/>
      <c r="K182" s="7"/>
      <c r="L182" s="49"/>
      <c r="M182" s="49"/>
      <c r="N182" s="6"/>
      <c r="O182" s="6"/>
      <c r="P182" s="1" t="e">
        <f>VLOOKUP(Table3[[#This Row],[UNIT NO.]],[1]!Table357[[#Headers],[#Data],[Unit '#]:[Application/Sold/ Unsold]],7,0)</f>
        <v>#REF!</v>
      </c>
    </row>
    <row r="183" spans="2:16" x14ac:dyDescent="0.25">
      <c r="B183" s="5">
        <f t="shared" si="2"/>
        <v>180</v>
      </c>
      <c r="C183" s="29"/>
      <c r="D183" s="6" t="s">
        <v>2527</v>
      </c>
      <c r="E183" s="6" t="s">
        <v>2543</v>
      </c>
      <c r="F183" s="6">
        <v>1000</v>
      </c>
      <c r="G183" s="6" t="s">
        <v>104</v>
      </c>
      <c r="H183" s="6"/>
      <c r="I183" s="6"/>
      <c r="J183" s="6"/>
      <c r="K183" s="7"/>
      <c r="L183" s="49"/>
      <c r="M183" s="49"/>
      <c r="N183" s="6"/>
      <c r="O183" s="6"/>
      <c r="P183" s="1" t="e">
        <f>VLOOKUP(Table3[[#This Row],[UNIT NO.]],[1]!Table357[[#Headers],[#Data],[Unit '#]:[Application/Sold/ Unsold]],7,0)</f>
        <v>#REF!</v>
      </c>
    </row>
    <row r="184" spans="2:16" x14ac:dyDescent="0.25">
      <c r="B184" s="5">
        <f t="shared" si="2"/>
        <v>181</v>
      </c>
      <c r="C184" s="29"/>
      <c r="D184" s="6" t="s">
        <v>2527</v>
      </c>
      <c r="E184" s="6" t="s">
        <v>2544</v>
      </c>
      <c r="F184" s="6">
        <v>1000</v>
      </c>
      <c r="G184" s="6" t="s">
        <v>104</v>
      </c>
      <c r="H184" s="6"/>
      <c r="I184" s="6"/>
      <c r="J184" s="6"/>
      <c r="K184" s="7"/>
      <c r="L184" s="49"/>
      <c r="M184" s="49"/>
      <c r="N184" s="6"/>
      <c r="O184" s="6"/>
      <c r="P184" s="1" t="e">
        <f>VLOOKUP(Table3[[#This Row],[UNIT NO.]],[1]!Table357[[#Headers],[#Data],[Unit '#]:[Application/Sold/ Unsold]],7,0)</f>
        <v>#REF!</v>
      </c>
    </row>
    <row r="185" spans="2:16" x14ac:dyDescent="0.25">
      <c r="B185" s="5">
        <f t="shared" si="2"/>
        <v>182</v>
      </c>
      <c r="C185" s="29"/>
      <c r="D185" s="6" t="s">
        <v>2527</v>
      </c>
      <c r="E185" s="6" t="s">
        <v>2545</v>
      </c>
      <c r="F185" s="6">
        <v>1000</v>
      </c>
      <c r="G185" s="6" t="s">
        <v>104</v>
      </c>
      <c r="H185" s="6"/>
      <c r="I185" s="6"/>
      <c r="J185" s="6"/>
      <c r="K185" s="7"/>
      <c r="L185" s="49"/>
      <c r="M185" s="49"/>
      <c r="N185" s="6"/>
      <c r="O185" s="6"/>
      <c r="P185" s="1" t="e">
        <f>VLOOKUP(Table3[[#This Row],[UNIT NO.]],[1]!Table357[[#Headers],[#Data],[Unit '#]:[Application/Sold/ Unsold]],7,0)</f>
        <v>#REF!</v>
      </c>
    </row>
    <row r="186" spans="2:16" x14ac:dyDescent="0.25">
      <c r="B186" s="5">
        <f t="shared" si="2"/>
        <v>183</v>
      </c>
      <c r="C186" s="29"/>
      <c r="D186" s="6" t="s">
        <v>2527</v>
      </c>
      <c r="E186" s="6" t="s">
        <v>2546</v>
      </c>
      <c r="F186" s="6">
        <v>1000</v>
      </c>
      <c r="G186" s="6" t="s">
        <v>104</v>
      </c>
      <c r="H186" s="6"/>
      <c r="I186" s="6"/>
      <c r="J186" s="6"/>
      <c r="K186" s="7"/>
      <c r="L186" s="49"/>
      <c r="M186" s="49"/>
      <c r="N186" s="6"/>
      <c r="O186" s="6"/>
      <c r="P186" s="1" t="e">
        <f>VLOOKUP(Table3[[#This Row],[UNIT NO.]],[1]!Table357[[#Headers],[#Data],[Unit '#]:[Application/Sold/ Unsold]],7,0)</f>
        <v>#REF!</v>
      </c>
    </row>
    <row r="187" spans="2:16" x14ac:dyDescent="0.25">
      <c r="B187" s="5">
        <f t="shared" si="2"/>
        <v>184</v>
      </c>
      <c r="C187" s="29"/>
      <c r="D187" s="6" t="s">
        <v>2527</v>
      </c>
      <c r="E187" s="6" t="s">
        <v>2547</v>
      </c>
      <c r="F187" s="6">
        <v>1000</v>
      </c>
      <c r="G187" s="6" t="s">
        <v>104</v>
      </c>
      <c r="H187" s="6"/>
      <c r="I187" s="6"/>
      <c r="J187" s="6"/>
      <c r="K187" s="7"/>
      <c r="L187" s="49"/>
      <c r="M187" s="49"/>
      <c r="N187" s="6"/>
      <c r="O187" s="6"/>
      <c r="P187" s="1" t="e">
        <f>VLOOKUP(Table3[[#This Row],[UNIT NO.]],[1]!Table357[[#Headers],[#Data],[Unit '#]:[Application/Sold/ Unsold]],7,0)</f>
        <v>#REF!</v>
      </c>
    </row>
    <row r="188" spans="2:16" x14ac:dyDescent="0.25">
      <c r="B188" s="5">
        <f t="shared" si="2"/>
        <v>185</v>
      </c>
      <c r="C188" s="29"/>
      <c r="D188" s="6" t="s">
        <v>2527</v>
      </c>
      <c r="E188" s="6" t="s">
        <v>2548</v>
      </c>
      <c r="F188" s="6">
        <v>1000</v>
      </c>
      <c r="G188" s="6" t="s">
        <v>104</v>
      </c>
      <c r="H188" s="6"/>
      <c r="I188" s="6"/>
      <c r="J188" s="6"/>
      <c r="K188" s="7"/>
      <c r="L188" s="49"/>
      <c r="M188" s="49"/>
      <c r="N188" s="6"/>
      <c r="O188" s="6"/>
      <c r="P188" s="1" t="e">
        <f>VLOOKUP(Table3[[#This Row],[UNIT NO.]],[1]!Table357[[#Headers],[#Data],[Unit '#]:[Application/Sold/ Unsold]],7,0)</f>
        <v>#REF!</v>
      </c>
    </row>
    <row r="189" spans="2:16" x14ac:dyDescent="0.25">
      <c r="B189" s="5">
        <f t="shared" si="2"/>
        <v>186</v>
      </c>
      <c r="C189" s="29"/>
      <c r="D189" s="6" t="s">
        <v>2527</v>
      </c>
      <c r="E189" s="6" t="s">
        <v>2549</v>
      </c>
      <c r="F189" s="6">
        <v>1000</v>
      </c>
      <c r="G189" s="6" t="s">
        <v>104</v>
      </c>
      <c r="H189" s="6"/>
      <c r="I189" s="6"/>
      <c r="J189" s="6"/>
      <c r="K189" s="7"/>
      <c r="L189" s="49"/>
      <c r="M189" s="49"/>
      <c r="N189" s="6"/>
      <c r="O189" s="6"/>
      <c r="P189" s="1" t="e">
        <f>VLOOKUP(Table3[[#This Row],[UNIT NO.]],[1]!Table357[[#Headers],[#Data],[Unit '#]:[Application/Sold/ Unsold]],7,0)</f>
        <v>#REF!</v>
      </c>
    </row>
    <row r="190" spans="2:16" x14ac:dyDescent="0.25">
      <c r="B190" s="5">
        <f t="shared" si="2"/>
        <v>187</v>
      </c>
      <c r="C190" s="29"/>
      <c r="D190" s="6" t="s">
        <v>2527</v>
      </c>
      <c r="E190" s="6" t="s">
        <v>2550</v>
      </c>
      <c r="F190" s="6">
        <v>1000</v>
      </c>
      <c r="G190" s="6" t="s">
        <v>104</v>
      </c>
      <c r="H190" s="6"/>
      <c r="I190" s="6"/>
      <c r="J190" s="6"/>
      <c r="K190" s="7"/>
      <c r="L190" s="49"/>
      <c r="M190" s="49"/>
      <c r="N190" s="6"/>
      <c r="O190" s="6"/>
      <c r="P190" s="1" t="e">
        <f>VLOOKUP(Table3[[#This Row],[UNIT NO.]],[1]!Table357[[#Headers],[#Data],[Unit '#]:[Application/Sold/ Unsold]],7,0)</f>
        <v>#REF!</v>
      </c>
    </row>
    <row r="191" spans="2:16" x14ac:dyDescent="0.25">
      <c r="B191" s="5">
        <f t="shared" si="2"/>
        <v>188</v>
      </c>
      <c r="C191" s="29"/>
      <c r="D191" s="6" t="s">
        <v>2527</v>
      </c>
      <c r="E191" s="6" t="s">
        <v>2551</v>
      </c>
      <c r="F191" s="6">
        <v>1000</v>
      </c>
      <c r="G191" s="6" t="s">
        <v>104</v>
      </c>
      <c r="H191" s="6"/>
      <c r="I191" s="6"/>
      <c r="J191" s="6"/>
      <c r="K191" s="7"/>
      <c r="L191" s="49"/>
      <c r="M191" s="49"/>
      <c r="N191" s="6"/>
      <c r="O191" s="6"/>
      <c r="P191" s="1" t="e">
        <f>VLOOKUP(Table3[[#This Row],[UNIT NO.]],[1]!Table357[[#Headers],[#Data],[Unit '#]:[Application/Sold/ Unsold]],7,0)</f>
        <v>#REF!</v>
      </c>
    </row>
    <row r="192" spans="2:16" x14ac:dyDescent="0.25">
      <c r="B192" s="5">
        <f t="shared" si="2"/>
        <v>189</v>
      </c>
      <c r="C192" s="29"/>
      <c r="D192" s="6" t="s">
        <v>2527</v>
      </c>
      <c r="E192" s="6" t="s">
        <v>2552</v>
      </c>
      <c r="F192" s="6">
        <v>1000</v>
      </c>
      <c r="G192" s="6" t="s">
        <v>104</v>
      </c>
      <c r="H192" s="6"/>
      <c r="I192" s="6"/>
      <c r="J192" s="6"/>
      <c r="K192" s="7"/>
      <c r="L192" s="49"/>
      <c r="M192" s="49"/>
      <c r="N192" s="6"/>
      <c r="O192" s="6"/>
      <c r="P192" s="1" t="e">
        <f>VLOOKUP(Table3[[#This Row],[UNIT NO.]],[1]!Table357[[#Headers],[#Data],[Unit '#]:[Application/Sold/ Unsold]],7,0)</f>
        <v>#REF!</v>
      </c>
    </row>
    <row r="193" spans="2:16" x14ac:dyDescent="0.25">
      <c r="B193" s="5">
        <f t="shared" si="2"/>
        <v>190</v>
      </c>
      <c r="C193" s="29"/>
      <c r="D193" s="6" t="s">
        <v>2527</v>
      </c>
      <c r="E193" s="6" t="s">
        <v>2553</v>
      </c>
      <c r="F193" s="6">
        <v>1000</v>
      </c>
      <c r="G193" s="6" t="s">
        <v>104</v>
      </c>
      <c r="H193" s="6"/>
      <c r="I193" s="6"/>
      <c r="J193" s="6"/>
      <c r="K193" s="7"/>
      <c r="L193" s="49"/>
      <c r="M193" s="49"/>
      <c r="N193" s="6"/>
      <c r="O193" s="6"/>
      <c r="P193" s="1" t="e">
        <f>VLOOKUP(Table3[[#This Row],[UNIT NO.]],[1]!Table357[[#Headers],[#Data],[Unit '#]:[Application/Sold/ Unsold]],7,0)</f>
        <v>#REF!</v>
      </c>
    </row>
    <row r="194" spans="2:16" x14ac:dyDescent="0.25">
      <c r="B194" s="5">
        <f t="shared" si="2"/>
        <v>191</v>
      </c>
      <c r="C194" s="29"/>
      <c r="D194" s="6" t="s">
        <v>2527</v>
      </c>
      <c r="E194" s="6" t="s">
        <v>2554</v>
      </c>
      <c r="F194" s="6">
        <v>1000</v>
      </c>
      <c r="G194" s="6" t="s">
        <v>104</v>
      </c>
      <c r="H194" s="6"/>
      <c r="I194" s="6"/>
      <c r="J194" s="6"/>
      <c r="K194" s="7"/>
      <c r="L194" s="49"/>
      <c r="M194" s="49"/>
      <c r="N194" s="6"/>
      <c r="O194" s="6"/>
      <c r="P194" s="1" t="e">
        <f>VLOOKUP(Table3[[#This Row],[UNIT NO.]],[1]!Table357[[#Headers],[#Data],[Unit '#]:[Application/Sold/ Unsold]],7,0)</f>
        <v>#REF!</v>
      </c>
    </row>
    <row r="195" spans="2:16" x14ac:dyDescent="0.25">
      <c r="B195" s="5">
        <f t="shared" si="2"/>
        <v>192</v>
      </c>
      <c r="C195" s="29"/>
      <c r="D195" s="6" t="s">
        <v>2527</v>
      </c>
      <c r="E195" s="6" t="s">
        <v>2555</v>
      </c>
      <c r="F195" s="6">
        <v>1000</v>
      </c>
      <c r="G195" s="6" t="s">
        <v>104</v>
      </c>
      <c r="H195" s="6"/>
      <c r="I195" s="6"/>
      <c r="J195" s="6"/>
      <c r="K195" s="7"/>
      <c r="L195" s="49"/>
      <c r="M195" s="49"/>
      <c r="N195" s="6"/>
      <c r="O195" s="6"/>
      <c r="P195" s="1" t="e">
        <f>VLOOKUP(Table3[[#This Row],[UNIT NO.]],[1]!Table357[[#Headers],[#Data],[Unit '#]:[Application/Sold/ Unsold]],7,0)</f>
        <v>#REF!</v>
      </c>
    </row>
    <row r="196" spans="2:16" x14ac:dyDescent="0.25">
      <c r="B196" s="5">
        <f t="shared" si="2"/>
        <v>193</v>
      </c>
      <c r="C196" s="29"/>
      <c r="D196" s="6" t="s">
        <v>2527</v>
      </c>
      <c r="E196" s="6" t="s">
        <v>2556</v>
      </c>
      <c r="F196" s="6">
        <v>1000</v>
      </c>
      <c r="G196" s="6" t="s">
        <v>104</v>
      </c>
      <c r="H196" s="6"/>
      <c r="I196" s="6"/>
      <c r="J196" s="6"/>
      <c r="K196" s="7"/>
      <c r="L196" s="49"/>
      <c r="M196" s="49"/>
      <c r="N196" s="6"/>
      <c r="O196" s="6"/>
      <c r="P196" s="1" t="e">
        <f>VLOOKUP(Table3[[#This Row],[UNIT NO.]],[1]!Table357[[#Headers],[#Data],[Unit '#]:[Application/Sold/ Unsold]],7,0)</f>
        <v>#REF!</v>
      </c>
    </row>
    <row r="197" spans="2:16" x14ac:dyDescent="0.25">
      <c r="B197" s="5">
        <f t="shared" si="2"/>
        <v>194</v>
      </c>
      <c r="C197" s="29"/>
      <c r="D197" s="6" t="s">
        <v>2527</v>
      </c>
      <c r="E197" s="6" t="s">
        <v>2557</v>
      </c>
      <c r="F197" s="6">
        <v>1000</v>
      </c>
      <c r="G197" s="6" t="s">
        <v>104</v>
      </c>
      <c r="H197" s="6"/>
      <c r="I197" s="6"/>
      <c r="J197" s="6"/>
      <c r="K197" s="7"/>
      <c r="L197" s="49"/>
      <c r="M197" s="49"/>
      <c r="N197" s="6"/>
      <c r="O197" s="6"/>
      <c r="P197" s="1" t="e">
        <f>VLOOKUP(Table3[[#This Row],[UNIT NO.]],[1]!Table357[[#Headers],[#Data],[Unit '#]:[Application/Sold/ Unsold]],7,0)</f>
        <v>#REF!</v>
      </c>
    </row>
    <row r="198" spans="2:16" x14ac:dyDescent="0.25">
      <c r="B198" s="5">
        <f t="shared" ref="B198:B261" si="3">B197+1</f>
        <v>195</v>
      </c>
      <c r="C198" s="29"/>
      <c r="D198" s="6" t="s">
        <v>2527</v>
      </c>
      <c r="E198" s="6" t="s">
        <v>2558</v>
      </c>
      <c r="F198" s="6">
        <v>1000</v>
      </c>
      <c r="G198" s="6" t="s">
        <v>104</v>
      </c>
      <c r="H198" s="6"/>
      <c r="I198" s="6"/>
      <c r="J198" s="6"/>
      <c r="K198" s="7"/>
      <c r="L198" s="49"/>
      <c r="M198" s="49"/>
      <c r="N198" s="6"/>
      <c r="O198" s="6"/>
      <c r="P198" s="1" t="e">
        <f>VLOOKUP(Table3[[#This Row],[UNIT NO.]],[1]!Table357[[#Headers],[#Data],[Unit '#]:[Application/Sold/ Unsold]],7,0)</f>
        <v>#REF!</v>
      </c>
    </row>
    <row r="199" spans="2:16" x14ac:dyDescent="0.25">
      <c r="B199" s="5">
        <f t="shared" si="3"/>
        <v>196</v>
      </c>
      <c r="C199" s="29"/>
      <c r="D199" s="6" t="s">
        <v>2527</v>
      </c>
      <c r="E199" s="6" t="s">
        <v>2559</v>
      </c>
      <c r="F199" s="6">
        <v>1000</v>
      </c>
      <c r="G199" s="6" t="s">
        <v>104</v>
      </c>
      <c r="H199" s="6"/>
      <c r="I199" s="6"/>
      <c r="J199" s="6"/>
      <c r="K199" s="7"/>
      <c r="L199" s="49"/>
      <c r="M199" s="49"/>
      <c r="N199" s="6"/>
      <c r="O199" s="6"/>
      <c r="P199" s="1" t="e">
        <f>VLOOKUP(Table3[[#This Row],[UNIT NO.]],[1]!Table357[[#Headers],[#Data],[Unit '#]:[Application/Sold/ Unsold]],7,0)</f>
        <v>#REF!</v>
      </c>
    </row>
    <row r="200" spans="2:16" x14ac:dyDescent="0.25">
      <c r="B200" s="5">
        <f t="shared" si="3"/>
        <v>197</v>
      </c>
      <c r="C200" s="29"/>
      <c r="D200" s="6" t="s">
        <v>2527</v>
      </c>
      <c r="E200" s="6" t="s">
        <v>2560</v>
      </c>
      <c r="F200" s="6">
        <v>1000</v>
      </c>
      <c r="G200" s="6" t="s">
        <v>104</v>
      </c>
      <c r="H200" s="6"/>
      <c r="I200" s="6"/>
      <c r="J200" s="6"/>
      <c r="K200" s="7"/>
      <c r="L200" s="49"/>
      <c r="M200" s="49"/>
      <c r="N200" s="6"/>
      <c r="O200" s="6"/>
      <c r="P200" s="1" t="e">
        <f>VLOOKUP(Table3[[#This Row],[UNIT NO.]],[1]!Table357[[#Headers],[#Data],[Unit '#]:[Application/Sold/ Unsold]],7,0)</f>
        <v>#REF!</v>
      </c>
    </row>
    <row r="201" spans="2:16" x14ac:dyDescent="0.25">
      <c r="B201" s="5">
        <f t="shared" si="3"/>
        <v>198</v>
      </c>
      <c r="C201" s="29"/>
      <c r="D201" s="6" t="s">
        <v>2527</v>
      </c>
      <c r="E201" s="6" t="s">
        <v>2561</v>
      </c>
      <c r="F201" s="6">
        <v>1000</v>
      </c>
      <c r="G201" s="6" t="s">
        <v>104</v>
      </c>
      <c r="H201" s="6"/>
      <c r="I201" s="6"/>
      <c r="J201" s="6"/>
      <c r="K201" s="7"/>
      <c r="L201" s="49"/>
      <c r="M201" s="49"/>
      <c r="N201" s="6"/>
      <c r="O201" s="6"/>
      <c r="P201" s="1" t="e">
        <f>VLOOKUP(Table3[[#This Row],[UNIT NO.]],[1]!Table357[[#Headers],[#Data],[Unit '#]:[Application/Sold/ Unsold]],7,0)</f>
        <v>#REF!</v>
      </c>
    </row>
    <row r="202" spans="2:16" x14ac:dyDescent="0.25">
      <c r="B202" s="5">
        <f t="shared" si="3"/>
        <v>199</v>
      </c>
      <c r="C202" s="29"/>
      <c r="D202" s="6" t="s">
        <v>2527</v>
      </c>
      <c r="E202" s="6" t="s">
        <v>2562</v>
      </c>
      <c r="F202" s="6">
        <v>1000</v>
      </c>
      <c r="G202" s="6" t="s">
        <v>104</v>
      </c>
      <c r="H202" s="6"/>
      <c r="I202" s="6"/>
      <c r="J202" s="6"/>
      <c r="K202" s="7"/>
      <c r="L202" s="49"/>
      <c r="M202" s="49"/>
      <c r="N202" s="6"/>
      <c r="O202" s="6"/>
      <c r="P202" s="1" t="e">
        <f>VLOOKUP(Table3[[#This Row],[UNIT NO.]],[1]!Table357[[#Headers],[#Data],[Unit '#]:[Application/Sold/ Unsold]],7,0)</f>
        <v>#REF!</v>
      </c>
    </row>
    <row r="203" spans="2:16" x14ac:dyDescent="0.25">
      <c r="B203" s="5">
        <f t="shared" si="3"/>
        <v>200</v>
      </c>
      <c r="C203" s="29"/>
      <c r="D203" s="6" t="s">
        <v>2527</v>
      </c>
      <c r="E203" s="6" t="s">
        <v>2563</v>
      </c>
      <c r="F203" s="6">
        <v>1000</v>
      </c>
      <c r="G203" s="6" t="s">
        <v>104</v>
      </c>
      <c r="H203" s="6"/>
      <c r="I203" s="6"/>
      <c r="J203" s="6"/>
      <c r="K203" s="7"/>
      <c r="L203" s="49"/>
      <c r="M203" s="49"/>
      <c r="N203" s="6"/>
      <c r="O203" s="6"/>
      <c r="P203" s="1" t="e">
        <f>VLOOKUP(Table3[[#This Row],[UNIT NO.]],[1]!Table357[[#Headers],[#Data],[Unit '#]:[Application/Sold/ Unsold]],7,0)</f>
        <v>#REF!</v>
      </c>
    </row>
    <row r="204" spans="2:16" x14ac:dyDescent="0.25">
      <c r="B204" s="5">
        <f t="shared" si="3"/>
        <v>201</v>
      </c>
      <c r="C204" s="29"/>
      <c r="D204" s="6" t="s">
        <v>2527</v>
      </c>
      <c r="E204" s="6" t="s">
        <v>2564</v>
      </c>
      <c r="F204" s="6">
        <v>1000</v>
      </c>
      <c r="G204" s="6" t="s">
        <v>104</v>
      </c>
      <c r="H204" s="6"/>
      <c r="I204" s="6"/>
      <c r="J204" s="6"/>
      <c r="K204" s="7"/>
      <c r="L204" s="49"/>
      <c r="M204" s="49"/>
      <c r="N204" s="6"/>
      <c r="O204" s="6"/>
      <c r="P204" s="1" t="e">
        <f>VLOOKUP(Table3[[#This Row],[UNIT NO.]],[1]!Table357[[#Headers],[#Data],[Unit '#]:[Application/Sold/ Unsold]],7,0)</f>
        <v>#REF!</v>
      </c>
    </row>
    <row r="205" spans="2:16" x14ac:dyDescent="0.25">
      <c r="B205" s="5">
        <f t="shared" si="3"/>
        <v>202</v>
      </c>
      <c r="C205" s="29"/>
      <c r="D205" s="6" t="s">
        <v>2527</v>
      </c>
      <c r="E205" s="6" t="s">
        <v>2565</v>
      </c>
      <c r="F205" s="6">
        <v>1000</v>
      </c>
      <c r="G205" s="6" t="s">
        <v>104</v>
      </c>
      <c r="H205" s="6"/>
      <c r="I205" s="6"/>
      <c r="J205" s="6"/>
      <c r="K205" s="7"/>
      <c r="L205" s="49"/>
      <c r="M205" s="49"/>
      <c r="N205" s="6"/>
      <c r="O205" s="6"/>
      <c r="P205" s="1" t="e">
        <f>VLOOKUP(Table3[[#This Row],[UNIT NO.]],[1]!Table357[[#Headers],[#Data],[Unit '#]:[Application/Sold/ Unsold]],7,0)</f>
        <v>#REF!</v>
      </c>
    </row>
    <row r="206" spans="2:16" x14ac:dyDescent="0.25">
      <c r="B206" s="5">
        <f t="shared" si="3"/>
        <v>203</v>
      </c>
      <c r="C206" s="29"/>
      <c r="D206" s="6" t="s">
        <v>2527</v>
      </c>
      <c r="E206" s="6" t="s">
        <v>2566</v>
      </c>
      <c r="F206" s="6">
        <v>1000</v>
      </c>
      <c r="G206" s="6" t="s">
        <v>104</v>
      </c>
      <c r="H206" s="6"/>
      <c r="I206" s="6"/>
      <c r="J206" s="6"/>
      <c r="K206" s="7"/>
      <c r="L206" s="49"/>
      <c r="M206" s="49"/>
      <c r="N206" s="6"/>
      <c r="O206" s="6"/>
      <c r="P206" s="1" t="e">
        <f>VLOOKUP(Table3[[#This Row],[UNIT NO.]],[1]!Table357[[#Headers],[#Data],[Unit '#]:[Application/Sold/ Unsold]],7,0)</f>
        <v>#REF!</v>
      </c>
    </row>
    <row r="207" spans="2:16" x14ac:dyDescent="0.25">
      <c r="B207" s="5">
        <f t="shared" si="3"/>
        <v>204</v>
      </c>
      <c r="C207" s="29"/>
      <c r="D207" s="6" t="s">
        <v>2527</v>
      </c>
      <c r="E207" s="6" t="s">
        <v>2567</v>
      </c>
      <c r="F207" s="6">
        <v>1000</v>
      </c>
      <c r="G207" s="6" t="s">
        <v>104</v>
      </c>
      <c r="H207" s="6"/>
      <c r="I207" s="6"/>
      <c r="J207" s="6"/>
      <c r="K207" s="7"/>
      <c r="L207" s="49"/>
      <c r="M207" s="49"/>
      <c r="N207" s="6"/>
      <c r="O207" s="6"/>
      <c r="P207" s="1" t="e">
        <f>VLOOKUP(Table3[[#This Row],[UNIT NO.]],[1]!Table357[[#Headers],[#Data],[Unit '#]:[Application/Sold/ Unsold]],7,0)</f>
        <v>#REF!</v>
      </c>
    </row>
    <row r="208" spans="2:16" x14ac:dyDescent="0.25">
      <c r="B208" s="5">
        <f t="shared" si="3"/>
        <v>205</v>
      </c>
      <c r="C208" s="29"/>
      <c r="D208" s="6" t="s">
        <v>2527</v>
      </c>
      <c r="E208" s="6" t="s">
        <v>2568</v>
      </c>
      <c r="F208" s="6">
        <v>1000</v>
      </c>
      <c r="G208" s="6" t="s">
        <v>104</v>
      </c>
      <c r="H208" s="6"/>
      <c r="I208" s="6"/>
      <c r="J208" s="6"/>
      <c r="K208" s="7"/>
      <c r="L208" s="49"/>
      <c r="M208" s="49"/>
      <c r="N208" s="6"/>
      <c r="O208" s="6"/>
      <c r="P208" s="1" t="e">
        <f>VLOOKUP(Table3[[#This Row],[UNIT NO.]],[1]!Table357[[#Headers],[#Data],[Unit '#]:[Application/Sold/ Unsold]],7,0)</f>
        <v>#REF!</v>
      </c>
    </row>
    <row r="209" spans="2:16" x14ac:dyDescent="0.25">
      <c r="B209" s="5">
        <f t="shared" si="3"/>
        <v>206</v>
      </c>
      <c r="C209" s="29"/>
      <c r="D209" s="6" t="s">
        <v>2527</v>
      </c>
      <c r="E209" s="6" t="s">
        <v>2569</v>
      </c>
      <c r="F209" s="6">
        <v>1000</v>
      </c>
      <c r="G209" s="6" t="s">
        <v>104</v>
      </c>
      <c r="H209" s="6"/>
      <c r="I209" s="6"/>
      <c r="J209" s="6"/>
      <c r="K209" s="7"/>
      <c r="L209" s="49"/>
      <c r="M209" s="49"/>
      <c r="N209" s="6"/>
      <c r="O209" s="6"/>
      <c r="P209" s="1" t="e">
        <f>VLOOKUP(Table3[[#This Row],[UNIT NO.]],[1]!Table357[[#Headers],[#Data],[Unit '#]:[Application/Sold/ Unsold]],7,0)</f>
        <v>#REF!</v>
      </c>
    </row>
    <row r="210" spans="2:16" x14ac:dyDescent="0.25">
      <c r="B210" s="5">
        <f t="shared" si="3"/>
        <v>207</v>
      </c>
      <c r="C210" s="29"/>
      <c r="D210" s="6" t="s">
        <v>2527</v>
      </c>
      <c r="E210" s="6" t="s">
        <v>2570</v>
      </c>
      <c r="F210" s="6">
        <v>1000</v>
      </c>
      <c r="G210" s="6" t="s">
        <v>104</v>
      </c>
      <c r="H210" s="6"/>
      <c r="I210" s="6"/>
      <c r="J210" s="6"/>
      <c r="K210" s="7"/>
      <c r="L210" s="49"/>
      <c r="M210" s="49"/>
      <c r="N210" s="6"/>
      <c r="O210" s="6"/>
      <c r="P210" s="1" t="e">
        <f>VLOOKUP(Table3[[#This Row],[UNIT NO.]],[1]!Table357[[#Headers],[#Data],[Unit '#]:[Application/Sold/ Unsold]],7,0)</f>
        <v>#REF!</v>
      </c>
    </row>
    <row r="211" spans="2:16" x14ac:dyDescent="0.25">
      <c r="B211" s="5">
        <f t="shared" si="3"/>
        <v>208</v>
      </c>
      <c r="C211" s="29"/>
      <c r="D211" s="6" t="s">
        <v>2527</v>
      </c>
      <c r="E211" s="6" t="s">
        <v>2571</v>
      </c>
      <c r="F211" s="6">
        <v>1000</v>
      </c>
      <c r="G211" s="6" t="s">
        <v>104</v>
      </c>
      <c r="H211" s="6"/>
      <c r="I211" s="6"/>
      <c r="J211" s="6"/>
      <c r="K211" s="7"/>
      <c r="L211" s="49"/>
      <c r="M211" s="49"/>
      <c r="N211" s="6"/>
      <c r="O211" s="6"/>
      <c r="P211" s="1" t="e">
        <f>VLOOKUP(Table3[[#This Row],[UNIT NO.]],[1]!Table357[[#Headers],[#Data],[Unit '#]:[Application/Sold/ Unsold]],7,0)</f>
        <v>#REF!</v>
      </c>
    </row>
    <row r="212" spans="2:16" x14ac:dyDescent="0.25">
      <c r="B212" s="5">
        <f t="shared" si="3"/>
        <v>209</v>
      </c>
      <c r="C212" s="29"/>
      <c r="D212" s="6" t="s">
        <v>2527</v>
      </c>
      <c r="E212" s="6" t="s">
        <v>2572</v>
      </c>
      <c r="F212" s="6">
        <v>1000</v>
      </c>
      <c r="G212" s="6" t="s">
        <v>104</v>
      </c>
      <c r="H212" s="6"/>
      <c r="I212" s="6"/>
      <c r="J212" s="6"/>
      <c r="K212" s="7"/>
      <c r="L212" s="49"/>
      <c r="M212" s="49"/>
      <c r="N212" s="6"/>
      <c r="O212" s="6"/>
      <c r="P212" s="1" t="e">
        <f>VLOOKUP(Table3[[#This Row],[UNIT NO.]],[1]!Table357[[#Headers],[#Data],[Unit '#]:[Application/Sold/ Unsold]],7,0)</f>
        <v>#REF!</v>
      </c>
    </row>
    <row r="213" spans="2:16" x14ac:dyDescent="0.25">
      <c r="B213" s="5">
        <f t="shared" si="3"/>
        <v>210</v>
      </c>
      <c r="C213" s="29"/>
      <c r="D213" s="6" t="s">
        <v>2527</v>
      </c>
      <c r="E213" s="6" t="s">
        <v>2573</v>
      </c>
      <c r="F213" s="6">
        <v>1000</v>
      </c>
      <c r="G213" s="6" t="s">
        <v>104</v>
      </c>
      <c r="H213" s="6"/>
      <c r="I213" s="6"/>
      <c r="J213" s="6"/>
      <c r="K213" s="7"/>
      <c r="L213" s="49"/>
      <c r="M213" s="49"/>
      <c r="N213" s="6"/>
      <c r="O213" s="6"/>
      <c r="P213" s="1" t="e">
        <f>VLOOKUP(Table3[[#This Row],[UNIT NO.]],[1]!Table357[[#Headers],[#Data],[Unit '#]:[Application/Sold/ Unsold]],7,0)</f>
        <v>#REF!</v>
      </c>
    </row>
    <row r="214" spans="2:16" x14ac:dyDescent="0.25">
      <c r="B214" s="5">
        <f t="shared" si="3"/>
        <v>211</v>
      </c>
      <c r="C214" s="29"/>
      <c r="D214" s="6" t="s">
        <v>2527</v>
      </c>
      <c r="E214" s="6" t="s">
        <v>2574</v>
      </c>
      <c r="F214" s="6">
        <v>1000</v>
      </c>
      <c r="G214" s="6" t="s">
        <v>104</v>
      </c>
      <c r="H214" s="6"/>
      <c r="I214" s="6"/>
      <c r="J214" s="6"/>
      <c r="K214" s="7"/>
      <c r="L214" s="49"/>
      <c r="M214" s="49"/>
      <c r="N214" s="6"/>
      <c r="O214" s="6"/>
      <c r="P214" s="1" t="e">
        <f>VLOOKUP(Table3[[#This Row],[UNIT NO.]],[1]!Table357[[#Headers],[#Data],[Unit '#]:[Application/Sold/ Unsold]],7,0)</f>
        <v>#REF!</v>
      </c>
    </row>
    <row r="215" spans="2:16" x14ac:dyDescent="0.25">
      <c r="B215" s="5">
        <f t="shared" si="3"/>
        <v>212</v>
      </c>
      <c r="C215" s="29"/>
      <c r="D215" s="6" t="s">
        <v>2527</v>
      </c>
      <c r="E215" s="6" t="s">
        <v>2575</v>
      </c>
      <c r="F215" s="6">
        <v>1000</v>
      </c>
      <c r="G215" s="6" t="s">
        <v>104</v>
      </c>
      <c r="H215" s="6"/>
      <c r="I215" s="6"/>
      <c r="J215" s="6"/>
      <c r="K215" s="7"/>
      <c r="L215" s="49"/>
      <c r="M215" s="49"/>
      <c r="N215" s="6"/>
      <c r="O215" s="6"/>
      <c r="P215" s="1" t="e">
        <f>VLOOKUP(Table3[[#This Row],[UNIT NO.]],[1]!Table357[[#Headers],[#Data],[Unit '#]:[Application/Sold/ Unsold]],7,0)</f>
        <v>#REF!</v>
      </c>
    </row>
    <row r="216" spans="2:16" x14ac:dyDescent="0.25">
      <c r="B216" s="5">
        <f t="shared" si="3"/>
        <v>213</v>
      </c>
      <c r="C216" s="29"/>
      <c r="D216" s="6" t="s">
        <v>2527</v>
      </c>
      <c r="E216" s="6" t="s">
        <v>2576</v>
      </c>
      <c r="F216" s="6">
        <v>1000</v>
      </c>
      <c r="G216" s="6" t="s">
        <v>104</v>
      </c>
      <c r="H216" s="6"/>
      <c r="I216" s="6"/>
      <c r="J216" s="6"/>
      <c r="K216" s="7"/>
      <c r="L216" s="49"/>
      <c r="M216" s="49"/>
      <c r="N216" s="6"/>
      <c r="O216" s="6"/>
      <c r="P216" s="1" t="e">
        <f>VLOOKUP(Table3[[#This Row],[UNIT NO.]],[1]!Table357[[#Headers],[#Data],[Unit '#]:[Application/Sold/ Unsold]],7,0)</f>
        <v>#REF!</v>
      </c>
    </row>
    <row r="217" spans="2:16" x14ac:dyDescent="0.25">
      <c r="B217" s="5">
        <f t="shared" si="3"/>
        <v>214</v>
      </c>
      <c r="C217" s="29"/>
      <c r="D217" s="6" t="s">
        <v>2527</v>
      </c>
      <c r="E217" s="6" t="s">
        <v>2577</v>
      </c>
      <c r="F217" s="6">
        <v>1000</v>
      </c>
      <c r="G217" s="6" t="s">
        <v>104</v>
      </c>
      <c r="H217" s="6"/>
      <c r="I217" s="6"/>
      <c r="J217" s="6"/>
      <c r="K217" s="7"/>
      <c r="L217" s="49"/>
      <c r="M217" s="49"/>
      <c r="N217" s="6"/>
      <c r="O217" s="6"/>
      <c r="P217" s="1" t="e">
        <f>VLOOKUP(Table3[[#This Row],[UNIT NO.]],[1]!Table357[[#Headers],[#Data],[Unit '#]:[Application/Sold/ Unsold]],7,0)</f>
        <v>#REF!</v>
      </c>
    </row>
    <row r="218" spans="2:16" x14ac:dyDescent="0.25">
      <c r="B218" s="5">
        <f t="shared" si="3"/>
        <v>215</v>
      </c>
      <c r="C218" s="29"/>
      <c r="D218" s="6" t="s">
        <v>2527</v>
      </c>
      <c r="E218" s="6" t="s">
        <v>2578</v>
      </c>
      <c r="F218" s="6">
        <v>1000</v>
      </c>
      <c r="G218" s="6" t="s">
        <v>104</v>
      </c>
      <c r="H218" s="6"/>
      <c r="I218" s="6"/>
      <c r="J218" s="6"/>
      <c r="K218" s="7"/>
      <c r="L218" s="49"/>
      <c r="M218" s="49"/>
      <c r="N218" s="6"/>
      <c r="O218" s="6"/>
      <c r="P218" s="1" t="e">
        <f>VLOOKUP(Table3[[#This Row],[UNIT NO.]],[1]!Table357[[#Headers],[#Data],[Unit '#]:[Application/Sold/ Unsold]],7,0)</f>
        <v>#REF!</v>
      </c>
    </row>
    <row r="219" spans="2:16" x14ac:dyDescent="0.25">
      <c r="B219" s="5">
        <f t="shared" si="3"/>
        <v>216</v>
      </c>
      <c r="C219" s="29"/>
      <c r="D219" s="6" t="s">
        <v>2527</v>
      </c>
      <c r="E219" s="6" t="s">
        <v>2579</v>
      </c>
      <c r="F219" s="6">
        <v>1000</v>
      </c>
      <c r="G219" s="6" t="s">
        <v>104</v>
      </c>
      <c r="H219" s="6"/>
      <c r="I219" s="6"/>
      <c r="J219" s="6"/>
      <c r="K219" s="7"/>
      <c r="L219" s="49"/>
      <c r="M219" s="49"/>
      <c r="N219" s="6"/>
      <c r="O219" s="6"/>
      <c r="P219" s="1" t="e">
        <f>VLOOKUP(Table3[[#This Row],[UNIT NO.]],[1]!Table357[[#Headers],[#Data],[Unit '#]:[Application/Sold/ Unsold]],7,0)</f>
        <v>#REF!</v>
      </c>
    </row>
    <row r="220" spans="2:16" x14ac:dyDescent="0.25">
      <c r="B220" s="5">
        <f t="shared" si="3"/>
        <v>217</v>
      </c>
      <c r="C220" s="29"/>
      <c r="D220" s="6" t="s">
        <v>2527</v>
      </c>
      <c r="E220" s="6" t="s">
        <v>2580</v>
      </c>
      <c r="F220" s="6">
        <v>1000</v>
      </c>
      <c r="G220" s="6" t="s">
        <v>104</v>
      </c>
      <c r="H220" s="6"/>
      <c r="I220" s="6"/>
      <c r="J220" s="6"/>
      <c r="K220" s="7"/>
      <c r="L220" s="49"/>
      <c r="M220" s="49"/>
      <c r="N220" s="6"/>
      <c r="O220" s="6"/>
      <c r="P220" s="1" t="e">
        <f>VLOOKUP(Table3[[#This Row],[UNIT NO.]],[1]!Table357[[#Headers],[#Data],[Unit '#]:[Application/Sold/ Unsold]],7,0)</f>
        <v>#REF!</v>
      </c>
    </row>
    <row r="221" spans="2:16" x14ac:dyDescent="0.25">
      <c r="B221" s="5">
        <f t="shared" si="3"/>
        <v>218</v>
      </c>
      <c r="C221" s="29"/>
      <c r="D221" s="6" t="s">
        <v>2527</v>
      </c>
      <c r="E221" s="6" t="s">
        <v>2581</v>
      </c>
      <c r="F221" s="6">
        <v>1000</v>
      </c>
      <c r="G221" s="6" t="s">
        <v>104</v>
      </c>
      <c r="H221" s="6"/>
      <c r="I221" s="6"/>
      <c r="J221" s="6"/>
      <c r="K221" s="7"/>
      <c r="L221" s="49"/>
      <c r="M221" s="49"/>
      <c r="N221" s="6"/>
      <c r="O221" s="6"/>
      <c r="P221" s="1" t="e">
        <f>VLOOKUP(Table3[[#This Row],[UNIT NO.]],[1]!Table357[[#Headers],[#Data],[Unit '#]:[Application/Sold/ Unsold]],7,0)</f>
        <v>#REF!</v>
      </c>
    </row>
    <row r="222" spans="2:16" x14ac:dyDescent="0.25">
      <c r="B222" s="5">
        <f t="shared" si="3"/>
        <v>219</v>
      </c>
      <c r="C222" s="29"/>
      <c r="D222" s="6" t="s">
        <v>2527</v>
      </c>
      <c r="E222" s="6" t="s">
        <v>2582</v>
      </c>
      <c r="F222" s="6">
        <v>1000</v>
      </c>
      <c r="G222" s="6" t="s">
        <v>104</v>
      </c>
      <c r="H222" s="6"/>
      <c r="I222" s="6"/>
      <c r="J222" s="6"/>
      <c r="K222" s="7"/>
      <c r="L222" s="49"/>
      <c r="M222" s="49"/>
      <c r="N222" s="6"/>
      <c r="O222" s="6"/>
      <c r="P222" s="1" t="e">
        <f>VLOOKUP(Table3[[#This Row],[UNIT NO.]],[1]!Table357[[#Headers],[#Data],[Unit '#]:[Application/Sold/ Unsold]],7,0)</f>
        <v>#REF!</v>
      </c>
    </row>
    <row r="223" spans="2:16" x14ac:dyDescent="0.25">
      <c r="B223" s="5">
        <f t="shared" si="3"/>
        <v>220</v>
      </c>
      <c r="C223" s="29"/>
      <c r="D223" s="6" t="s">
        <v>2527</v>
      </c>
      <c r="E223" s="6" t="s">
        <v>2583</v>
      </c>
      <c r="F223" s="6">
        <v>1000</v>
      </c>
      <c r="G223" s="6" t="s">
        <v>104</v>
      </c>
      <c r="H223" s="6"/>
      <c r="I223" s="6"/>
      <c r="J223" s="6"/>
      <c r="K223" s="7"/>
      <c r="L223" s="49"/>
      <c r="M223" s="49"/>
      <c r="N223" s="6"/>
      <c r="O223" s="6"/>
      <c r="P223" s="1" t="e">
        <f>VLOOKUP(Table3[[#This Row],[UNIT NO.]],[1]!Table357[[#Headers],[#Data],[Unit '#]:[Application/Sold/ Unsold]],7,0)</f>
        <v>#REF!</v>
      </c>
    </row>
    <row r="224" spans="2:16" x14ac:dyDescent="0.25">
      <c r="B224" s="5">
        <f t="shared" si="3"/>
        <v>221</v>
      </c>
      <c r="C224" s="29"/>
      <c r="D224" s="6" t="s">
        <v>2527</v>
      </c>
      <c r="E224" s="6" t="s">
        <v>2584</v>
      </c>
      <c r="F224" s="6">
        <v>1000</v>
      </c>
      <c r="G224" s="6" t="s">
        <v>104</v>
      </c>
      <c r="H224" s="6"/>
      <c r="I224" s="6"/>
      <c r="J224" s="6"/>
      <c r="K224" s="7"/>
      <c r="L224" s="49"/>
      <c r="M224" s="49"/>
      <c r="N224" s="6"/>
      <c r="O224" s="6"/>
      <c r="P224" s="1" t="e">
        <f>VLOOKUP(Table3[[#This Row],[UNIT NO.]],[1]!Table357[[#Headers],[#Data],[Unit '#]:[Application/Sold/ Unsold]],7,0)</f>
        <v>#REF!</v>
      </c>
    </row>
    <row r="225" spans="2:16" x14ac:dyDescent="0.25">
      <c r="B225" s="5">
        <f t="shared" si="3"/>
        <v>222</v>
      </c>
      <c r="C225" s="29"/>
      <c r="D225" s="6" t="s">
        <v>2527</v>
      </c>
      <c r="E225" s="6" t="s">
        <v>2585</v>
      </c>
      <c r="F225" s="6">
        <v>1000</v>
      </c>
      <c r="G225" s="6" t="s">
        <v>104</v>
      </c>
      <c r="H225" s="6"/>
      <c r="I225" s="6"/>
      <c r="J225" s="6"/>
      <c r="K225" s="7"/>
      <c r="L225" s="49"/>
      <c r="M225" s="49"/>
      <c r="N225" s="6"/>
      <c r="O225" s="6"/>
      <c r="P225" s="1" t="e">
        <f>VLOOKUP(Table3[[#This Row],[UNIT NO.]],[1]!Table357[[#Headers],[#Data],[Unit '#]:[Application/Sold/ Unsold]],7,0)</f>
        <v>#REF!</v>
      </c>
    </row>
    <row r="226" spans="2:16" x14ac:dyDescent="0.25">
      <c r="B226" s="5">
        <f t="shared" si="3"/>
        <v>223</v>
      </c>
      <c r="C226" s="29"/>
      <c r="D226" s="6" t="s">
        <v>2527</v>
      </c>
      <c r="E226" s="6" t="s">
        <v>2586</v>
      </c>
      <c r="F226" s="6">
        <v>1000</v>
      </c>
      <c r="G226" s="6" t="s">
        <v>104</v>
      </c>
      <c r="H226" s="6"/>
      <c r="I226" s="6"/>
      <c r="J226" s="6"/>
      <c r="K226" s="7"/>
      <c r="L226" s="49"/>
      <c r="M226" s="49"/>
      <c r="N226" s="6"/>
      <c r="O226" s="6"/>
      <c r="P226" s="1" t="e">
        <f>VLOOKUP(Table3[[#This Row],[UNIT NO.]],[1]!Table357[[#Headers],[#Data],[Unit '#]:[Application/Sold/ Unsold]],7,0)</f>
        <v>#REF!</v>
      </c>
    </row>
    <row r="227" spans="2:16" x14ac:dyDescent="0.25">
      <c r="B227" s="5">
        <f t="shared" si="3"/>
        <v>224</v>
      </c>
      <c r="C227" s="29"/>
      <c r="D227" s="6" t="s">
        <v>2527</v>
      </c>
      <c r="E227" s="6" t="s">
        <v>2587</v>
      </c>
      <c r="F227" s="6">
        <v>1000</v>
      </c>
      <c r="G227" s="6" t="s">
        <v>104</v>
      </c>
      <c r="H227" s="6"/>
      <c r="I227" s="6"/>
      <c r="J227" s="6"/>
      <c r="K227" s="7"/>
      <c r="L227" s="49"/>
      <c r="M227" s="49"/>
      <c r="N227" s="6"/>
      <c r="O227" s="6"/>
      <c r="P227" s="1" t="e">
        <f>VLOOKUP(Table3[[#This Row],[UNIT NO.]],[1]!Table357[[#Headers],[#Data],[Unit '#]:[Application/Sold/ Unsold]],7,0)</f>
        <v>#REF!</v>
      </c>
    </row>
    <row r="228" spans="2:16" x14ac:dyDescent="0.25">
      <c r="B228" s="5">
        <f t="shared" si="3"/>
        <v>225</v>
      </c>
      <c r="C228" s="29"/>
      <c r="D228" s="6" t="s">
        <v>2527</v>
      </c>
      <c r="E228" s="6" t="s">
        <v>2588</v>
      </c>
      <c r="F228" s="6">
        <v>1000</v>
      </c>
      <c r="G228" s="6" t="s">
        <v>104</v>
      </c>
      <c r="H228" s="6"/>
      <c r="I228" s="6"/>
      <c r="J228" s="6"/>
      <c r="K228" s="7"/>
      <c r="L228" s="49"/>
      <c r="M228" s="49"/>
      <c r="N228" s="6"/>
      <c r="O228" s="6"/>
      <c r="P228" s="1" t="e">
        <f>VLOOKUP(Table3[[#This Row],[UNIT NO.]],[1]!Table357[[#Headers],[#Data],[Unit '#]:[Application/Sold/ Unsold]],7,0)</f>
        <v>#REF!</v>
      </c>
    </row>
    <row r="229" spans="2:16" x14ac:dyDescent="0.25">
      <c r="B229" s="5">
        <f t="shared" si="3"/>
        <v>226</v>
      </c>
      <c r="C229" s="29"/>
      <c r="D229" s="6" t="s">
        <v>2527</v>
      </c>
      <c r="E229" s="6" t="s">
        <v>2589</v>
      </c>
      <c r="F229" s="6">
        <v>1000</v>
      </c>
      <c r="G229" s="6" t="s">
        <v>104</v>
      </c>
      <c r="H229" s="6"/>
      <c r="I229" s="6"/>
      <c r="J229" s="6"/>
      <c r="K229" s="7"/>
      <c r="L229" s="49"/>
      <c r="M229" s="49"/>
      <c r="N229" s="6"/>
      <c r="O229" s="6"/>
      <c r="P229" s="1" t="e">
        <f>VLOOKUP(Table3[[#This Row],[UNIT NO.]],[1]!Table357[[#Headers],[#Data],[Unit '#]:[Application/Sold/ Unsold]],7,0)</f>
        <v>#REF!</v>
      </c>
    </row>
    <row r="230" spans="2:16" x14ac:dyDescent="0.25">
      <c r="B230" s="5">
        <f t="shared" si="3"/>
        <v>227</v>
      </c>
      <c r="C230" s="29"/>
      <c r="D230" s="6" t="s">
        <v>2527</v>
      </c>
      <c r="E230" s="6" t="s">
        <v>2590</v>
      </c>
      <c r="F230" s="6">
        <v>1000</v>
      </c>
      <c r="G230" s="6" t="s">
        <v>104</v>
      </c>
      <c r="H230" s="6"/>
      <c r="I230" s="6"/>
      <c r="J230" s="6"/>
      <c r="K230" s="7"/>
      <c r="L230" s="49"/>
      <c r="M230" s="49"/>
      <c r="N230" s="6"/>
      <c r="O230" s="6"/>
      <c r="P230" s="1" t="e">
        <f>VLOOKUP(Table3[[#This Row],[UNIT NO.]],[1]!Table357[[#Headers],[#Data],[Unit '#]:[Application/Sold/ Unsold]],7,0)</f>
        <v>#REF!</v>
      </c>
    </row>
    <row r="231" spans="2:16" x14ac:dyDescent="0.25">
      <c r="B231" s="5">
        <f t="shared" si="3"/>
        <v>228</v>
      </c>
      <c r="C231" s="29"/>
      <c r="D231" s="6" t="s">
        <v>2527</v>
      </c>
      <c r="E231" s="6" t="s">
        <v>2591</v>
      </c>
      <c r="F231" s="6">
        <v>1000</v>
      </c>
      <c r="G231" s="6" t="s">
        <v>104</v>
      </c>
      <c r="H231" s="6"/>
      <c r="I231" s="6"/>
      <c r="J231" s="6"/>
      <c r="K231" s="7"/>
      <c r="L231" s="49"/>
      <c r="M231" s="49"/>
      <c r="N231" s="6"/>
      <c r="O231" s="6"/>
      <c r="P231" s="1" t="e">
        <f>VLOOKUP(Table3[[#This Row],[UNIT NO.]],[1]!Table357[[#Headers],[#Data],[Unit '#]:[Application/Sold/ Unsold]],7,0)</f>
        <v>#REF!</v>
      </c>
    </row>
    <row r="232" spans="2:16" x14ac:dyDescent="0.25">
      <c r="B232" s="5">
        <f t="shared" si="3"/>
        <v>229</v>
      </c>
      <c r="C232" s="29"/>
      <c r="D232" s="6" t="s">
        <v>2527</v>
      </c>
      <c r="E232" s="6" t="s">
        <v>2592</v>
      </c>
      <c r="F232" s="6">
        <v>1000</v>
      </c>
      <c r="G232" s="6" t="s">
        <v>104</v>
      </c>
      <c r="H232" s="6"/>
      <c r="I232" s="6"/>
      <c r="J232" s="6"/>
      <c r="K232" s="7"/>
      <c r="L232" s="49"/>
      <c r="M232" s="49"/>
      <c r="N232" s="6"/>
      <c r="O232" s="6"/>
      <c r="P232" s="1" t="e">
        <f>VLOOKUP(Table3[[#This Row],[UNIT NO.]],[1]!Table357[[#Headers],[#Data],[Unit '#]:[Application/Sold/ Unsold]],7,0)</f>
        <v>#REF!</v>
      </c>
    </row>
    <row r="233" spans="2:16" x14ac:dyDescent="0.25">
      <c r="B233" s="5">
        <f t="shared" si="3"/>
        <v>230</v>
      </c>
      <c r="C233" s="29"/>
      <c r="D233" s="6" t="s">
        <v>2527</v>
      </c>
      <c r="E233" s="6" t="s">
        <v>2593</v>
      </c>
      <c r="F233" s="6">
        <v>1000</v>
      </c>
      <c r="G233" s="6" t="s">
        <v>104</v>
      </c>
      <c r="H233" s="6"/>
      <c r="I233" s="6"/>
      <c r="J233" s="6"/>
      <c r="K233" s="7"/>
      <c r="L233" s="49"/>
      <c r="M233" s="49"/>
      <c r="N233" s="6"/>
      <c r="O233" s="6"/>
      <c r="P233" s="1" t="e">
        <f>VLOOKUP(Table3[[#This Row],[UNIT NO.]],[1]!Table357[[#Headers],[#Data],[Unit '#]:[Application/Sold/ Unsold]],7,0)</f>
        <v>#REF!</v>
      </c>
    </row>
    <row r="234" spans="2:16" x14ac:dyDescent="0.25">
      <c r="B234" s="5">
        <f t="shared" si="3"/>
        <v>231</v>
      </c>
      <c r="C234" s="29"/>
      <c r="D234" s="6" t="s">
        <v>2527</v>
      </c>
      <c r="E234" s="6" t="s">
        <v>2594</v>
      </c>
      <c r="F234" s="6">
        <v>1000</v>
      </c>
      <c r="G234" s="6" t="s">
        <v>104</v>
      </c>
      <c r="H234" s="6"/>
      <c r="I234" s="6"/>
      <c r="J234" s="6"/>
      <c r="K234" s="7"/>
      <c r="L234" s="49"/>
      <c r="M234" s="49"/>
      <c r="N234" s="6"/>
      <c r="O234" s="6"/>
      <c r="P234" s="1" t="e">
        <f>VLOOKUP(Table3[[#This Row],[UNIT NO.]],[1]!Table357[[#Headers],[#Data],[Unit '#]:[Application/Sold/ Unsold]],7,0)</f>
        <v>#REF!</v>
      </c>
    </row>
    <row r="235" spans="2:16" x14ac:dyDescent="0.25">
      <c r="B235" s="5">
        <f t="shared" si="3"/>
        <v>232</v>
      </c>
      <c r="C235" s="29"/>
      <c r="D235" s="6" t="s">
        <v>2527</v>
      </c>
      <c r="E235" s="6" t="s">
        <v>2595</v>
      </c>
      <c r="F235" s="6">
        <v>1000</v>
      </c>
      <c r="G235" s="6" t="s">
        <v>104</v>
      </c>
      <c r="H235" s="6"/>
      <c r="I235" s="6"/>
      <c r="J235" s="6"/>
      <c r="K235" s="7"/>
      <c r="L235" s="49"/>
      <c r="M235" s="49"/>
      <c r="N235" s="6"/>
      <c r="O235" s="6"/>
      <c r="P235" s="1" t="e">
        <f>VLOOKUP(Table3[[#This Row],[UNIT NO.]],[1]!Table357[[#Headers],[#Data],[Unit '#]:[Application/Sold/ Unsold]],7,0)</f>
        <v>#REF!</v>
      </c>
    </row>
    <row r="236" spans="2:16" x14ac:dyDescent="0.25">
      <c r="B236" s="5">
        <f t="shared" si="3"/>
        <v>233</v>
      </c>
      <c r="C236" s="29"/>
      <c r="D236" s="6" t="s">
        <v>2527</v>
      </c>
      <c r="E236" s="6" t="s">
        <v>2596</v>
      </c>
      <c r="F236" s="6">
        <v>1000</v>
      </c>
      <c r="G236" s="6" t="s">
        <v>104</v>
      </c>
      <c r="H236" s="6"/>
      <c r="I236" s="6"/>
      <c r="J236" s="6"/>
      <c r="K236" s="7"/>
      <c r="L236" s="49"/>
      <c r="M236" s="49"/>
      <c r="N236" s="6"/>
      <c r="O236" s="6"/>
      <c r="P236" s="1" t="e">
        <f>VLOOKUP(Table3[[#This Row],[UNIT NO.]],[1]!Table357[[#Headers],[#Data],[Unit '#]:[Application/Sold/ Unsold]],7,0)</f>
        <v>#REF!</v>
      </c>
    </row>
    <row r="237" spans="2:16" x14ac:dyDescent="0.25">
      <c r="B237" s="5">
        <f t="shared" si="3"/>
        <v>234</v>
      </c>
      <c r="C237" s="29"/>
      <c r="D237" s="6" t="s">
        <v>2527</v>
      </c>
      <c r="E237" s="6" t="s">
        <v>2597</v>
      </c>
      <c r="F237" s="6">
        <v>1000</v>
      </c>
      <c r="G237" s="6" t="s">
        <v>104</v>
      </c>
      <c r="H237" s="6"/>
      <c r="I237" s="6"/>
      <c r="J237" s="6"/>
      <c r="K237" s="7"/>
      <c r="L237" s="49"/>
      <c r="M237" s="49"/>
      <c r="N237" s="6"/>
      <c r="O237" s="6"/>
      <c r="P237" s="1" t="e">
        <f>VLOOKUP(Table3[[#This Row],[UNIT NO.]],[1]!Table357[[#Headers],[#Data],[Unit '#]:[Application/Sold/ Unsold]],7,0)</f>
        <v>#REF!</v>
      </c>
    </row>
    <row r="238" spans="2:16" x14ac:dyDescent="0.25">
      <c r="B238" s="5">
        <f t="shared" si="3"/>
        <v>235</v>
      </c>
      <c r="C238" s="29"/>
      <c r="D238" s="6" t="s">
        <v>2527</v>
      </c>
      <c r="E238" s="6" t="s">
        <v>2598</v>
      </c>
      <c r="F238" s="6">
        <v>1000</v>
      </c>
      <c r="G238" s="6" t="s">
        <v>104</v>
      </c>
      <c r="H238" s="6"/>
      <c r="I238" s="6"/>
      <c r="J238" s="6"/>
      <c r="K238" s="7"/>
      <c r="L238" s="49"/>
      <c r="M238" s="49"/>
      <c r="N238" s="6"/>
      <c r="O238" s="6"/>
      <c r="P238" s="1" t="e">
        <f>VLOOKUP(Table3[[#This Row],[UNIT NO.]],[1]!Table357[[#Headers],[#Data],[Unit '#]:[Application/Sold/ Unsold]],7,0)</f>
        <v>#REF!</v>
      </c>
    </row>
    <row r="239" spans="2:16" x14ac:dyDescent="0.25">
      <c r="B239" s="5">
        <f t="shared" si="3"/>
        <v>236</v>
      </c>
      <c r="C239" s="29"/>
      <c r="D239" s="6" t="s">
        <v>2527</v>
      </c>
      <c r="E239" s="6" t="s">
        <v>2599</v>
      </c>
      <c r="F239" s="6">
        <v>1000</v>
      </c>
      <c r="G239" s="6" t="s">
        <v>104</v>
      </c>
      <c r="H239" s="6"/>
      <c r="I239" s="6"/>
      <c r="J239" s="6"/>
      <c r="K239" s="7"/>
      <c r="L239" s="49"/>
      <c r="M239" s="49"/>
      <c r="N239" s="6"/>
      <c r="O239" s="6"/>
      <c r="P239" s="1" t="e">
        <f>VLOOKUP(Table3[[#This Row],[UNIT NO.]],[1]!Table357[[#Headers],[#Data],[Unit '#]:[Application/Sold/ Unsold]],7,0)</f>
        <v>#REF!</v>
      </c>
    </row>
    <row r="240" spans="2:16" x14ac:dyDescent="0.25">
      <c r="B240" s="5">
        <f t="shared" si="3"/>
        <v>237</v>
      </c>
      <c r="C240" s="29"/>
      <c r="D240" s="6" t="s">
        <v>2527</v>
      </c>
      <c r="E240" s="6" t="s">
        <v>2600</v>
      </c>
      <c r="F240" s="6">
        <v>1000</v>
      </c>
      <c r="G240" s="6" t="s">
        <v>104</v>
      </c>
      <c r="H240" s="6"/>
      <c r="I240" s="6"/>
      <c r="J240" s="6"/>
      <c r="K240" s="7"/>
      <c r="L240" s="49"/>
      <c r="M240" s="49"/>
      <c r="N240" s="6"/>
      <c r="O240" s="6"/>
      <c r="P240" s="1" t="e">
        <f>VLOOKUP(Table3[[#This Row],[UNIT NO.]],[1]!Table357[[#Headers],[#Data],[Unit '#]:[Application/Sold/ Unsold]],7,0)</f>
        <v>#REF!</v>
      </c>
    </row>
    <row r="241" spans="2:16" x14ac:dyDescent="0.25">
      <c r="B241" s="5">
        <f t="shared" si="3"/>
        <v>238</v>
      </c>
      <c r="C241" s="29"/>
      <c r="D241" s="6" t="s">
        <v>2527</v>
      </c>
      <c r="E241" s="6" t="s">
        <v>2601</v>
      </c>
      <c r="F241" s="6">
        <v>1000</v>
      </c>
      <c r="G241" s="6" t="s">
        <v>104</v>
      </c>
      <c r="H241" s="6"/>
      <c r="I241" s="6"/>
      <c r="J241" s="6"/>
      <c r="K241" s="7"/>
      <c r="L241" s="49"/>
      <c r="M241" s="49"/>
      <c r="N241" s="6"/>
      <c r="O241" s="6"/>
      <c r="P241" s="1" t="e">
        <f>VLOOKUP(Table3[[#This Row],[UNIT NO.]],[1]!Table357[[#Headers],[#Data],[Unit '#]:[Application/Sold/ Unsold]],7,0)</f>
        <v>#REF!</v>
      </c>
    </row>
    <row r="242" spans="2:16" x14ac:dyDescent="0.25">
      <c r="B242" s="5">
        <f t="shared" si="3"/>
        <v>239</v>
      </c>
      <c r="C242" s="29"/>
      <c r="D242" s="6" t="s">
        <v>2527</v>
      </c>
      <c r="E242" s="6" t="s">
        <v>2602</v>
      </c>
      <c r="F242" s="6">
        <v>1000</v>
      </c>
      <c r="G242" s="6" t="s">
        <v>104</v>
      </c>
      <c r="H242" s="6"/>
      <c r="I242" s="6"/>
      <c r="J242" s="6"/>
      <c r="K242" s="7"/>
      <c r="L242" s="49"/>
      <c r="M242" s="49"/>
      <c r="N242" s="6"/>
      <c r="O242" s="6"/>
      <c r="P242" s="1" t="e">
        <f>VLOOKUP(Table3[[#This Row],[UNIT NO.]],[1]!Table357[[#Headers],[#Data],[Unit '#]:[Application/Sold/ Unsold]],7,0)</f>
        <v>#REF!</v>
      </c>
    </row>
    <row r="243" spans="2:16" x14ac:dyDescent="0.25">
      <c r="B243" s="5">
        <f t="shared" si="3"/>
        <v>240</v>
      </c>
      <c r="C243" s="29"/>
      <c r="D243" s="6" t="s">
        <v>2527</v>
      </c>
      <c r="E243" s="6" t="s">
        <v>2603</v>
      </c>
      <c r="F243" s="6">
        <v>1000</v>
      </c>
      <c r="G243" s="6" t="s">
        <v>104</v>
      </c>
      <c r="H243" s="6"/>
      <c r="I243" s="6"/>
      <c r="J243" s="6"/>
      <c r="K243" s="7"/>
      <c r="L243" s="49"/>
      <c r="M243" s="49"/>
      <c r="N243" s="6"/>
      <c r="O243" s="6"/>
      <c r="P243" s="1" t="e">
        <f>VLOOKUP(Table3[[#This Row],[UNIT NO.]],[1]!Table357[[#Headers],[#Data],[Unit '#]:[Application/Sold/ Unsold]],7,0)</f>
        <v>#REF!</v>
      </c>
    </row>
    <row r="244" spans="2:16" x14ac:dyDescent="0.25">
      <c r="B244" s="5">
        <f t="shared" si="3"/>
        <v>241</v>
      </c>
      <c r="C244" s="29"/>
      <c r="D244" s="6" t="s">
        <v>2527</v>
      </c>
      <c r="E244" s="6" t="s">
        <v>2604</v>
      </c>
      <c r="F244" s="6">
        <v>1000</v>
      </c>
      <c r="G244" s="6" t="s">
        <v>104</v>
      </c>
      <c r="H244" s="6"/>
      <c r="I244" s="6"/>
      <c r="J244" s="6"/>
      <c r="K244" s="7"/>
      <c r="L244" s="49"/>
      <c r="M244" s="49"/>
      <c r="N244" s="6"/>
      <c r="O244" s="6"/>
      <c r="P244" s="1" t="e">
        <f>VLOOKUP(Table3[[#This Row],[UNIT NO.]],[1]!Table357[[#Headers],[#Data],[Unit '#]:[Application/Sold/ Unsold]],7,0)</f>
        <v>#REF!</v>
      </c>
    </row>
    <row r="245" spans="2:16" x14ac:dyDescent="0.25">
      <c r="B245" s="5">
        <f t="shared" si="3"/>
        <v>242</v>
      </c>
      <c r="C245" s="29"/>
      <c r="D245" s="6" t="s">
        <v>2527</v>
      </c>
      <c r="E245" s="6" t="s">
        <v>2605</v>
      </c>
      <c r="F245" s="6">
        <v>1000</v>
      </c>
      <c r="G245" s="6" t="s">
        <v>104</v>
      </c>
      <c r="H245" s="6"/>
      <c r="I245" s="6"/>
      <c r="J245" s="6"/>
      <c r="K245" s="7"/>
      <c r="L245" s="49"/>
      <c r="M245" s="49"/>
      <c r="N245" s="6"/>
      <c r="O245" s="6"/>
      <c r="P245" s="1" t="e">
        <f>VLOOKUP(Table3[[#This Row],[UNIT NO.]],[1]!Table357[[#Headers],[#Data],[Unit '#]:[Application/Sold/ Unsold]],7,0)</f>
        <v>#REF!</v>
      </c>
    </row>
    <row r="246" spans="2:16" x14ac:dyDescent="0.25">
      <c r="B246" s="5">
        <f t="shared" si="3"/>
        <v>243</v>
      </c>
      <c r="C246" s="29"/>
      <c r="D246" s="6" t="s">
        <v>2527</v>
      </c>
      <c r="E246" s="6" t="s">
        <v>2606</v>
      </c>
      <c r="F246" s="6">
        <v>1000</v>
      </c>
      <c r="G246" s="6" t="s">
        <v>104</v>
      </c>
      <c r="H246" s="6"/>
      <c r="I246" s="6"/>
      <c r="J246" s="6"/>
      <c r="K246" s="7"/>
      <c r="L246" s="49"/>
      <c r="M246" s="49"/>
      <c r="N246" s="6"/>
      <c r="O246" s="6"/>
      <c r="P246" s="1" t="e">
        <f>VLOOKUP(Table3[[#This Row],[UNIT NO.]],[1]!Table357[[#Headers],[#Data],[Unit '#]:[Application/Sold/ Unsold]],7,0)</f>
        <v>#REF!</v>
      </c>
    </row>
    <row r="247" spans="2:16" x14ac:dyDescent="0.25">
      <c r="B247" s="5">
        <f t="shared" si="3"/>
        <v>244</v>
      </c>
      <c r="C247" s="29"/>
      <c r="D247" s="6" t="s">
        <v>2527</v>
      </c>
      <c r="E247" s="6" t="s">
        <v>2607</v>
      </c>
      <c r="F247" s="6">
        <v>1000</v>
      </c>
      <c r="G247" s="6" t="s">
        <v>104</v>
      </c>
      <c r="H247" s="6"/>
      <c r="I247" s="6"/>
      <c r="J247" s="6"/>
      <c r="K247" s="7"/>
      <c r="L247" s="49"/>
      <c r="M247" s="49"/>
      <c r="N247" s="6"/>
      <c r="O247" s="6"/>
      <c r="P247" s="1" t="e">
        <f>VLOOKUP(Table3[[#This Row],[UNIT NO.]],[1]!Table357[[#Headers],[#Data],[Unit '#]:[Application/Sold/ Unsold]],7,0)</f>
        <v>#REF!</v>
      </c>
    </row>
    <row r="248" spans="2:16" x14ac:dyDescent="0.25">
      <c r="B248" s="5">
        <f t="shared" si="3"/>
        <v>245</v>
      </c>
      <c r="C248" s="29"/>
      <c r="D248" s="6" t="s">
        <v>2527</v>
      </c>
      <c r="E248" s="6" t="s">
        <v>2608</v>
      </c>
      <c r="F248" s="6">
        <v>1000</v>
      </c>
      <c r="G248" s="6" t="s">
        <v>104</v>
      </c>
      <c r="H248" s="6"/>
      <c r="I248" s="6"/>
      <c r="J248" s="6"/>
      <c r="K248" s="7"/>
      <c r="L248" s="49"/>
      <c r="M248" s="49"/>
      <c r="N248" s="6"/>
      <c r="O248" s="6"/>
      <c r="P248" s="1" t="e">
        <f>VLOOKUP(Table3[[#This Row],[UNIT NO.]],[1]!Table357[[#Headers],[#Data],[Unit '#]:[Application/Sold/ Unsold]],7,0)</f>
        <v>#REF!</v>
      </c>
    </row>
    <row r="249" spans="2:16" x14ac:dyDescent="0.25">
      <c r="B249" s="5">
        <f t="shared" si="3"/>
        <v>246</v>
      </c>
      <c r="C249" s="29"/>
      <c r="D249" s="6" t="s">
        <v>2527</v>
      </c>
      <c r="E249" s="6" t="s">
        <v>2609</v>
      </c>
      <c r="F249" s="6">
        <v>1000</v>
      </c>
      <c r="G249" s="6" t="s">
        <v>104</v>
      </c>
      <c r="H249" s="6"/>
      <c r="I249" s="6"/>
      <c r="J249" s="6"/>
      <c r="K249" s="7"/>
      <c r="L249" s="49"/>
      <c r="M249" s="49"/>
      <c r="N249" s="6"/>
      <c r="O249" s="6"/>
      <c r="P249" s="1" t="e">
        <f>VLOOKUP(Table3[[#This Row],[UNIT NO.]],[1]!Table357[[#Headers],[#Data],[Unit '#]:[Application/Sold/ Unsold]],7,0)</f>
        <v>#REF!</v>
      </c>
    </row>
    <row r="250" spans="2:16" x14ac:dyDescent="0.25">
      <c r="B250" s="5">
        <f t="shared" si="3"/>
        <v>247</v>
      </c>
      <c r="C250" s="29"/>
      <c r="D250" s="6" t="s">
        <v>2527</v>
      </c>
      <c r="E250" s="6" t="s">
        <v>2610</v>
      </c>
      <c r="F250" s="6">
        <v>1000</v>
      </c>
      <c r="G250" s="6" t="s">
        <v>104</v>
      </c>
      <c r="H250" s="6"/>
      <c r="I250" s="6"/>
      <c r="J250" s="6"/>
      <c r="K250" s="7"/>
      <c r="L250" s="49"/>
      <c r="M250" s="49"/>
      <c r="N250" s="6"/>
      <c r="O250" s="6"/>
      <c r="P250" s="1" t="e">
        <f>VLOOKUP(Table3[[#This Row],[UNIT NO.]],[1]!Table357[[#Headers],[#Data],[Unit '#]:[Application/Sold/ Unsold]],7,0)</f>
        <v>#REF!</v>
      </c>
    </row>
    <row r="251" spans="2:16" x14ac:dyDescent="0.25">
      <c r="B251" s="5">
        <f t="shared" si="3"/>
        <v>248</v>
      </c>
      <c r="C251" s="29"/>
      <c r="D251" s="6" t="s">
        <v>2527</v>
      </c>
      <c r="E251" s="6" t="s">
        <v>2611</v>
      </c>
      <c r="F251" s="6">
        <v>1000</v>
      </c>
      <c r="G251" s="6" t="s">
        <v>104</v>
      </c>
      <c r="H251" s="6"/>
      <c r="I251" s="6"/>
      <c r="J251" s="6"/>
      <c r="K251" s="7"/>
      <c r="L251" s="49"/>
      <c r="M251" s="49"/>
      <c r="N251" s="6"/>
      <c r="O251" s="6"/>
      <c r="P251" s="1" t="e">
        <f>VLOOKUP(Table3[[#This Row],[UNIT NO.]],[1]!Table357[[#Headers],[#Data],[Unit '#]:[Application/Sold/ Unsold]],7,0)</f>
        <v>#REF!</v>
      </c>
    </row>
    <row r="252" spans="2:16" x14ac:dyDescent="0.25">
      <c r="B252" s="5">
        <f t="shared" si="3"/>
        <v>249</v>
      </c>
      <c r="C252" s="29"/>
      <c r="D252" s="6" t="s">
        <v>2527</v>
      </c>
      <c r="E252" s="6" t="s">
        <v>2612</v>
      </c>
      <c r="F252" s="6">
        <v>1000</v>
      </c>
      <c r="G252" s="6" t="s">
        <v>104</v>
      </c>
      <c r="H252" s="6"/>
      <c r="I252" s="6"/>
      <c r="J252" s="6"/>
      <c r="K252" s="7"/>
      <c r="L252" s="49"/>
      <c r="M252" s="49"/>
      <c r="N252" s="6"/>
      <c r="O252" s="6"/>
      <c r="P252" s="1" t="e">
        <f>VLOOKUP(Table3[[#This Row],[UNIT NO.]],[1]!Table357[[#Headers],[#Data],[Unit '#]:[Application/Sold/ Unsold]],7,0)</f>
        <v>#REF!</v>
      </c>
    </row>
    <row r="253" spans="2:16" x14ac:dyDescent="0.25">
      <c r="B253" s="5">
        <f t="shared" si="3"/>
        <v>250</v>
      </c>
      <c r="C253" s="29"/>
      <c r="D253" s="6" t="s">
        <v>2527</v>
      </c>
      <c r="E253" s="6" t="s">
        <v>2613</v>
      </c>
      <c r="F253" s="6">
        <v>1000</v>
      </c>
      <c r="G253" s="6" t="s">
        <v>104</v>
      </c>
      <c r="H253" s="6"/>
      <c r="I253" s="6"/>
      <c r="J253" s="6"/>
      <c r="K253" s="7"/>
      <c r="L253" s="49"/>
      <c r="M253" s="49"/>
      <c r="N253" s="6"/>
      <c r="O253" s="6"/>
      <c r="P253" s="1" t="e">
        <f>VLOOKUP(Table3[[#This Row],[UNIT NO.]],[1]!Table357[[#Headers],[#Data],[Unit '#]:[Application/Sold/ Unsold]],7,0)</f>
        <v>#REF!</v>
      </c>
    </row>
    <row r="254" spans="2:16" x14ac:dyDescent="0.25">
      <c r="B254" s="5">
        <f t="shared" si="3"/>
        <v>251</v>
      </c>
      <c r="C254" s="29"/>
      <c r="D254" s="6" t="s">
        <v>2527</v>
      </c>
      <c r="E254" s="6" t="s">
        <v>2614</v>
      </c>
      <c r="F254" s="6">
        <v>1000</v>
      </c>
      <c r="G254" s="6" t="s">
        <v>104</v>
      </c>
      <c r="H254" s="6"/>
      <c r="I254" s="6"/>
      <c r="J254" s="6"/>
      <c r="K254" s="7"/>
      <c r="L254" s="49"/>
      <c r="M254" s="49"/>
      <c r="N254" s="6"/>
      <c r="O254" s="6"/>
      <c r="P254" s="1" t="e">
        <f>VLOOKUP(Table3[[#This Row],[UNIT NO.]],[1]!Table357[[#Headers],[#Data],[Unit '#]:[Application/Sold/ Unsold]],7,0)</f>
        <v>#REF!</v>
      </c>
    </row>
    <row r="255" spans="2:16" x14ac:dyDescent="0.25">
      <c r="B255" s="5">
        <f t="shared" si="3"/>
        <v>252</v>
      </c>
      <c r="C255" s="29"/>
      <c r="D255" s="6" t="s">
        <v>2527</v>
      </c>
      <c r="E255" s="6" t="s">
        <v>2615</v>
      </c>
      <c r="F255" s="6">
        <v>1000</v>
      </c>
      <c r="G255" s="6" t="s">
        <v>104</v>
      </c>
      <c r="H255" s="6"/>
      <c r="I255" s="6"/>
      <c r="J255" s="6"/>
      <c r="K255" s="7"/>
      <c r="L255" s="49"/>
      <c r="M255" s="49"/>
      <c r="N255" s="6"/>
      <c r="O255" s="6"/>
      <c r="P255" s="1" t="e">
        <f>VLOOKUP(Table3[[#This Row],[UNIT NO.]],[1]!Table357[[#Headers],[#Data],[Unit '#]:[Application/Sold/ Unsold]],7,0)</f>
        <v>#REF!</v>
      </c>
    </row>
    <row r="256" spans="2:16" x14ac:dyDescent="0.25">
      <c r="B256" s="5">
        <f t="shared" si="3"/>
        <v>253</v>
      </c>
      <c r="C256" s="29"/>
      <c r="D256" s="6" t="s">
        <v>2527</v>
      </c>
      <c r="E256" s="6" t="s">
        <v>2616</v>
      </c>
      <c r="F256" s="6">
        <v>1000</v>
      </c>
      <c r="G256" s="6" t="s">
        <v>104</v>
      </c>
      <c r="H256" s="6"/>
      <c r="I256" s="6"/>
      <c r="J256" s="6"/>
      <c r="K256" s="7"/>
      <c r="L256" s="49"/>
      <c r="M256" s="49"/>
      <c r="N256" s="6"/>
      <c r="O256" s="6"/>
      <c r="P256" s="1" t="e">
        <f>VLOOKUP(Table3[[#This Row],[UNIT NO.]],[1]!Table357[[#Headers],[#Data],[Unit '#]:[Application/Sold/ Unsold]],7,0)</f>
        <v>#REF!</v>
      </c>
    </row>
    <row r="257" spans="2:16" x14ac:dyDescent="0.25">
      <c r="B257" s="5">
        <f t="shared" si="3"/>
        <v>254</v>
      </c>
      <c r="C257" s="29"/>
      <c r="D257" s="6" t="s">
        <v>2527</v>
      </c>
      <c r="E257" s="6" t="s">
        <v>2617</v>
      </c>
      <c r="F257" s="6">
        <v>1000</v>
      </c>
      <c r="G257" s="6" t="s">
        <v>104</v>
      </c>
      <c r="H257" s="6"/>
      <c r="I257" s="6"/>
      <c r="J257" s="6"/>
      <c r="K257" s="7"/>
      <c r="L257" s="49"/>
      <c r="M257" s="49"/>
      <c r="N257" s="6"/>
      <c r="O257" s="6"/>
      <c r="P257" s="1" t="e">
        <f>VLOOKUP(Table3[[#This Row],[UNIT NO.]],[1]!Table357[[#Headers],[#Data],[Unit '#]:[Application/Sold/ Unsold]],7,0)</f>
        <v>#REF!</v>
      </c>
    </row>
    <row r="258" spans="2:16" x14ac:dyDescent="0.25">
      <c r="B258" s="5">
        <f t="shared" si="3"/>
        <v>255</v>
      </c>
      <c r="C258" s="29"/>
      <c r="D258" s="6" t="s">
        <v>2527</v>
      </c>
      <c r="E258" s="6" t="s">
        <v>2618</v>
      </c>
      <c r="F258" s="6">
        <v>1000</v>
      </c>
      <c r="G258" s="6" t="s">
        <v>104</v>
      </c>
      <c r="H258" s="6"/>
      <c r="I258" s="6"/>
      <c r="J258" s="6"/>
      <c r="K258" s="7"/>
      <c r="L258" s="49"/>
      <c r="M258" s="49"/>
      <c r="N258" s="6"/>
      <c r="O258" s="6"/>
      <c r="P258" s="1" t="e">
        <f>VLOOKUP(Table3[[#This Row],[UNIT NO.]],[1]!Table357[[#Headers],[#Data],[Unit '#]:[Application/Sold/ Unsold]],7,0)</f>
        <v>#REF!</v>
      </c>
    </row>
    <row r="259" spans="2:16" x14ac:dyDescent="0.25">
      <c r="B259" s="5">
        <f t="shared" si="3"/>
        <v>256</v>
      </c>
      <c r="C259" s="29"/>
      <c r="D259" s="6" t="s">
        <v>2527</v>
      </c>
      <c r="E259" s="6" t="s">
        <v>2619</v>
      </c>
      <c r="F259" s="6">
        <v>1000</v>
      </c>
      <c r="G259" s="6" t="s">
        <v>104</v>
      </c>
      <c r="H259" s="6"/>
      <c r="I259" s="6"/>
      <c r="J259" s="6"/>
      <c r="K259" s="7"/>
      <c r="L259" s="49"/>
      <c r="M259" s="49"/>
      <c r="N259" s="6"/>
      <c r="O259" s="6"/>
      <c r="P259" s="1" t="e">
        <f>VLOOKUP(Table3[[#This Row],[UNIT NO.]],[1]!Table357[[#Headers],[#Data],[Unit '#]:[Application/Sold/ Unsold]],7,0)</f>
        <v>#REF!</v>
      </c>
    </row>
    <row r="260" spans="2:16" x14ac:dyDescent="0.25">
      <c r="B260" s="5">
        <f t="shared" si="3"/>
        <v>257</v>
      </c>
      <c r="C260" s="29"/>
      <c r="D260" s="6" t="s">
        <v>2527</v>
      </c>
      <c r="E260" s="6" t="s">
        <v>2620</v>
      </c>
      <c r="F260" s="6">
        <v>1000</v>
      </c>
      <c r="G260" s="6" t="s">
        <v>104</v>
      </c>
      <c r="H260" s="6"/>
      <c r="I260" s="6"/>
      <c r="J260" s="6"/>
      <c r="K260" s="7"/>
      <c r="L260" s="49"/>
      <c r="M260" s="49"/>
      <c r="N260" s="6"/>
      <c r="O260" s="6"/>
      <c r="P260" s="1" t="e">
        <f>VLOOKUP(Table3[[#This Row],[UNIT NO.]],[1]!Table357[[#Headers],[#Data],[Unit '#]:[Application/Sold/ Unsold]],7,0)</f>
        <v>#REF!</v>
      </c>
    </row>
    <row r="261" spans="2:16" x14ac:dyDescent="0.25">
      <c r="B261" s="5">
        <f t="shared" si="3"/>
        <v>258</v>
      </c>
      <c r="C261" s="29"/>
      <c r="D261" s="6" t="s">
        <v>2527</v>
      </c>
      <c r="E261" s="6" t="s">
        <v>2621</v>
      </c>
      <c r="F261" s="6">
        <v>1000</v>
      </c>
      <c r="G261" s="6" t="s">
        <v>104</v>
      </c>
      <c r="H261" s="6"/>
      <c r="I261" s="6"/>
      <c r="J261" s="6"/>
      <c r="K261" s="7"/>
      <c r="L261" s="49"/>
      <c r="M261" s="49"/>
      <c r="N261" s="6"/>
      <c r="O261" s="6"/>
      <c r="P261" s="1" t="e">
        <f>VLOOKUP(Table3[[#This Row],[UNIT NO.]],[1]!Table357[[#Headers],[#Data],[Unit '#]:[Application/Sold/ Unsold]],7,0)</f>
        <v>#REF!</v>
      </c>
    </row>
    <row r="262" spans="2:16" x14ac:dyDescent="0.25">
      <c r="B262" s="5">
        <f t="shared" ref="B262:B325" si="4">B261+1</f>
        <v>259</v>
      </c>
      <c r="C262" s="29"/>
      <c r="D262" s="6" t="s">
        <v>2527</v>
      </c>
      <c r="E262" s="6" t="s">
        <v>2622</v>
      </c>
      <c r="F262" s="6">
        <v>1000</v>
      </c>
      <c r="G262" s="6" t="s">
        <v>104</v>
      </c>
      <c r="H262" s="6"/>
      <c r="I262" s="6"/>
      <c r="J262" s="6"/>
      <c r="K262" s="7"/>
      <c r="L262" s="49"/>
      <c r="M262" s="49"/>
      <c r="N262" s="6"/>
      <c r="O262" s="6"/>
      <c r="P262" s="1" t="e">
        <f>VLOOKUP(Table3[[#This Row],[UNIT NO.]],[1]!Table357[[#Headers],[#Data],[Unit '#]:[Application/Sold/ Unsold]],7,0)</f>
        <v>#REF!</v>
      </c>
    </row>
    <row r="263" spans="2:16" x14ac:dyDescent="0.25">
      <c r="B263" s="5">
        <f t="shared" si="4"/>
        <v>260</v>
      </c>
      <c r="C263" s="29"/>
      <c r="D263" s="6" t="s">
        <v>2527</v>
      </c>
      <c r="E263" s="6" t="s">
        <v>2623</v>
      </c>
      <c r="F263" s="6">
        <v>1000</v>
      </c>
      <c r="G263" s="6" t="s">
        <v>104</v>
      </c>
      <c r="H263" s="6"/>
      <c r="I263" s="6"/>
      <c r="J263" s="6"/>
      <c r="K263" s="7"/>
      <c r="L263" s="49"/>
      <c r="M263" s="49"/>
      <c r="N263" s="6"/>
      <c r="O263" s="6"/>
      <c r="P263" s="1" t="e">
        <f>VLOOKUP(Table3[[#This Row],[UNIT NO.]],[1]!Table357[[#Headers],[#Data],[Unit '#]:[Application/Sold/ Unsold]],7,0)</f>
        <v>#REF!</v>
      </c>
    </row>
    <row r="264" spans="2:16" x14ac:dyDescent="0.25">
      <c r="B264" s="5">
        <f t="shared" si="4"/>
        <v>261</v>
      </c>
      <c r="C264" s="29"/>
      <c r="D264" s="6" t="s">
        <v>2527</v>
      </c>
      <c r="E264" s="6" t="s">
        <v>2624</v>
      </c>
      <c r="F264" s="6">
        <v>1000</v>
      </c>
      <c r="G264" s="6" t="s">
        <v>104</v>
      </c>
      <c r="H264" s="6"/>
      <c r="I264" s="6"/>
      <c r="J264" s="6"/>
      <c r="K264" s="7"/>
      <c r="L264" s="49"/>
      <c r="M264" s="49"/>
      <c r="N264" s="6"/>
      <c r="O264" s="6"/>
      <c r="P264" s="1" t="e">
        <f>VLOOKUP(Table3[[#This Row],[UNIT NO.]],[1]!Table357[[#Headers],[#Data],[Unit '#]:[Application/Sold/ Unsold]],7,0)</f>
        <v>#REF!</v>
      </c>
    </row>
    <row r="265" spans="2:16" x14ac:dyDescent="0.25">
      <c r="B265" s="5">
        <f t="shared" si="4"/>
        <v>262</v>
      </c>
      <c r="C265" s="29"/>
      <c r="D265" s="6" t="s">
        <v>2527</v>
      </c>
      <c r="E265" s="6" t="s">
        <v>2625</v>
      </c>
      <c r="F265" s="6">
        <v>1000</v>
      </c>
      <c r="G265" s="6" t="s">
        <v>104</v>
      </c>
      <c r="H265" s="6"/>
      <c r="I265" s="6"/>
      <c r="J265" s="6"/>
      <c r="K265" s="7"/>
      <c r="L265" s="49"/>
      <c r="M265" s="49"/>
      <c r="N265" s="6"/>
      <c r="O265" s="6"/>
      <c r="P265" s="1" t="e">
        <f>VLOOKUP(Table3[[#This Row],[UNIT NO.]],[1]!Table357[[#Headers],[#Data],[Unit '#]:[Application/Sold/ Unsold]],7,0)</f>
        <v>#REF!</v>
      </c>
    </row>
    <row r="266" spans="2:16" x14ac:dyDescent="0.25">
      <c r="B266" s="5">
        <f t="shared" si="4"/>
        <v>263</v>
      </c>
      <c r="C266" s="29"/>
      <c r="D266" s="6" t="s">
        <v>2527</v>
      </c>
      <c r="E266" s="6" t="s">
        <v>2626</v>
      </c>
      <c r="F266" s="6">
        <v>1000</v>
      </c>
      <c r="G266" s="6" t="s">
        <v>104</v>
      </c>
      <c r="H266" s="6"/>
      <c r="I266" s="6"/>
      <c r="J266" s="6"/>
      <c r="K266" s="7"/>
      <c r="L266" s="49"/>
      <c r="M266" s="49"/>
      <c r="N266" s="6"/>
      <c r="O266" s="6"/>
      <c r="P266" s="1" t="e">
        <f>VLOOKUP(Table3[[#This Row],[UNIT NO.]],[1]!Table357[[#Headers],[#Data],[Unit '#]:[Application/Sold/ Unsold]],7,0)</f>
        <v>#REF!</v>
      </c>
    </row>
    <row r="267" spans="2:16" x14ac:dyDescent="0.25">
      <c r="B267" s="5">
        <f t="shared" si="4"/>
        <v>264</v>
      </c>
      <c r="C267" s="29"/>
      <c r="D267" s="6" t="s">
        <v>2527</v>
      </c>
      <c r="E267" s="6" t="s">
        <v>2627</v>
      </c>
      <c r="F267" s="6">
        <v>1000</v>
      </c>
      <c r="G267" s="6" t="s">
        <v>104</v>
      </c>
      <c r="H267" s="6"/>
      <c r="I267" s="6"/>
      <c r="J267" s="6"/>
      <c r="K267" s="7"/>
      <c r="L267" s="49"/>
      <c r="M267" s="49"/>
      <c r="N267" s="6"/>
      <c r="O267" s="6"/>
      <c r="P267" s="1" t="e">
        <f>VLOOKUP(Table3[[#This Row],[UNIT NO.]],[1]!Table357[[#Headers],[#Data],[Unit '#]:[Application/Sold/ Unsold]],7,0)</f>
        <v>#REF!</v>
      </c>
    </row>
    <row r="268" spans="2:16" x14ac:dyDescent="0.25">
      <c r="B268" s="5">
        <f t="shared" si="4"/>
        <v>265</v>
      </c>
      <c r="C268" s="29"/>
      <c r="D268" s="6" t="s">
        <v>2527</v>
      </c>
      <c r="E268" s="6" t="s">
        <v>2628</v>
      </c>
      <c r="F268" s="6">
        <v>1000</v>
      </c>
      <c r="G268" s="6" t="s">
        <v>104</v>
      </c>
      <c r="H268" s="6"/>
      <c r="I268" s="6"/>
      <c r="J268" s="6"/>
      <c r="K268" s="7"/>
      <c r="L268" s="49"/>
      <c r="M268" s="49"/>
      <c r="N268" s="6"/>
      <c r="O268" s="6"/>
      <c r="P268" s="1" t="e">
        <f>VLOOKUP(Table3[[#This Row],[UNIT NO.]],[1]!Table357[[#Headers],[#Data],[Unit '#]:[Application/Sold/ Unsold]],7,0)</f>
        <v>#REF!</v>
      </c>
    </row>
    <row r="269" spans="2:16" x14ac:dyDescent="0.25">
      <c r="B269" s="5">
        <f t="shared" si="4"/>
        <v>266</v>
      </c>
      <c r="C269" s="29"/>
      <c r="D269" s="6" t="s">
        <v>2527</v>
      </c>
      <c r="E269" s="6" t="s">
        <v>2629</v>
      </c>
      <c r="F269" s="6">
        <v>1000</v>
      </c>
      <c r="G269" s="6" t="s">
        <v>104</v>
      </c>
      <c r="H269" s="6"/>
      <c r="I269" s="6"/>
      <c r="J269" s="6"/>
      <c r="K269" s="7"/>
      <c r="L269" s="49"/>
      <c r="M269" s="49"/>
      <c r="N269" s="6"/>
      <c r="O269" s="6"/>
      <c r="P269" s="1" t="e">
        <f>VLOOKUP(Table3[[#This Row],[UNIT NO.]],[1]!Table357[[#Headers],[#Data],[Unit '#]:[Application/Sold/ Unsold]],7,0)</f>
        <v>#REF!</v>
      </c>
    </row>
    <row r="270" spans="2:16" x14ac:dyDescent="0.25">
      <c r="B270" s="5">
        <f t="shared" si="4"/>
        <v>267</v>
      </c>
      <c r="C270" s="29"/>
      <c r="D270" s="6" t="s">
        <v>2527</v>
      </c>
      <c r="E270" s="6" t="s">
        <v>2630</v>
      </c>
      <c r="F270" s="6">
        <v>1000</v>
      </c>
      <c r="G270" s="6" t="s">
        <v>104</v>
      </c>
      <c r="H270" s="6"/>
      <c r="I270" s="6"/>
      <c r="J270" s="6"/>
      <c r="K270" s="7"/>
      <c r="L270" s="49"/>
      <c r="M270" s="49"/>
      <c r="N270" s="6"/>
      <c r="O270" s="6"/>
      <c r="P270" s="1" t="e">
        <f>VLOOKUP(Table3[[#This Row],[UNIT NO.]],[1]!Table357[[#Headers],[#Data],[Unit '#]:[Application/Sold/ Unsold]],7,0)</f>
        <v>#REF!</v>
      </c>
    </row>
    <row r="271" spans="2:16" x14ac:dyDescent="0.25">
      <c r="B271" s="5">
        <f t="shared" si="4"/>
        <v>268</v>
      </c>
      <c r="C271" s="29"/>
      <c r="D271" s="6" t="s">
        <v>2527</v>
      </c>
      <c r="E271" s="6" t="s">
        <v>2631</v>
      </c>
      <c r="F271" s="6">
        <v>1000</v>
      </c>
      <c r="G271" s="6" t="s">
        <v>104</v>
      </c>
      <c r="H271" s="6"/>
      <c r="I271" s="6"/>
      <c r="J271" s="6"/>
      <c r="K271" s="7"/>
      <c r="L271" s="49"/>
      <c r="M271" s="49"/>
      <c r="N271" s="6"/>
      <c r="O271" s="6"/>
      <c r="P271" s="1" t="e">
        <f>VLOOKUP(Table3[[#This Row],[UNIT NO.]],[1]!Table357[[#Headers],[#Data],[Unit '#]:[Application/Sold/ Unsold]],7,0)</f>
        <v>#REF!</v>
      </c>
    </row>
    <row r="272" spans="2:16" x14ac:dyDescent="0.25">
      <c r="B272" s="5">
        <f t="shared" si="4"/>
        <v>269</v>
      </c>
      <c r="C272" s="29"/>
      <c r="D272" s="6" t="s">
        <v>2527</v>
      </c>
      <c r="E272" s="6" t="s">
        <v>2632</v>
      </c>
      <c r="F272" s="6">
        <v>1000</v>
      </c>
      <c r="G272" s="6" t="s">
        <v>104</v>
      </c>
      <c r="H272" s="6"/>
      <c r="I272" s="6"/>
      <c r="J272" s="6"/>
      <c r="K272" s="7"/>
      <c r="L272" s="49"/>
      <c r="M272" s="49"/>
      <c r="N272" s="6"/>
      <c r="O272" s="6"/>
      <c r="P272" s="1" t="e">
        <f>VLOOKUP(Table3[[#This Row],[UNIT NO.]],[1]!Table357[[#Headers],[#Data],[Unit '#]:[Application/Sold/ Unsold]],7,0)</f>
        <v>#REF!</v>
      </c>
    </row>
    <row r="273" spans="2:16" x14ac:dyDescent="0.25">
      <c r="B273" s="5">
        <f t="shared" si="4"/>
        <v>270</v>
      </c>
      <c r="C273" s="29"/>
      <c r="D273" s="6" t="s">
        <v>2527</v>
      </c>
      <c r="E273" s="6" t="s">
        <v>2633</v>
      </c>
      <c r="F273" s="6">
        <v>1000</v>
      </c>
      <c r="G273" s="6" t="s">
        <v>104</v>
      </c>
      <c r="H273" s="6"/>
      <c r="I273" s="6"/>
      <c r="J273" s="6"/>
      <c r="K273" s="7"/>
      <c r="L273" s="49"/>
      <c r="M273" s="49"/>
      <c r="N273" s="6"/>
      <c r="O273" s="6"/>
      <c r="P273" s="1" t="e">
        <f>VLOOKUP(Table3[[#This Row],[UNIT NO.]],[1]!Table357[[#Headers],[#Data],[Unit '#]:[Application/Sold/ Unsold]],7,0)</f>
        <v>#REF!</v>
      </c>
    </row>
    <row r="274" spans="2:16" x14ac:dyDescent="0.25">
      <c r="B274" s="5">
        <f t="shared" si="4"/>
        <v>271</v>
      </c>
      <c r="C274" s="29"/>
      <c r="D274" s="6" t="s">
        <v>2527</v>
      </c>
      <c r="E274" s="6" t="s">
        <v>2634</v>
      </c>
      <c r="F274" s="6">
        <v>1000</v>
      </c>
      <c r="G274" s="6" t="s">
        <v>104</v>
      </c>
      <c r="H274" s="6"/>
      <c r="I274" s="6"/>
      <c r="J274" s="6"/>
      <c r="K274" s="7"/>
      <c r="L274" s="49"/>
      <c r="M274" s="49"/>
      <c r="N274" s="6"/>
      <c r="O274" s="6"/>
      <c r="P274" s="1" t="e">
        <f>VLOOKUP(Table3[[#This Row],[UNIT NO.]],[1]!Table357[[#Headers],[#Data],[Unit '#]:[Application/Sold/ Unsold]],7,0)</f>
        <v>#REF!</v>
      </c>
    </row>
    <row r="275" spans="2:16" x14ac:dyDescent="0.25">
      <c r="B275" s="5">
        <f t="shared" si="4"/>
        <v>272</v>
      </c>
      <c r="C275" s="29"/>
      <c r="D275" s="6" t="s">
        <v>2527</v>
      </c>
      <c r="E275" s="6" t="s">
        <v>2635</v>
      </c>
      <c r="F275" s="6">
        <v>1000</v>
      </c>
      <c r="G275" s="6" t="s">
        <v>104</v>
      </c>
      <c r="H275" s="6"/>
      <c r="I275" s="6"/>
      <c r="J275" s="6"/>
      <c r="K275" s="7"/>
      <c r="L275" s="49"/>
      <c r="M275" s="49"/>
      <c r="N275" s="6"/>
      <c r="O275" s="6"/>
      <c r="P275" s="1" t="e">
        <f>VLOOKUP(Table3[[#This Row],[UNIT NO.]],[1]!Table357[[#Headers],[#Data],[Unit '#]:[Application/Sold/ Unsold]],7,0)</f>
        <v>#REF!</v>
      </c>
    </row>
    <row r="276" spans="2:16" x14ac:dyDescent="0.25">
      <c r="B276" s="5">
        <f t="shared" si="4"/>
        <v>273</v>
      </c>
      <c r="C276" s="29"/>
      <c r="D276" s="6" t="s">
        <v>2527</v>
      </c>
      <c r="E276" s="6" t="s">
        <v>2636</v>
      </c>
      <c r="F276" s="6">
        <v>1000</v>
      </c>
      <c r="G276" s="6" t="s">
        <v>104</v>
      </c>
      <c r="H276" s="6"/>
      <c r="I276" s="6"/>
      <c r="J276" s="6"/>
      <c r="K276" s="7"/>
      <c r="L276" s="49"/>
      <c r="M276" s="49"/>
      <c r="N276" s="6"/>
      <c r="O276" s="6"/>
      <c r="P276" s="1" t="e">
        <f>VLOOKUP(Table3[[#This Row],[UNIT NO.]],[1]!Table357[[#Headers],[#Data],[Unit '#]:[Application/Sold/ Unsold]],7,0)</f>
        <v>#REF!</v>
      </c>
    </row>
    <row r="277" spans="2:16" x14ac:dyDescent="0.25">
      <c r="B277" s="5">
        <f t="shared" si="4"/>
        <v>274</v>
      </c>
      <c r="C277" s="29"/>
      <c r="D277" s="6" t="s">
        <v>2527</v>
      </c>
      <c r="E277" s="6" t="s">
        <v>2637</v>
      </c>
      <c r="F277" s="6">
        <v>1000</v>
      </c>
      <c r="G277" s="6" t="s">
        <v>104</v>
      </c>
      <c r="H277" s="6"/>
      <c r="I277" s="6"/>
      <c r="J277" s="6"/>
      <c r="K277" s="7"/>
      <c r="L277" s="49"/>
      <c r="M277" s="49"/>
      <c r="N277" s="6"/>
      <c r="O277" s="6"/>
      <c r="P277" s="1" t="e">
        <f>VLOOKUP(Table3[[#This Row],[UNIT NO.]],[1]!Table357[[#Headers],[#Data],[Unit '#]:[Application/Sold/ Unsold]],7,0)</f>
        <v>#REF!</v>
      </c>
    </row>
    <row r="278" spans="2:16" x14ac:dyDescent="0.25">
      <c r="B278" s="5">
        <f t="shared" si="4"/>
        <v>275</v>
      </c>
      <c r="C278" s="29"/>
      <c r="D278" s="6" t="s">
        <v>2527</v>
      </c>
      <c r="E278" s="6" t="s">
        <v>2638</v>
      </c>
      <c r="F278" s="6">
        <v>1000</v>
      </c>
      <c r="G278" s="6" t="s">
        <v>104</v>
      </c>
      <c r="H278" s="6"/>
      <c r="I278" s="6"/>
      <c r="J278" s="6"/>
      <c r="K278" s="7"/>
      <c r="L278" s="49"/>
      <c r="M278" s="49"/>
      <c r="N278" s="6"/>
      <c r="O278" s="6"/>
      <c r="P278" s="1" t="e">
        <f>VLOOKUP(Table3[[#This Row],[UNIT NO.]],[1]!Table357[[#Headers],[#Data],[Unit '#]:[Application/Sold/ Unsold]],7,0)</f>
        <v>#REF!</v>
      </c>
    </row>
    <row r="279" spans="2:16" x14ac:dyDescent="0.25">
      <c r="B279" s="5">
        <f t="shared" si="4"/>
        <v>276</v>
      </c>
      <c r="C279" s="29"/>
      <c r="D279" s="6" t="s">
        <v>2527</v>
      </c>
      <c r="E279" s="6" t="s">
        <v>2639</v>
      </c>
      <c r="F279" s="6">
        <v>1000</v>
      </c>
      <c r="G279" s="6" t="s">
        <v>104</v>
      </c>
      <c r="H279" s="6"/>
      <c r="I279" s="6"/>
      <c r="J279" s="6"/>
      <c r="K279" s="7"/>
      <c r="L279" s="49"/>
      <c r="M279" s="49"/>
      <c r="N279" s="6"/>
      <c r="O279" s="6"/>
      <c r="P279" s="1" t="e">
        <f>VLOOKUP(Table3[[#This Row],[UNIT NO.]],[1]!Table357[[#Headers],[#Data],[Unit '#]:[Application/Sold/ Unsold]],7,0)</f>
        <v>#REF!</v>
      </c>
    </row>
    <row r="280" spans="2:16" x14ac:dyDescent="0.25">
      <c r="B280" s="5">
        <f t="shared" si="4"/>
        <v>277</v>
      </c>
      <c r="C280" s="29"/>
      <c r="D280" s="6" t="s">
        <v>2527</v>
      </c>
      <c r="E280" s="6" t="s">
        <v>2640</v>
      </c>
      <c r="F280" s="6">
        <v>1000</v>
      </c>
      <c r="G280" s="6" t="s">
        <v>104</v>
      </c>
      <c r="H280" s="6"/>
      <c r="I280" s="6"/>
      <c r="J280" s="6"/>
      <c r="K280" s="7"/>
      <c r="L280" s="49"/>
      <c r="M280" s="49"/>
      <c r="N280" s="6"/>
      <c r="O280" s="6"/>
      <c r="P280" s="1" t="e">
        <f>VLOOKUP(Table3[[#This Row],[UNIT NO.]],[1]!Table357[[#Headers],[#Data],[Unit '#]:[Application/Sold/ Unsold]],7,0)</f>
        <v>#REF!</v>
      </c>
    </row>
    <row r="281" spans="2:16" x14ac:dyDescent="0.25">
      <c r="B281" s="5">
        <f t="shared" si="4"/>
        <v>278</v>
      </c>
      <c r="C281" s="29"/>
      <c r="D281" s="6" t="s">
        <v>2527</v>
      </c>
      <c r="E281" s="6" t="s">
        <v>2641</v>
      </c>
      <c r="F281" s="6">
        <v>1000</v>
      </c>
      <c r="G281" s="6" t="s">
        <v>104</v>
      </c>
      <c r="H281" s="6"/>
      <c r="I281" s="6"/>
      <c r="J281" s="6"/>
      <c r="K281" s="7"/>
      <c r="L281" s="49"/>
      <c r="M281" s="49"/>
      <c r="N281" s="6"/>
      <c r="O281" s="6"/>
      <c r="P281" s="1" t="e">
        <f>VLOOKUP(Table3[[#This Row],[UNIT NO.]],[1]!Table357[[#Headers],[#Data],[Unit '#]:[Application/Sold/ Unsold]],7,0)</f>
        <v>#REF!</v>
      </c>
    </row>
    <row r="282" spans="2:16" x14ac:dyDescent="0.25">
      <c r="B282" s="5">
        <f t="shared" si="4"/>
        <v>279</v>
      </c>
      <c r="C282" s="29"/>
      <c r="D282" s="6" t="s">
        <v>2527</v>
      </c>
      <c r="E282" s="6" t="s">
        <v>2642</v>
      </c>
      <c r="F282" s="6">
        <v>1000</v>
      </c>
      <c r="G282" s="6" t="s">
        <v>104</v>
      </c>
      <c r="H282" s="6"/>
      <c r="I282" s="6"/>
      <c r="J282" s="6"/>
      <c r="K282" s="7"/>
      <c r="L282" s="49"/>
      <c r="M282" s="49"/>
      <c r="N282" s="6"/>
      <c r="O282" s="6"/>
      <c r="P282" s="1" t="e">
        <f>VLOOKUP(Table3[[#This Row],[UNIT NO.]],[1]!Table357[[#Headers],[#Data],[Unit '#]:[Application/Sold/ Unsold]],7,0)</f>
        <v>#REF!</v>
      </c>
    </row>
    <row r="283" spans="2:16" x14ac:dyDescent="0.25">
      <c r="B283" s="5">
        <f t="shared" si="4"/>
        <v>280</v>
      </c>
      <c r="C283" s="29"/>
      <c r="D283" s="6" t="s">
        <v>2527</v>
      </c>
      <c r="E283" s="6" t="s">
        <v>2643</v>
      </c>
      <c r="F283" s="6">
        <v>1000</v>
      </c>
      <c r="G283" s="6" t="s">
        <v>104</v>
      </c>
      <c r="H283" s="6"/>
      <c r="I283" s="6"/>
      <c r="J283" s="6"/>
      <c r="K283" s="7"/>
      <c r="L283" s="49"/>
      <c r="M283" s="49"/>
      <c r="N283" s="6"/>
      <c r="O283" s="6"/>
      <c r="P283" s="1" t="e">
        <f>VLOOKUP(Table3[[#This Row],[UNIT NO.]],[1]!Table357[[#Headers],[#Data],[Unit '#]:[Application/Sold/ Unsold]],7,0)</f>
        <v>#REF!</v>
      </c>
    </row>
    <row r="284" spans="2:16" x14ac:dyDescent="0.25">
      <c r="B284" s="5">
        <f t="shared" si="4"/>
        <v>281</v>
      </c>
      <c r="C284" s="29"/>
      <c r="D284" s="40" t="s">
        <v>2644</v>
      </c>
      <c r="E284" s="40" t="s">
        <v>2645</v>
      </c>
      <c r="F284" s="59">
        <v>830</v>
      </c>
      <c r="G284" s="6" t="s">
        <v>104</v>
      </c>
      <c r="H284" s="6"/>
      <c r="I284" s="6"/>
      <c r="J284" s="6"/>
      <c r="K284" s="7"/>
      <c r="L284" s="49"/>
      <c r="M284" s="49"/>
      <c r="N284" s="6"/>
      <c r="O284" s="6"/>
      <c r="P284" s="1" t="e">
        <f>VLOOKUP(Table3[[#This Row],[UNIT NO.]],[1]!Table357[[#Headers],[#Data],[Unit '#]:[Application/Sold/ Unsold]],7,0)</f>
        <v>#REF!</v>
      </c>
    </row>
    <row r="285" spans="2:16" x14ac:dyDescent="0.25">
      <c r="B285" s="5">
        <f t="shared" si="4"/>
        <v>282</v>
      </c>
      <c r="C285" s="29"/>
      <c r="D285" s="40" t="s">
        <v>2644</v>
      </c>
      <c r="E285" s="40" t="s">
        <v>2646</v>
      </c>
      <c r="F285" s="59">
        <v>830</v>
      </c>
      <c r="G285" s="6" t="s">
        <v>104</v>
      </c>
      <c r="H285" s="6"/>
      <c r="I285" s="6"/>
      <c r="J285" s="6"/>
      <c r="K285" s="7"/>
      <c r="L285" s="49"/>
      <c r="M285" s="49"/>
      <c r="N285" s="6"/>
      <c r="O285" s="6"/>
      <c r="P285" s="1" t="e">
        <f>VLOOKUP(Table3[[#This Row],[UNIT NO.]],[1]!Table357[[#Headers],[#Data],[Unit '#]:[Application/Sold/ Unsold]],7,0)</f>
        <v>#REF!</v>
      </c>
    </row>
    <row r="286" spans="2:16" x14ac:dyDescent="0.25">
      <c r="B286" s="5">
        <f t="shared" si="4"/>
        <v>283</v>
      </c>
      <c r="C286" s="29"/>
      <c r="D286" s="40" t="s">
        <v>2644</v>
      </c>
      <c r="E286" s="40" t="s">
        <v>2647</v>
      </c>
      <c r="F286" s="59">
        <v>830</v>
      </c>
      <c r="G286" s="6" t="s">
        <v>104</v>
      </c>
      <c r="H286" s="6"/>
      <c r="I286" s="6"/>
      <c r="J286" s="6"/>
      <c r="K286" s="7"/>
      <c r="L286" s="49"/>
      <c r="M286" s="49"/>
      <c r="N286" s="6"/>
      <c r="O286" s="6"/>
      <c r="P286" s="1" t="e">
        <f>VLOOKUP(Table3[[#This Row],[UNIT NO.]],[1]!Table357[[#Headers],[#Data],[Unit '#]:[Application/Sold/ Unsold]],7,0)</f>
        <v>#REF!</v>
      </c>
    </row>
    <row r="287" spans="2:16" x14ac:dyDescent="0.25">
      <c r="B287" s="5">
        <f t="shared" si="4"/>
        <v>284</v>
      </c>
      <c r="C287" s="29"/>
      <c r="D287" s="40" t="s">
        <v>2644</v>
      </c>
      <c r="E287" s="40" t="s">
        <v>2648</v>
      </c>
      <c r="F287" s="59">
        <v>830</v>
      </c>
      <c r="G287" s="6" t="s">
        <v>104</v>
      </c>
      <c r="H287" s="6"/>
      <c r="I287" s="6"/>
      <c r="J287" s="6"/>
      <c r="K287" s="7"/>
      <c r="L287" s="49"/>
      <c r="M287" s="49"/>
      <c r="N287" s="6"/>
      <c r="O287" s="6"/>
      <c r="P287" s="1" t="e">
        <f>VLOOKUP(Table3[[#This Row],[UNIT NO.]],[1]!Table357[[#Headers],[#Data],[Unit '#]:[Application/Sold/ Unsold]],7,0)</f>
        <v>#REF!</v>
      </c>
    </row>
    <row r="288" spans="2:16" x14ac:dyDescent="0.25">
      <c r="B288" s="5">
        <f t="shared" si="4"/>
        <v>285</v>
      </c>
      <c r="C288" s="29"/>
      <c r="D288" s="40" t="s">
        <v>2644</v>
      </c>
      <c r="E288" s="40" t="s">
        <v>2649</v>
      </c>
      <c r="F288" s="59">
        <v>830</v>
      </c>
      <c r="G288" s="6" t="s">
        <v>104</v>
      </c>
      <c r="H288" s="6"/>
      <c r="I288" s="6"/>
      <c r="J288" s="6"/>
      <c r="K288" s="7"/>
      <c r="L288" s="49"/>
      <c r="M288" s="49"/>
      <c r="N288" s="6"/>
      <c r="O288" s="6"/>
      <c r="P288" s="1" t="e">
        <f>VLOOKUP(Table3[[#This Row],[UNIT NO.]],[1]!Table357[[#Headers],[#Data],[Unit '#]:[Application/Sold/ Unsold]],7,0)</f>
        <v>#REF!</v>
      </c>
    </row>
    <row r="289" spans="2:16" x14ac:dyDescent="0.25">
      <c r="B289" s="5">
        <f t="shared" si="4"/>
        <v>286</v>
      </c>
      <c r="C289" s="29"/>
      <c r="D289" s="40" t="s">
        <v>2644</v>
      </c>
      <c r="E289" s="40" t="s">
        <v>2650</v>
      </c>
      <c r="F289" s="59">
        <v>830</v>
      </c>
      <c r="G289" s="6" t="s">
        <v>104</v>
      </c>
      <c r="H289" s="6"/>
      <c r="I289" s="6"/>
      <c r="J289" s="6"/>
      <c r="K289" s="7"/>
      <c r="L289" s="49"/>
      <c r="M289" s="49"/>
      <c r="N289" s="6"/>
      <c r="O289" s="6"/>
      <c r="P289" s="1" t="e">
        <f>VLOOKUP(Table3[[#This Row],[UNIT NO.]],[1]!Table357[[#Headers],[#Data],[Unit '#]:[Application/Sold/ Unsold]],7,0)</f>
        <v>#REF!</v>
      </c>
    </row>
    <row r="290" spans="2:16" x14ac:dyDescent="0.25">
      <c r="B290" s="5">
        <f t="shared" si="4"/>
        <v>287</v>
      </c>
      <c r="C290" s="29"/>
      <c r="D290" s="40" t="s">
        <v>2644</v>
      </c>
      <c r="E290" s="40" t="s">
        <v>2651</v>
      </c>
      <c r="F290" s="59">
        <v>830</v>
      </c>
      <c r="G290" s="6" t="s">
        <v>104</v>
      </c>
      <c r="H290" s="6"/>
      <c r="I290" s="6"/>
      <c r="J290" s="6"/>
      <c r="K290" s="7"/>
      <c r="L290" s="49"/>
      <c r="M290" s="49"/>
      <c r="N290" s="6"/>
      <c r="O290" s="6"/>
      <c r="P290" s="1" t="e">
        <f>VLOOKUP(Table3[[#This Row],[UNIT NO.]],[1]!Table357[[#Headers],[#Data],[Unit '#]:[Application/Sold/ Unsold]],7,0)</f>
        <v>#REF!</v>
      </c>
    </row>
    <row r="291" spans="2:16" x14ac:dyDescent="0.25">
      <c r="B291" s="5">
        <f t="shared" si="4"/>
        <v>288</v>
      </c>
      <c r="C291" s="29"/>
      <c r="D291" s="40" t="s">
        <v>2644</v>
      </c>
      <c r="E291" s="40" t="s">
        <v>2652</v>
      </c>
      <c r="F291" s="59">
        <v>830</v>
      </c>
      <c r="G291" s="6" t="s">
        <v>104</v>
      </c>
      <c r="H291" s="6"/>
      <c r="I291" s="6"/>
      <c r="J291" s="6"/>
      <c r="K291" s="7"/>
      <c r="L291" s="49"/>
      <c r="M291" s="49"/>
      <c r="N291" s="6"/>
      <c r="O291" s="6"/>
      <c r="P291" s="1" t="e">
        <f>VLOOKUP(Table3[[#This Row],[UNIT NO.]],[1]!Table357[[#Headers],[#Data],[Unit '#]:[Application/Sold/ Unsold]],7,0)</f>
        <v>#REF!</v>
      </c>
    </row>
    <row r="292" spans="2:16" x14ac:dyDescent="0.25">
      <c r="B292" s="5">
        <f t="shared" si="4"/>
        <v>289</v>
      </c>
      <c r="C292" s="29"/>
      <c r="D292" s="40" t="s">
        <v>2644</v>
      </c>
      <c r="E292" s="40" t="s">
        <v>2653</v>
      </c>
      <c r="F292" s="59">
        <v>830</v>
      </c>
      <c r="G292" s="6" t="s">
        <v>104</v>
      </c>
      <c r="H292" s="6"/>
      <c r="I292" s="6"/>
      <c r="J292" s="6"/>
      <c r="K292" s="7"/>
      <c r="L292" s="49"/>
      <c r="M292" s="49"/>
      <c r="N292" s="6"/>
      <c r="O292" s="6"/>
      <c r="P292" s="1" t="e">
        <f>VLOOKUP(Table3[[#This Row],[UNIT NO.]],[1]!Table357[[#Headers],[#Data],[Unit '#]:[Application/Sold/ Unsold]],7,0)</f>
        <v>#REF!</v>
      </c>
    </row>
    <row r="293" spans="2:16" x14ac:dyDescent="0.25">
      <c r="B293" s="5">
        <f t="shared" si="4"/>
        <v>290</v>
      </c>
      <c r="C293" s="29"/>
      <c r="D293" s="40" t="s">
        <v>2644</v>
      </c>
      <c r="E293" s="40" t="s">
        <v>2654</v>
      </c>
      <c r="F293" s="59">
        <v>830</v>
      </c>
      <c r="G293" s="6" t="s">
        <v>104</v>
      </c>
      <c r="H293" s="6"/>
      <c r="I293" s="6"/>
      <c r="J293" s="6"/>
      <c r="K293" s="7"/>
      <c r="L293" s="49"/>
      <c r="M293" s="49"/>
      <c r="N293" s="6"/>
      <c r="O293" s="6"/>
      <c r="P293" s="1" t="e">
        <f>VLOOKUP(Table3[[#This Row],[UNIT NO.]],[1]!Table357[[#Headers],[#Data],[Unit '#]:[Application/Sold/ Unsold]],7,0)</f>
        <v>#REF!</v>
      </c>
    </row>
    <row r="294" spans="2:16" x14ac:dyDescent="0.25">
      <c r="B294" s="5">
        <f t="shared" si="4"/>
        <v>291</v>
      </c>
      <c r="C294" s="29"/>
      <c r="D294" s="40" t="s">
        <v>2644</v>
      </c>
      <c r="E294" s="40" t="s">
        <v>2655</v>
      </c>
      <c r="F294" s="59">
        <v>830</v>
      </c>
      <c r="G294" s="6" t="s">
        <v>104</v>
      </c>
      <c r="H294" s="6"/>
      <c r="I294" s="6"/>
      <c r="J294" s="6"/>
      <c r="K294" s="7"/>
      <c r="L294" s="49"/>
      <c r="M294" s="49"/>
      <c r="N294" s="6"/>
      <c r="O294" s="6"/>
      <c r="P294" s="1" t="e">
        <f>VLOOKUP(Table3[[#This Row],[UNIT NO.]],[1]!Table357[[#Headers],[#Data],[Unit '#]:[Application/Sold/ Unsold]],7,0)</f>
        <v>#REF!</v>
      </c>
    </row>
    <row r="295" spans="2:16" x14ac:dyDescent="0.25">
      <c r="B295" s="5">
        <f t="shared" si="4"/>
        <v>292</v>
      </c>
      <c r="C295" s="29"/>
      <c r="D295" s="40" t="s">
        <v>2644</v>
      </c>
      <c r="E295" s="40" t="s">
        <v>2656</v>
      </c>
      <c r="F295" s="59">
        <v>830</v>
      </c>
      <c r="G295" s="6" t="s">
        <v>104</v>
      </c>
      <c r="H295" s="6"/>
      <c r="I295" s="6"/>
      <c r="J295" s="6"/>
      <c r="K295" s="7"/>
      <c r="L295" s="49"/>
      <c r="M295" s="49"/>
      <c r="N295" s="6"/>
      <c r="O295" s="6"/>
      <c r="P295" s="1" t="e">
        <f>VLOOKUP(Table3[[#This Row],[UNIT NO.]],[1]!Table357[[#Headers],[#Data],[Unit '#]:[Application/Sold/ Unsold]],7,0)</f>
        <v>#REF!</v>
      </c>
    </row>
    <row r="296" spans="2:16" x14ac:dyDescent="0.25">
      <c r="B296" s="5">
        <f t="shared" si="4"/>
        <v>293</v>
      </c>
      <c r="C296" s="29"/>
      <c r="D296" s="40" t="s">
        <v>2644</v>
      </c>
      <c r="E296" s="40" t="s">
        <v>2657</v>
      </c>
      <c r="F296" s="59">
        <v>830</v>
      </c>
      <c r="G296" s="6" t="s">
        <v>104</v>
      </c>
      <c r="H296" s="6"/>
      <c r="I296" s="6"/>
      <c r="J296" s="6"/>
      <c r="K296" s="7"/>
      <c r="L296" s="49"/>
      <c r="M296" s="49"/>
      <c r="N296" s="6"/>
      <c r="O296" s="6"/>
      <c r="P296" s="1" t="e">
        <f>VLOOKUP(Table3[[#This Row],[UNIT NO.]],[1]!Table357[[#Headers],[#Data],[Unit '#]:[Application/Sold/ Unsold]],7,0)</f>
        <v>#REF!</v>
      </c>
    </row>
    <row r="297" spans="2:16" x14ac:dyDescent="0.25">
      <c r="B297" s="5">
        <f t="shared" si="4"/>
        <v>294</v>
      </c>
      <c r="C297" s="29"/>
      <c r="D297" s="40" t="s">
        <v>2644</v>
      </c>
      <c r="E297" s="40" t="s">
        <v>2658</v>
      </c>
      <c r="F297" s="59">
        <v>830</v>
      </c>
      <c r="G297" s="6" t="s">
        <v>104</v>
      </c>
      <c r="H297" s="6"/>
      <c r="I297" s="6"/>
      <c r="J297" s="6"/>
      <c r="K297" s="7"/>
      <c r="L297" s="49"/>
      <c r="M297" s="49"/>
      <c r="N297" s="6"/>
      <c r="O297" s="6"/>
      <c r="P297" s="1" t="e">
        <f>VLOOKUP(Table3[[#This Row],[UNIT NO.]],[1]!Table357[[#Headers],[#Data],[Unit '#]:[Application/Sold/ Unsold]],7,0)</f>
        <v>#REF!</v>
      </c>
    </row>
    <row r="298" spans="2:16" x14ac:dyDescent="0.25">
      <c r="B298" s="5">
        <f t="shared" si="4"/>
        <v>295</v>
      </c>
      <c r="C298" s="33"/>
      <c r="D298" s="40" t="s">
        <v>2644</v>
      </c>
      <c r="E298" s="40" t="s">
        <v>2659</v>
      </c>
      <c r="F298" s="59">
        <v>830</v>
      </c>
      <c r="G298" s="6" t="s">
        <v>104</v>
      </c>
      <c r="H298" s="6"/>
      <c r="I298" s="6"/>
      <c r="J298" s="6"/>
      <c r="K298" s="58"/>
      <c r="L298" s="51"/>
      <c r="M298" s="49"/>
      <c r="N298" s="6"/>
      <c r="O298" s="6"/>
      <c r="P298" s="1" t="e">
        <f>VLOOKUP(Table3[[#This Row],[UNIT NO.]],[1]!Table357[[#Headers],[#Data],[Unit '#]:[Application/Sold/ Unsold]],7,0)</f>
        <v>#REF!</v>
      </c>
    </row>
    <row r="299" spans="2:16" x14ac:dyDescent="0.25">
      <c r="B299" s="5">
        <f t="shared" si="4"/>
        <v>296</v>
      </c>
      <c r="C299" s="29"/>
      <c r="D299" s="40" t="s">
        <v>2644</v>
      </c>
      <c r="E299" s="40" t="s">
        <v>2660</v>
      </c>
      <c r="F299" s="59">
        <v>830</v>
      </c>
      <c r="G299" s="6" t="s">
        <v>104</v>
      </c>
      <c r="H299" s="6"/>
      <c r="I299" s="6"/>
      <c r="J299" s="6"/>
      <c r="K299" s="7"/>
      <c r="L299" s="49"/>
      <c r="M299" s="49"/>
      <c r="N299" s="6"/>
      <c r="O299" s="6"/>
      <c r="P299" s="1" t="e">
        <f>VLOOKUP(Table3[[#This Row],[UNIT NO.]],[1]!Table357[[#Headers],[#Data],[Unit '#]:[Application/Sold/ Unsold]],7,0)</f>
        <v>#REF!</v>
      </c>
    </row>
    <row r="300" spans="2:16" x14ac:dyDescent="0.25">
      <c r="B300" s="5">
        <f t="shared" si="4"/>
        <v>297</v>
      </c>
      <c r="C300" s="29"/>
      <c r="D300" s="40" t="s">
        <v>2644</v>
      </c>
      <c r="E300" s="40" t="s">
        <v>2661</v>
      </c>
      <c r="F300" s="59">
        <v>830</v>
      </c>
      <c r="G300" s="6" t="s">
        <v>104</v>
      </c>
      <c r="H300" s="6"/>
      <c r="I300" s="6"/>
      <c r="J300" s="6"/>
      <c r="K300" s="7"/>
      <c r="L300" s="49"/>
      <c r="M300" s="49"/>
      <c r="N300" s="6"/>
      <c r="O300" s="6"/>
      <c r="P300" s="1" t="e">
        <f>VLOOKUP(Table3[[#This Row],[UNIT NO.]],[1]!Table357[[#Headers],[#Data],[Unit '#]:[Application/Sold/ Unsold]],7,0)</f>
        <v>#REF!</v>
      </c>
    </row>
    <row r="301" spans="2:16" x14ac:dyDescent="0.25">
      <c r="B301" s="5">
        <f t="shared" si="4"/>
        <v>298</v>
      </c>
      <c r="C301" s="29"/>
      <c r="D301" s="40" t="s">
        <v>2644</v>
      </c>
      <c r="E301" s="40" t="s">
        <v>2662</v>
      </c>
      <c r="F301" s="59">
        <v>830</v>
      </c>
      <c r="G301" s="6" t="s">
        <v>104</v>
      </c>
      <c r="H301" s="6"/>
      <c r="I301" s="6"/>
      <c r="J301" s="6"/>
      <c r="K301" s="7"/>
      <c r="L301" s="49"/>
      <c r="M301" s="49"/>
      <c r="N301" s="6"/>
      <c r="O301" s="6"/>
      <c r="P301" s="1" t="e">
        <f>VLOOKUP(Table3[[#This Row],[UNIT NO.]],[1]!Table357[[#Headers],[#Data],[Unit '#]:[Application/Sold/ Unsold]],7,0)</f>
        <v>#REF!</v>
      </c>
    </row>
    <row r="302" spans="2:16" x14ac:dyDescent="0.25">
      <c r="B302" s="5">
        <f t="shared" si="4"/>
        <v>299</v>
      </c>
      <c r="C302" s="29"/>
      <c r="D302" s="40" t="s">
        <v>2644</v>
      </c>
      <c r="E302" s="40" t="s">
        <v>2663</v>
      </c>
      <c r="F302" s="59">
        <v>830</v>
      </c>
      <c r="G302" s="6" t="s">
        <v>104</v>
      </c>
      <c r="H302" s="6"/>
      <c r="I302" s="6"/>
      <c r="J302" s="6"/>
      <c r="K302" s="7"/>
      <c r="L302" s="49"/>
      <c r="M302" s="49"/>
      <c r="N302" s="6"/>
      <c r="O302" s="6"/>
      <c r="P302" s="1" t="e">
        <f>VLOOKUP(Table3[[#This Row],[UNIT NO.]],[1]!Table357[[#Headers],[#Data],[Unit '#]:[Application/Sold/ Unsold]],7,0)</f>
        <v>#REF!</v>
      </c>
    </row>
    <row r="303" spans="2:16" x14ac:dyDescent="0.25">
      <c r="B303" s="5">
        <f t="shared" si="4"/>
        <v>300</v>
      </c>
      <c r="C303" s="29"/>
      <c r="D303" s="40" t="s">
        <v>2644</v>
      </c>
      <c r="E303" s="40" t="s">
        <v>2664</v>
      </c>
      <c r="F303" s="59">
        <v>830</v>
      </c>
      <c r="G303" s="6" t="s">
        <v>104</v>
      </c>
      <c r="H303" s="6"/>
      <c r="I303" s="6"/>
      <c r="J303" s="6"/>
      <c r="K303" s="7"/>
      <c r="L303" s="49"/>
      <c r="M303" s="49"/>
      <c r="N303" s="6"/>
      <c r="O303" s="6"/>
      <c r="P303" s="1" t="e">
        <f>VLOOKUP(Table3[[#This Row],[UNIT NO.]],[1]!Table357[[#Headers],[#Data],[Unit '#]:[Application/Sold/ Unsold]],7,0)</f>
        <v>#REF!</v>
      </c>
    </row>
    <row r="304" spans="2:16" x14ac:dyDescent="0.25">
      <c r="B304" s="5">
        <f t="shared" si="4"/>
        <v>301</v>
      </c>
      <c r="C304" s="29"/>
      <c r="D304" s="40" t="s">
        <v>2644</v>
      </c>
      <c r="E304" s="40" t="s">
        <v>2665</v>
      </c>
      <c r="F304" s="59">
        <v>830</v>
      </c>
      <c r="G304" s="6" t="s">
        <v>104</v>
      </c>
      <c r="H304" s="6"/>
      <c r="I304" s="6"/>
      <c r="J304" s="6"/>
      <c r="K304" s="7"/>
      <c r="L304" s="49"/>
      <c r="M304" s="49"/>
      <c r="N304" s="6"/>
      <c r="O304" s="6"/>
      <c r="P304" s="1" t="e">
        <f>VLOOKUP(Table3[[#This Row],[UNIT NO.]],[1]!Table357[[#Headers],[#Data],[Unit '#]:[Application/Sold/ Unsold]],7,0)</f>
        <v>#REF!</v>
      </c>
    </row>
    <row r="305" spans="2:16" x14ac:dyDescent="0.25">
      <c r="B305" s="5">
        <f t="shared" si="4"/>
        <v>302</v>
      </c>
      <c r="C305" s="29"/>
      <c r="D305" s="40" t="s">
        <v>2644</v>
      </c>
      <c r="E305" s="40" t="s">
        <v>2666</v>
      </c>
      <c r="F305" s="59">
        <v>830</v>
      </c>
      <c r="G305" s="6" t="s">
        <v>104</v>
      </c>
      <c r="H305" s="6"/>
      <c r="I305" s="6"/>
      <c r="J305" s="6"/>
      <c r="K305" s="7"/>
      <c r="L305" s="49"/>
      <c r="M305" s="49"/>
      <c r="N305" s="6"/>
      <c r="O305" s="6"/>
      <c r="P305" s="1" t="e">
        <f>VLOOKUP(Table3[[#This Row],[UNIT NO.]],[1]!Table357[[#Headers],[#Data],[Unit '#]:[Application/Sold/ Unsold]],7,0)</f>
        <v>#REF!</v>
      </c>
    </row>
    <row r="306" spans="2:16" x14ac:dyDescent="0.25">
      <c r="B306" s="5">
        <f t="shared" si="4"/>
        <v>303</v>
      </c>
      <c r="C306" s="29"/>
      <c r="D306" s="40" t="s">
        <v>2644</v>
      </c>
      <c r="E306" s="40" t="s">
        <v>2667</v>
      </c>
      <c r="F306" s="59">
        <v>830</v>
      </c>
      <c r="G306" s="6" t="s">
        <v>104</v>
      </c>
      <c r="H306" s="6"/>
      <c r="I306" s="6"/>
      <c r="J306" s="6"/>
      <c r="K306" s="7"/>
      <c r="L306" s="49"/>
      <c r="M306" s="49"/>
      <c r="N306" s="6"/>
      <c r="O306" s="6"/>
      <c r="P306" s="1" t="e">
        <f>VLOOKUP(Table3[[#This Row],[UNIT NO.]],[1]!Table357[[#Headers],[#Data],[Unit '#]:[Application/Sold/ Unsold]],7,0)</f>
        <v>#REF!</v>
      </c>
    </row>
    <row r="307" spans="2:16" x14ac:dyDescent="0.25">
      <c r="B307" s="5">
        <f t="shared" si="4"/>
        <v>304</v>
      </c>
      <c r="C307" s="29"/>
      <c r="D307" s="40" t="s">
        <v>2644</v>
      </c>
      <c r="E307" s="40" t="s">
        <v>2668</v>
      </c>
      <c r="F307" s="59">
        <v>830</v>
      </c>
      <c r="G307" s="6" t="s">
        <v>104</v>
      </c>
      <c r="H307" s="6"/>
      <c r="I307" s="6"/>
      <c r="J307" s="6"/>
      <c r="K307" s="7"/>
      <c r="L307" s="49"/>
      <c r="M307" s="49"/>
      <c r="N307" s="6"/>
      <c r="O307" s="6"/>
      <c r="P307" s="1" t="e">
        <f>VLOOKUP(Table3[[#This Row],[UNIT NO.]],[1]!Table357[[#Headers],[#Data],[Unit '#]:[Application/Sold/ Unsold]],7,0)</f>
        <v>#REF!</v>
      </c>
    </row>
    <row r="308" spans="2:16" x14ac:dyDescent="0.25">
      <c r="B308" s="5">
        <f t="shared" si="4"/>
        <v>305</v>
      </c>
      <c r="C308" s="29"/>
      <c r="D308" s="40" t="s">
        <v>2644</v>
      </c>
      <c r="E308" s="40" t="s">
        <v>2669</v>
      </c>
      <c r="F308" s="59">
        <v>830</v>
      </c>
      <c r="G308" s="6" t="s">
        <v>104</v>
      </c>
      <c r="H308" s="6"/>
      <c r="I308" s="6"/>
      <c r="J308" s="6"/>
      <c r="K308" s="7"/>
      <c r="L308" s="49"/>
      <c r="M308" s="49"/>
      <c r="N308" s="6"/>
      <c r="O308" s="6"/>
      <c r="P308" s="1" t="e">
        <f>VLOOKUP(Table3[[#This Row],[UNIT NO.]],[1]!Table357[[#Headers],[#Data],[Unit '#]:[Application/Sold/ Unsold]],7,0)</f>
        <v>#REF!</v>
      </c>
    </row>
    <row r="309" spans="2:16" x14ac:dyDescent="0.25">
      <c r="B309" s="5">
        <f t="shared" si="4"/>
        <v>306</v>
      </c>
      <c r="C309" s="29"/>
      <c r="D309" s="40" t="s">
        <v>2644</v>
      </c>
      <c r="E309" s="40" t="s">
        <v>2670</v>
      </c>
      <c r="F309" s="59">
        <v>830</v>
      </c>
      <c r="G309" s="6" t="s">
        <v>104</v>
      </c>
      <c r="H309" s="6"/>
      <c r="I309" s="6"/>
      <c r="J309" s="6"/>
      <c r="K309" s="7"/>
      <c r="L309" s="49"/>
      <c r="M309" s="49"/>
      <c r="N309" s="6"/>
      <c r="O309" s="6"/>
      <c r="P309" s="1" t="e">
        <f>VLOOKUP(Table3[[#This Row],[UNIT NO.]],[1]!Table357[[#Headers],[#Data],[Unit '#]:[Application/Sold/ Unsold]],7,0)</f>
        <v>#REF!</v>
      </c>
    </row>
    <row r="310" spans="2:16" x14ac:dyDescent="0.25">
      <c r="B310" s="5">
        <f t="shared" si="4"/>
        <v>307</v>
      </c>
      <c r="C310" s="29"/>
      <c r="D310" s="40" t="s">
        <v>2644</v>
      </c>
      <c r="E310" s="40" t="s">
        <v>2671</v>
      </c>
      <c r="F310" s="59">
        <v>830</v>
      </c>
      <c r="G310" s="6" t="s">
        <v>104</v>
      </c>
      <c r="H310" s="6"/>
      <c r="I310" s="6"/>
      <c r="J310" s="6"/>
      <c r="K310" s="7"/>
      <c r="L310" s="49"/>
      <c r="M310" s="49"/>
      <c r="N310" s="6"/>
      <c r="O310" s="6"/>
      <c r="P310" s="1" t="e">
        <f>VLOOKUP(Table3[[#This Row],[UNIT NO.]],[1]!Table357[[#Headers],[#Data],[Unit '#]:[Application/Sold/ Unsold]],7,0)</f>
        <v>#REF!</v>
      </c>
    </row>
    <row r="311" spans="2:16" x14ac:dyDescent="0.25">
      <c r="B311" s="5">
        <f t="shared" si="4"/>
        <v>308</v>
      </c>
      <c r="C311" s="29"/>
      <c r="D311" s="40" t="s">
        <v>2644</v>
      </c>
      <c r="E311" s="40" t="s">
        <v>2672</v>
      </c>
      <c r="F311" s="59">
        <v>830</v>
      </c>
      <c r="G311" s="6" t="s">
        <v>104</v>
      </c>
      <c r="H311" s="6"/>
      <c r="I311" s="6"/>
      <c r="J311" s="6"/>
      <c r="K311" s="7"/>
      <c r="L311" s="49"/>
      <c r="M311" s="49"/>
      <c r="N311" s="6"/>
      <c r="O311" s="6"/>
      <c r="P311" s="1" t="e">
        <f>VLOOKUP(Table3[[#This Row],[UNIT NO.]],[1]!Table357[[#Headers],[#Data],[Unit '#]:[Application/Sold/ Unsold]],7,0)</f>
        <v>#REF!</v>
      </c>
    </row>
    <row r="312" spans="2:16" x14ac:dyDescent="0.25">
      <c r="B312" s="5">
        <f t="shared" si="4"/>
        <v>309</v>
      </c>
      <c r="C312" s="29"/>
      <c r="D312" s="40" t="s">
        <v>2644</v>
      </c>
      <c r="E312" s="40" t="s">
        <v>2673</v>
      </c>
      <c r="F312" s="59">
        <v>830</v>
      </c>
      <c r="G312" s="6" t="s">
        <v>104</v>
      </c>
      <c r="H312" s="6"/>
      <c r="I312" s="6"/>
      <c r="J312" s="6"/>
      <c r="K312" s="7"/>
      <c r="L312" s="49"/>
      <c r="M312" s="49"/>
      <c r="N312" s="6"/>
      <c r="O312" s="6"/>
      <c r="P312" s="1" t="e">
        <f>VLOOKUP(Table3[[#This Row],[UNIT NO.]],[1]!Table357[[#Headers],[#Data],[Unit '#]:[Application/Sold/ Unsold]],7,0)</f>
        <v>#REF!</v>
      </c>
    </row>
    <row r="313" spans="2:16" x14ac:dyDescent="0.25">
      <c r="B313" s="5">
        <f t="shared" si="4"/>
        <v>310</v>
      </c>
      <c r="C313" s="29"/>
      <c r="D313" s="40" t="s">
        <v>2644</v>
      </c>
      <c r="E313" s="40" t="s">
        <v>2674</v>
      </c>
      <c r="F313" s="59">
        <v>830</v>
      </c>
      <c r="G313" s="6" t="s">
        <v>104</v>
      </c>
      <c r="H313" s="6"/>
      <c r="I313" s="6"/>
      <c r="J313" s="6"/>
      <c r="K313" s="7"/>
      <c r="L313" s="49"/>
      <c r="M313" s="49"/>
      <c r="N313" s="6"/>
      <c r="O313" s="6"/>
      <c r="P313" s="1" t="e">
        <f>VLOOKUP(Table3[[#This Row],[UNIT NO.]],[1]!Table357[[#Headers],[#Data],[Unit '#]:[Application/Sold/ Unsold]],7,0)</f>
        <v>#REF!</v>
      </c>
    </row>
    <row r="314" spans="2:16" x14ac:dyDescent="0.25">
      <c r="B314" s="5">
        <f t="shared" si="4"/>
        <v>311</v>
      </c>
      <c r="C314" s="29"/>
      <c r="D314" s="40" t="s">
        <v>2644</v>
      </c>
      <c r="E314" s="40" t="s">
        <v>2675</v>
      </c>
      <c r="F314" s="59">
        <v>830</v>
      </c>
      <c r="G314" s="6" t="s">
        <v>104</v>
      </c>
      <c r="H314" s="6"/>
      <c r="I314" s="6"/>
      <c r="J314" s="6"/>
      <c r="K314" s="7"/>
      <c r="L314" s="49"/>
      <c r="M314" s="49"/>
      <c r="N314" s="6"/>
      <c r="O314" s="6"/>
      <c r="P314" s="1" t="e">
        <f>VLOOKUP(Table3[[#This Row],[UNIT NO.]],[1]!Table357[[#Headers],[#Data],[Unit '#]:[Application/Sold/ Unsold]],7,0)</f>
        <v>#REF!</v>
      </c>
    </row>
    <row r="315" spans="2:16" x14ac:dyDescent="0.25">
      <c r="B315" s="5">
        <f t="shared" si="4"/>
        <v>312</v>
      </c>
      <c r="C315" s="33"/>
      <c r="D315" s="40" t="s">
        <v>2644</v>
      </c>
      <c r="E315" s="40" t="s">
        <v>2676</v>
      </c>
      <c r="F315" s="59">
        <v>830</v>
      </c>
      <c r="G315" s="6" t="s">
        <v>104</v>
      </c>
      <c r="H315" s="6"/>
      <c r="I315" s="6"/>
      <c r="J315" s="6"/>
      <c r="K315" s="58"/>
      <c r="L315" s="51"/>
      <c r="M315" s="49"/>
      <c r="N315" s="6"/>
      <c r="O315" s="6"/>
      <c r="P315" s="1" t="e">
        <f>VLOOKUP(Table3[[#This Row],[UNIT NO.]],[1]!Table357[[#Headers],[#Data],[Unit '#]:[Application/Sold/ Unsold]],7,0)</f>
        <v>#REF!</v>
      </c>
    </row>
    <row r="316" spans="2:16" x14ac:dyDescent="0.25">
      <c r="B316" s="5">
        <f t="shared" si="4"/>
        <v>313</v>
      </c>
      <c r="C316" s="29"/>
      <c r="D316" s="40" t="s">
        <v>2644</v>
      </c>
      <c r="E316" s="40" t="s">
        <v>2677</v>
      </c>
      <c r="F316" s="59">
        <v>830</v>
      </c>
      <c r="G316" s="6" t="s">
        <v>104</v>
      </c>
      <c r="H316" s="6"/>
      <c r="I316" s="6"/>
      <c r="J316" s="6"/>
      <c r="K316" s="7"/>
      <c r="L316" s="49"/>
      <c r="M316" s="49"/>
      <c r="N316" s="6"/>
      <c r="O316" s="6"/>
      <c r="P316" s="1" t="e">
        <f>VLOOKUP(Table3[[#This Row],[UNIT NO.]],[1]!Table357[[#Headers],[#Data],[Unit '#]:[Application/Sold/ Unsold]],7,0)</f>
        <v>#REF!</v>
      </c>
    </row>
    <row r="317" spans="2:16" x14ac:dyDescent="0.25">
      <c r="B317" s="5">
        <f t="shared" si="4"/>
        <v>314</v>
      </c>
      <c r="C317" s="29"/>
      <c r="D317" s="40" t="s">
        <v>2644</v>
      </c>
      <c r="E317" s="40" t="s">
        <v>2678</v>
      </c>
      <c r="F317" s="59">
        <v>830</v>
      </c>
      <c r="G317" s="6" t="s">
        <v>104</v>
      </c>
      <c r="H317" s="6"/>
      <c r="I317" s="6"/>
      <c r="J317" s="6"/>
      <c r="K317" s="7"/>
      <c r="L317" s="49"/>
      <c r="M317" s="49"/>
      <c r="N317" s="6"/>
      <c r="O317" s="6"/>
      <c r="P317" s="1" t="e">
        <f>VLOOKUP(Table3[[#This Row],[UNIT NO.]],[1]!Table357[[#Headers],[#Data],[Unit '#]:[Application/Sold/ Unsold]],7,0)</f>
        <v>#REF!</v>
      </c>
    </row>
    <row r="318" spans="2:16" x14ac:dyDescent="0.25">
      <c r="B318" s="5">
        <f t="shared" si="4"/>
        <v>315</v>
      </c>
      <c r="C318" s="29"/>
      <c r="D318" s="40" t="s">
        <v>2644</v>
      </c>
      <c r="E318" s="40" t="s">
        <v>2679</v>
      </c>
      <c r="F318" s="59">
        <v>830</v>
      </c>
      <c r="G318" s="6" t="s">
        <v>104</v>
      </c>
      <c r="H318" s="6"/>
      <c r="I318" s="6"/>
      <c r="J318" s="6"/>
      <c r="K318" s="7"/>
      <c r="L318" s="49"/>
      <c r="M318" s="49"/>
      <c r="N318" s="6"/>
      <c r="O318" s="6"/>
      <c r="P318" s="1" t="e">
        <f>VLOOKUP(Table3[[#This Row],[UNIT NO.]],[1]!Table357[[#Headers],[#Data],[Unit '#]:[Application/Sold/ Unsold]],7,0)</f>
        <v>#REF!</v>
      </c>
    </row>
    <row r="319" spans="2:16" x14ac:dyDescent="0.25">
      <c r="B319" s="5">
        <f t="shared" si="4"/>
        <v>316</v>
      </c>
      <c r="C319" s="29"/>
      <c r="D319" s="40" t="s">
        <v>2644</v>
      </c>
      <c r="E319" s="40" t="s">
        <v>2680</v>
      </c>
      <c r="F319" s="59">
        <v>830</v>
      </c>
      <c r="G319" s="6" t="s">
        <v>104</v>
      </c>
      <c r="H319" s="6"/>
      <c r="I319" s="6"/>
      <c r="J319" s="6"/>
      <c r="K319" s="7"/>
      <c r="L319" s="49"/>
      <c r="M319" s="49"/>
      <c r="N319" s="6"/>
      <c r="O319" s="6"/>
      <c r="P319" s="1" t="e">
        <f>VLOOKUP(Table3[[#This Row],[UNIT NO.]],[1]!Table357[[#Headers],[#Data],[Unit '#]:[Application/Sold/ Unsold]],7,0)</f>
        <v>#REF!</v>
      </c>
    </row>
    <row r="320" spans="2:16" x14ac:dyDescent="0.25">
      <c r="B320" s="5">
        <f t="shared" si="4"/>
        <v>317</v>
      </c>
      <c r="C320" s="29"/>
      <c r="D320" s="40" t="s">
        <v>2644</v>
      </c>
      <c r="E320" s="40" t="s">
        <v>2681</v>
      </c>
      <c r="F320" s="59">
        <v>830</v>
      </c>
      <c r="G320" s="6" t="s">
        <v>104</v>
      </c>
      <c r="H320" s="6"/>
      <c r="I320" s="6"/>
      <c r="J320" s="6"/>
      <c r="K320" s="7"/>
      <c r="L320" s="49"/>
      <c r="M320" s="49"/>
      <c r="N320" s="6"/>
      <c r="O320" s="6"/>
      <c r="P320" s="1" t="e">
        <f>VLOOKUP(Table3[[#This Row],[UNIT NO.]],[1]!Table357[[#Headers],[#Data],[Unit '#]:[Application/Sold/ Unsold]],7,0)</f>
        <v>#REF!</v>
      </c>
    </row>
    <row r="321" spans="2:16" x14ac:dyDescent="0.25">
      <c r="B321" s="5">
        <f t="shared" si="4"/>
        <v>318</v>
      </c>
      <c r="C321" s="29"/>
      <c r="D321" s="40" t="s">
        <v>2644</v>
      </c>
      <c r="E321" s="40" t="s">
        <v>2682</v>
      </c>
      <c r="F321" s="59">
        <v>830</v>
      </c>
      <c r="G321" s="6" t="s">
        <v>104</v>
      </c>
      <c r="H321" s="6"/>
      <c r="I321" s="6"/>
      <c r="J321" s="6"/>
      <c r="K321" s="7"/>
      <c r="L321" s="49"/>
      <c r="M321" s="49"/>
      <c r="N321" s="6"/>
      <c r="O321" s="6"/>
      <c r="P321" s="1" t="e">
        <f>VLOOKUP(Table3[[#This Row],[UNIT NO.]],[1]!Table357[[#Headers],[#Data],[Unit '#]:[Application/Sold/ Unsold]],7,0)</f>
        <v>#REF!</v>
      </c>
    </row>
    <row r="322" spans="2:16" x14ac:dyDescent="0.25">
      <c r="B322" s="5">
        <f t="shared" si="4"/>
        <v>319</v>
      </c>
      <c r="C322" s="29"/>
      <c r="D322" s="40" t="s">
        <v>2644</v>
      </c>
      <c r="E322" s="40" t="s">
        <v>2683</v>
      </c>
      <c r="F322" s="59">
        <v>830</v>
      </c>
      <c r="G322" s="6" t="s">
        <v>104</v>
      </c>
      <c r="H322" s="6"/>
      <c r="I322" s="6"/>
      <c r="J322" s="6"/>
      <c r="K322" s="7"/>
      <c r="L322" s="49"/>
      <c r="M322" s="49"/>
      <c r="N322" s="6"/>
      <c r="O322" s="6"/>
      <c r="P322" s="1" t="e">
        <f>VLOOKUP(Table3[[#This Row],[UNIT NO.]],[1]!Table357[[#Headers],[#Data],[Unit '#]:[Application/Sold/ Unsold]],7,0)</f>
        <v>#REF!</v>
      </c>
    </row>
    <row r="323" spans="2:16" x14ac:dyDescent="0.25">
      <c r="B323" s="5">
        <f t="shared" si="4"/>
        <v>320</v>
      </c>
      <c r="C323" s="29"/>
      <c r="D323" s="40" t="s">
        <v>2644</v>
      </c>
      <c r="E323" s="40" t="s">
        <v>2684</v>
      </c>
      <c r="F323" s="59">
        <v>830</v>
      </c>
      <c r="G323" s="6" t="s">
        <v>104</v>
      </c>
      <c r="H323" s="6"/>
      <c r="I323" s="6"/>
      <c r="J323" s="6"/>
      <c r="K323" s="7"/>
      <c r="L323" s="49"/>
      <c r="M323" s="49"/>
      <c r="N323" s="6"/>
      <c r="O323" s="6"/>
      <c r="P323" s="1" t="e">
        <f>VLOOKUP(Table3[[#This Row],[UNIT NO.]],[1]!Table357[[#Headers],[#Data],[Unit '#]:[Application/Sold/ Unsold]],7,0)</f>
        <v>#REF!</v>
      </c>
    </row>
    <row r="324" spans="2:16" x14ac:dyDescent="0.25">
      <c r="B324" s="5">
        <f t="shared" si="4"/>
        <v>321</v>
      </c>
      <c r="C324" s="29"/>
      <c r="D324" s="40" t="s">
        <v>2644</v>
      </c>
      <c r="E324" s="40" t="s">
        <v>2685</v>
      </c>
      <c r="F324" s="59">
        <v>830</v>
      </c>
      <c r="G324" s="6" t="s">
        <v>104</v>
      </c>
      <c r="H324" s="6"/>
      <c r="I324" s="6"/>
      <c r="J324" s="6"/>
      <c r="K324" s="7"/>
      <c r="L324" s="49"/>
      <c r="M324" s="49"/>
      <c r="N324" s="6"/>
      <c r="O324" s="6"/>
      <c r="P324" s="1" t="e">
        <f>VLOOKUP(Table3[[#This Row],[UNIT NO.]],[1]!Table357[[#Headers],[#Data],[Unit '#]:[Application/Sold/ Unsold]],7,0)</f>
        <v>#REF!</v>
      </c>
    </row>
    <row r="325" spans="2:16" x14ac:dyDescent="0.25">
      <c r="B325" s="5">
        <f t="shared" si="4"/>
        <v>322</v>
      </c>
      <c r="C325" s="29"/>
      <c r="D325" s="40" t="s">
        <v>2644</v>
      </c>
      <c r="E325" s="40" t="s">
        <v>2686</v>
      </c>
      <c r="F325" s="59">
        <v>830</v>
      </c>
      <c r="G325" s="6" t="s">
        <v>104</v>
      </c>
      <c r="H325" s="6"/>
      <c r="I325" s="6"/>
      <c r="J325" s="6"/>
      <c r="K325" s="7"/>
      <c r="L325" s="49"/>
      <c r="M325" s="49"/>
      <c r="N325" s="6"/>
      <c r="O325" s="6"/>
      <c r="P325" s="1" t="e">
        <f>VLOOKUP(Table3[[#This Row],[UNIT NO.]],[1]!Table357[[#Headers],[#Data],[Unit '#]:[Application/Sold/ Unsold]],7,0)</f>
        <v>#REF!</v>
      </c>
    </row>
    <row r="326" spans="2:16" x14ac:dyDescent="0.25">
      <c r="B326" s="5">
        <f t="shared" ref="B326:B389" si="5">B325+1</f>
        <v>323</v>
      </c>
      <c r="C326" s="29"/>
      <c r="D326" s="40" t="s">
        <v>2644</v>
      </c>
      <c r="E326" s="40" t="s">
        <v>2687</v>
      </c>
      <c r="F326" s="59">
        <v>830</v>
      </c>
      <c r="G326" s="6" t="s">
        <v>104</v>
      </c>
      <c r="H326" s="6"/>
      <c r="I326" s="6"/>
      <c r="J326" s="6"/>
      <c r="K326" s="7"/>
      <c r="L326" s="49"/>
      <c r="M326" s="49"/>
      <c r="N326" s="6"/>
      <c r="O326" s="6"/>
      <c r="P326" s="1" t="e">
        <f>VLOOKUP(Table3[[#This Row],[UNIT NO.]],[1]!Table357[[#Headers],[#Data],[Unit '#]:[Application/Sold/ Unsold]],7,0)</f>
        <v>#REF!</v>
      </c>
    </row>
    <row r="327" spans="2:16" x14ac:dyDescent="0.25">
      <c r="B327" s="5">
        <f t="shared" si="5"/>
        <v>324</v>
      </c>
      <c r="C327" s="29"/>
      <c r="D327" s="40" t="s">
        <v>2644</v>
      </c>
      <c r="E327" s="40" t="s">
        <v>2688</v>
      </c>
      <c r="F327" s="59">
        <v>830</v>
      </c>
      <c r="G327" s="6" t="s">
        <v>104</v>
      </c>
      <c r="H327" s="6"/>
      <c r="I327" s="6"/>
      <c r="J327" s="6"/>
      <c r="K327" s="7"/>
      <c r="L327" s="49"/>
      <c r="M327" s="49"/>
      <c r="N327" s="6"/>
      <c r="O327" s="6"/>
      <c r="P327" s="1" t="e">
        <f>VLOOKUP(Table3[[#This Row],[UNIT NO.]],[1]!Table357[[#Headers],[#Data],[Unit '#]:[Application/Sold/ Unsold]],7,0)</f>
        <v>#REF!</v>
      </c>
    </row>
    <row r="328" spans="2:16" x14ac:dyDescent="0.25">
      <c r="B328" s="5">
        <f t="shared" si="5"/>
        <v>325</v>
      </c>
      <c r="C328" s="29"/>
      <c r="D328" s="40" t="s">
        <v>2644</v>
      </c>
      <c r="E328" s="40" t="s">
        <v>2689</v>
      </c>
      <c r="F328" s="59">
        <v>830</v>
      </c>
      <c r="G328" s="6" t="s">
        <v>104</v>
      </c>
      <c r="H328" s="6"/>
      <c r="I328" s="6"/>
      <c r="J328" s="6"/>
      <c r="K328" s="7"/>
      <c r="L328" s="49"/>
      <c r="M328" s="49"/>
      <c r="N328" s="6"/>
      <c r="O328" s="6"/>
      <c r="P328" s="1" t="e">
        <f>VLOOKUP(Table3[[#This Row],[UNIT NO.]],[1]!Table357[[#Headers],[#Data],[Unit '#]:[Application/Sold/ Unsold]],7,0)</f>
        <v>#REF!</v>
      </c>
    </row>
    <row r="329" spans="2:16" x14ac:dyDescent="0.25">
      <c r="B329" s="5">
        <f t="shared" si="5"/>
        <v>326</v>
      </c>
      <c r="C329" s="29"/>
      <c r="D329" s="40" t="s">
        <v>2644</v>
      </c>
      <c r="E329" s="40" t="s">
        <v>2690</v>
      </c>
      <c r="F329" s="59">
        <v>830</v>
      </c>
      <c r="G329" s="6" t="s">
        <v>104</v>
      </c>
      <c r="H329" s="6"/>
      <c r="I329" s="6"/>
      <c r="J329" s="6"/>
      <c r="K329" s="7"/>
      <c r="L329" s="49"/>
      <c r="M329" s="49"/>
      <c r="N329" s="6"/>
      <c r="O329" s="6"/>
      <c r="P329" s="1" t="e">
        <f>VLOOKUP(Table3[[#This Row],[UNIT NO.]],[1]!Table357[[#Headers],[#Data],[Unit '#]:[Application/Sold/ Unsold]],7,0)</f>
        <v>#REF!</v>
      </c>
    </row>
    <row r="330" spans="2:16" x14ac:dyDescent="0.25">
      <c r="B330" s="5">
        <f t="shared" si="5"/>
        <v>327</v>
      </c>
      <c r="C330" s="29"/>
      <c r="D330" s="40" t="s">
        <v>2644</v>
      </c>
      <c r="E330" s="40" t="s">
        <v>2691</v>
      </c>
      <c r="F330" s="59">
        <v>830</v>
      </c>
      <c r="G330" s="6" t="s">
        <v>104</v>
      </c>
      <c r="H330" s="6"/>
      <c r="I330" s="6"/>
      <c r="J330" s="6"/>
      <c r="K330" s="7"/>
      <c r="L330" s="49"/>
      <c r="M330" s="49"/>
      <c r="N330" s="6"/>
      <c r="O330" s="6"/>
      <c r="P330" s="1" t="e">
        <f>VLOOKUP(Table3[[#This Row],[UNIT NO.]],[1]!Table357[[#Headers],[#Data],[Unit '#]:[Application/Sold/ Unsold]],7,0)</f>
        <v>#REF!</v>
      </c>
    </row>
    <row r="331" spans="2:16" x14ac:dyDescent="0.25">
      <c r="B331" s="5">
        <f t="shared" si="5"/>
        <v>328</v>
      </c>
      <c r="C331" s="29"/>
      <c r="D331" s="40" t="s">
        <v>2644</v>
      </c>
      <c r="E331" s="40" t="s">
        <v>2692</v>
      </c>
      <c r="F331" s="59">
        <v>830</v>
      </c>
      <c r="G331" s="6" t="s">
        <v>104</v>
      </c>
      <c r="H331" s="6"/>
      <c r="I331" s="6"/>
      <c r="J331" s="6"/>
      <c r="K331" s="7"/>
      <c r="L331" s="49"/>
      <c r="M331" s="49"/>
      <c r="N331" s="6"/>
      <c r="O331" s="6"/>
      <c r="P331" s="1" t="e">
        <f>VLOOKUP(Table3[[#This Row],[UNIT NO.]],[1]!Table357[[#Headers],[#Data],[Unit '#]:[Application/Sold/ Unsold]],7,0)</f>
        <v>#REF!</v>
      </c>
    </row>
    <row r="332" spans="2:16" x14ac:dyDescent="0.25">
      <c r="B332" s="5">
        <f t="shared" si="5"/>
        <v>329</v>
      </c>
      <c r="C332" s="29"/>
      <c r="D332" s="40" t="s">
        <v>2644</v>
      </c>
      <c r="E332" s="40" t="s">
        <v>2693</v>
      </c>
      <c r="F332" s="59">
        <v>830</v>
      </c>
      <c r="G332" s="6" t="s">
        <v>104</v>
      </c>
      <c r="H332" s="6"/>
      <c r="I332" s="6"/>
      <c r="J332" s="6"/>
      <c r="K332" s="7"/>
      <c r="L332" s="49"/>
      <c r="M332" s="49"/>
      <c r="N332" s="6"/>
      <c r="O332" s="6"/>
      <c r="P332" s="1" t="e">
        <f>VLOOKUP(Table3[[#This Row],[UNIT NO.]],[1]!Table357[[#Headers],[#Data],[Unit '#]:[Application/Sold/ Unsold]],7,0)</f>
        <v>#REF!</v>
      </c>
    </row>
    <row r="333" spans="2:16" x14ac:dyDescent="0.25">
      <c r="B333" s="5">
        <f t="shared" si="5"/>
        <v>330</v>
      </c>
      <c r="C333" s="29"/>
      <c r="D333" s="40" t="s">
        <v>2644</v>
      </c>
      <c r="E333" s="40" t="s">
        <v>2694</v>
      </c>
      <c r="F333" s="59">
        <v>830</v>
      </c>
      <c r="G333" s="6" t="s">
        <v>104</v>
      </c>
      <c r="H333" s="6"/>
      <c r="I333" s="6"/>
      <c r="J333" s="6"/>
      <c r="K333" s="7"/>
      <c r="L333" s="49"/>
      <c r="M333" s="49"/>
      <c r="N333" s="6"/>
      <c r="O333" s="6"/>
      <c r="P333" s="1" t="e">
        <f>VLOOKUP(Table3[[#This Row],[UNIT NO.]],[1]!Table357[[#Headers],[#Data],[Unit '#]:[Application/Sold/ Unsold]],7,0)</f>
        <v>#REF!</v>
      </c>
    </row>
    <row r="334" spans="2:16" x14ac:dyDescent="0.25">
      <c r="B334" s="5">
        <f t="shared" si="5"/>
        <v>331</v>
      </c>
      <c r="C334" s="29"/>
      <c r="D334" s="40" t="s">
        <v>2644</v>
      </c>
      <c r="E334" s="40" t="s">
        <v>2695</v>
      </c>
      <c r="F334" s="59">
        <v>830</v>
      </c>
      <c r="G334" s="6" t="s">
        <v>104</v>
      </c>
      <c r="H334" s="6"/>
      <c r="I334" s="6"/>
      <c r="J334" s="6"/>
      <c r="K334" s="7"/>
      <c r="L334" s="49"/>
      <c r="M334" s="49"/>
      <c r="N334" s="6"/>
      <c r="O334" s="6"/>
      <c r="P334" s="1" t="e">
        <f>VLOOKUP(Table3[[#This Row],[UNIT NO.]],[1]!Table357[[#Headers],[#Data],[Unit '#]:[Application/Sold/ Unsold]],7,0)</f>
        <v>#REF!</v>
      </c>
    </row>
    <row r="335" spans="2:16" x14ac:dyDescent="0.25">
      <c r="B335" s="5">
        <f t="shared" si="5"/>
        <v>332</v>
      </c>
      <c r="C335" s="29"/>
      <c r="D335" s="40" t="s">
        <v>2644</v>
      </c>
      <c r="E335" s="40" t="s">
        <v>2696</v>
      </c>
      <c r="F335" s="59">
        <v>830</v>
      </c>
      <c r="G335" s="6" t="s">
        <v>104</v>
      </c>
      <c r="H335" s="6"/>
      <c r="I335" s="6"/>
      <c r="J335" s="6"/>
      <c r="K335" s="7"/>
      <c r="L335" s="49"/>
      <c r="M335" s="49"/>
      <c r="N335" s="6"/>
      <c r="O335" s="6"/>
      <c r="P335" s="1" t="e">
        <f>VLOOKUP(Table3[[#This Row],[UNIT NO.]],[1]!Table357[[#Headers],[#Data],[Unit '#]:[Application/Sold/ Unsold]],7,0)</f>
        <v>#REF!</v>
      </c>
    </row>
    <row r="336" spans="2:16" x14ac:dyDescent="0.25">
      <c r="B336" s="5">
        <f t="shared" si="5"/>
        <v>333</v>
      </c>
      <c r="C336" s="29"/>
      <c r="D336" s="40" t="s">
        <v>2644</v>
      </c>
      <c r="E336" s="40" t="s">
        <v>2697</v>
      </c>
      <c r="F336" s="59">
        <v>830</v>
      </c>
      <c r="G336" s="6" t="s">
        <v>104</v>
      </c>
      <c r="H336" s="6"/>
      <c r="I336" s="6"/>
      <c r="J336" s="6"/>
      <c r="K336" s="7"/>
      <c r="L336" s="49"/>
      <c r="M336" s="49"/>
      <c r="N336" s="6"/>
      <c r="O336" s="6"/>
      <c r="P336" s="1" t="e">
        <f>VLOOKUP(Table3[[#This Row],[UNIT NO.]],[1]!Table357[[#Headers],[#Data],[Unit '#]:[Application/Sold/ Unsold]],7,0)</f>
        <v>#REF!</v>
      </c>
    </row>
    <row r="337" spans="2:16" x14ac:dyDescent="0.25">
      <c r="B337" s="5">
        <f t="shared" si="5"/>
        <v>334</v>
      </c>
      <c r="C337" s="29"/>
      <c r="D337" s="40" t="s">
        <v>2644</v>
      </c>
      <c r="E337" s="40" t="s">
        <v>2698</v>
      </c>
      <c r="F337" s="59">
        <v>830</v>
      </c>
      <c r="G337" s="6" t="s">
        <v>104</v>
      </c>
      <c r="H337" s="6"/>
      <c r="I337" s="6"/>
      <c r="J337" s="6"/>
      <c r="K337" s="7"/>
      <c r="L337" s="49"/>
      <c r="M337" s="49"/>
      <c r="N337" s="6"/>
      <c r="O337" s="6"/>
      <c r="P337" s="1" t="e">
        <f>VLOOKUP(Table3[[#This Row],[UNIT NO.]],[1]!Table357[[#Headers],[#Data],[Unit '#]:[Application/Sold/ Unsold]],7,0)</f>
        <v>#REF!</v>
      </c>
    </row>
    <row r="338" spans="2:16" x14ac:dyDescent="0.25">
      <c r="B338" s="5">
        <f t="shared" si="5"/>
        <v>335</v>
      </c>
      <c r="C338" s="29"/>
      <c r="D338" s="40" t="s">
        <v>2644</v>
      </c>
      <c r="E338" s="40" t="s">
        <v>2699</v>
      </c>
      <c r="F338" s="59">
        <v>830</v>
      </c>
      <c r="G338" s="6" t="s">
        <v>104</v>
      </c>
      <c r="H338" s="6"/>
      <c r="I338" s="6"/>
      <c r="J338" s="6"/>
      <c r="K338" s="7"/>
      <c r="L338" s="49"/>
      <c r="M338" s="49"/>
      <c r="N338" s="6"/>
      <c r="O338" s="6"/>
      <c r="P338" s="1" t="e">
        <f>VLOOKUP(Table3[[#This Row],[UNIT NO.]],[1]!Table357[[#Headers],[#Data],[Unit '#]:[Application/Sold/ Unsold]],7,0)</f>
        <v>#REF!</v>
      </c>
    </row>
    <row r="339" spans="2:16" x14ac:dyDescent="0.25">
      <c r="B339" s="5">
        <f t="shared" si="5"/>
        <v>336</v>
      </c>
      <c r="C339" s="29"/>
      <c r="D339" s="40" t="s">
        <v>2644</v>
      </c>
      <c r="E339" s="40" t="s">
        <v>2700</v>
      </c>
      <c r="F339" s="59">
        <v>830</v>
      </c>
      <c r="G339" s="6" t="s">
        <v>104</v>
      </c>
      <c r="H339" s="6"/>
      <c r="I339" s="6"/>
      <c r="J339" s="6"/>
      <c r="K339" s="7"/>
      <c r="L339" s="49"/>
      <c r="M339" s="49"/>
      <c r="N339" s="6"/>
      <c r="O339" s="6"/>
      <c r="P339" s="1" t="e">
        <f>VLOOKUP(Table3[[#This Row],[UNIT NO.]],[1]!Table357[[#Headers],[#Data],[Unit '#]:[Application/Sold/ Unsold]],7,0)</f>
        <v>#REF!</v>
      </c>
    </row>
    <row r="340" spans="2:16" x14ac:dyDescent="0.25">
      <c r="B340" s="5">
        <f t="shared" si="5"/>
        <v>337</v>
      </c>
      <c r="C340" s="29"/>
      <c r="D340" s="40" t="s">
        <v>2644</v>
      </c>
      <c r="E340" s="40" t="s">
        <v>2701</v>
      </c>
      <c r="F340" s="59">
        <v>830</v>
      </c>
      <c r="G340" s="6" t="s">
        <v>104</v>
      </c>
      <c r="H340" s="6"/>
      <c r="I340" s="6"/>
      <c r="J340" s="6"/>
      <c r="K340" s="7"/>
      <c r="L340" s="49"/>
      <c r="M340" s="49"/>
      <c r="N340" s="6"/>
      <c r="O340" s="6"/>
      <c r="P340" s="1" t="e">
        <f>VLOOKUP(Table3[[#This Row],[UNIT NO.]],[1]!Table357[[#Headers],[#Data],[Unit '#]:[Application/Sold/ Unsold]],7,0)</f>
        <v>#REF!</v>
      </c>
    </row>
    <row r="341" spans="2:16" x14ac:dyDescent="0.25">
      <c r="B341" s="5">
        <f t="shared" si="5"/>
        <v>338</v>
      </c>
      <c r="C341" s="29"/>
      <c r="D341" s="40" t="s">
        <v>2644</v>
      </c>
      <c r="E341" s="40" t="s">
        <v>2702</v>
      </c>
      <c r="F341" s="59">
        <v>830</v>
      </c>
      <c r="G341" s="6" t="s">
        <v>104</v>
      </c>
      <c r="H341" s="6"/>
      <c r="I341" s="6"/>
      <c r="J341" s="6"/>
      <c r="K341" s="7"/>
      <c r="L341" s="49"/>
      <c r="M341" s="49"/>
      <c r="N341" s="6"/>
      <c r="O341" s="6"/>
      <c r="P341" s="1" t="e">
        <f>VLOOKUP(Table3[[#This Row],[UNIT NO.]],[1]!Table357[[#Headers],[#Data],[Unit '#]:[Application/Sold/ Unsold]],7,0)</f>
        <v>#REF!</v>
      </c>
    </row>
    <row r="342" spans="2:16" x14ac:dyDescent="0.25">
      <c r="B342" s="5">
        <f t="shared" si="5"/>
        <v>339</v>
      </c>
      <c r="C342" s="29"/>
      <c r="D342" s="40" t="s">
        <v>2644</v>
      </c>
      <c r="E342" s="40" t="s">
        <v>2703</v>
      </c>
      <c r="F342" s="59">
        <v>830</v>
      </c>
      <c r="G342" s="6" t="s">
        <v>104</v>
      </c>
      <c r="H342" s="6"/>
      <c r="I342" s="6"/>
      <c r="J342" s="6"/>
      <c r="K342" s="7"/>
      <c r="L342" s="49"/>
      <c r="M342" s="49"/>
      <c r="N342" s="6"/>
      <c r="O342" s="6"/>
      <c r="P342" s="1" t="e">
        <f>VLOOKUP(Table3[[#This Row],[UNIT NO.]],[1]!Table357[[#Headers],[#Data],[Unit '#]:[Application/Sold/ Unsold]],7,0)</f>
        <v>#REF!</v>
      </c>
    </row>
    <row r="343" spans="2:16" x14ac:dyDescent="0.25">
      <c r="B343" s="5">
        <f t="shared" si="5"/>
        <v>340</v>
      </c>
      <c r="C343" s="29"/>
      <c r="D343" s="40" t="s">
        <v>2644</v>
      </c>
      <c r="E343" s="40" t="s">
        <v>2704</v>
      </c>
      <c r="F343" s="59">
        <v>830</v>
      </c>
      <c r="G343" s="6" t="s">
        <v>104</v>
      </c>
      <c r="H343" s="6"/>
      <c r="I343" s="6"/>
      <c r="J343" s="6"/>
      <c r="K343" s="7"/>
      <c r="L343" s="49"/>
      <c r="M343" s="49"/>
      <c r="N343" s="6"/>
      <c r="O343" s="6"/>
      <c r="P343" s="1" t="e">
        <f>VLOOKUP(Table3[[#This Row],[UNIT NO.]],[1]!Table357[[#Headers],[#Data],[Unit '#]:[Application/Sold/ Unsold]],7,0)</f>
        <v>#REF!</v>
      </c>
    </row>
    <row r="344" spans="2:16" x14ac:dyDescent="0.25">
      <c r="B344" s="5">
        <f t="shared" si="5"/>
        <v>341</v>
      </c>
      <c r="C344" s="29"/>
      <c r="D344" s="40" t="s">
        <v>2644</v>
      </c>
      <c r="E344" s="40" t="s">
        <v>2705</v>
      </c>
      <c r="F344" s="59">
        <v>830</v>
      </c>
      <c r="G344" s="6" t="s">
        <v>104</v>
      </c>
      <c r="H344" s="6"/>
      <c r="I344" s="6"/>
      <c r="J344" s="6"/>
      <c r="K344" s="7"/>
      <c r="L344" s="49"/>
      <c r="M344" s="49"/>
      <c r="N344" s="6"/>
      <c r="O344" s="6"/>
      <c r="P344" s="1" t="e">
        <f>VLOOKUP(Table3[[#This Row],[UNIT NO.]],[1]!Table357[[#Headers],[#Data],[Unit '#]:[Application/Sold/ Unsold]],7,0)</f>
        <v>#REF!</v>
      </c>
    </row>
    <row r="345" spans="2:16" x14ac:dyDescent="0.25">
      <c r="B345" s="5">
        <f t="shared" si="5"/>
        <v>342</v>
      </c>
      <c r="C345" s="29"/>
      <c r="D345" s="40" t="s">
        <v>2644</v>
      </c>
      <c r="E345" s="40" t="s">
        <v>2706</v>
      </c>
      <c r="F345" s="59">
        <v>830</v>
      </c>
      <c r="G345" s="6" t="s">
        <v>104</v>
      </c>
      <c r="H345" s="6"/>
      <c r="I345" s="6"/>
      <c r="J345" s="6"/>
      <c r="K345" s="7"/>
      <c r="L345" s="49"/>
      <c r="M345" s="49"/>
      <c r="N345" s="6"/>
      <c r="O345" s="6"/>
      <c r="P345" s="1" t="e">
        <f>VLOOKUP(Table3[[#This Row],[UNIT NO.]],[1]!Table357[[#Headers],[#Data],[Unit '#]:[Application/Sold/ Unsold]],7,0)</f>
        <v>#REF!</v>
      </c>
    </row>
    <row r="346" spans="2:16" x14ac:dyDescent="0.25">
      <c r="B346" s="5">
        <f t="shared" si="5"/>
        <v>343</v>
      </c>
      <c r="C346" s="29"/>
      <c r="D346" s="40" t="s">
        <v>2644</v>
      </c>
      <c r="E346" s="40" t="s">
        <v>2707</v>
      </c>
      <c r="F346" s="59">
        <v>830</v>
      </c>
      <c r="G346" s="6" t="s">
        <v>104</v>
      </c>
      <c r="H346" s="6"/>
      <c r="I346" s="6"/>
      <c r="J346" s="6"/>
      <c r="K346" s="7"/>
      <c r="L346" s="49"/>
      <c r="M346" s="49"/>
      <c r="N346" s="6"/>
      <c r="O346" s="6"/>
      <c r="P346" s="1" t="e">
        <f>VLOOKUP(Table3[[#This Row],[UNIT NO.]],[1]!Table357[[#Headers],[#Data],[Unit '#]:[Application/Sold/ Unsold]],7,0)</f>
        <v>#REF!</v>
      </c>
    </row>
    <row r="347" spans="2:16" x14ac:dyDescent="0.25">
      <c r="B347" s="5">
        <f t="shared" si="5"/>
        <v>344</v>
      </c>
      <c r="C347" s="29"/>
      <c r="D347" s="40" t="s">
        <v>2644</v>
      </c>
      <c r="E347" s="40" t="s">
        <v>2708</v>
      </c>
      <c r="F347" s="59">
        <v>830</v>
      </c>
      <c r="G347" s="6" t="s">
        <v>104</v>
      </c>
      <c r="H347" s="6"/>
      <c r="I347" s="6"/>
      <c r="J347" s="6"/>
      <c r="K347" s="7"/>
      <c r="L347" s="49"/>
      <c r="M347" s="49"/>
      <c r="N347" s="6"/>
      <c r="O347" s="6"/>
      <c r="P347" s="1" t="e">
        <f>VLOOKUP(Table3[[#This Row],[UNIT NO.]],[1]!Table357[[#Headers],[#Data],[Unit '#]:[Application/Sold/ Unsold]],7,0)</f>
        <v>#REF!</v>
      </c>
    </row>
    <row r="348" spans="2:16" x14ac:dyDescent="0.25">
      <c r="B348" s="5">
        <f t="shared" si="5"/>
        <v>345</v>
      </c>
      <c r="C348" s="29"/>
      <c r="D348" s="40" t="s">
        <v>2644</v>
      </c>
      <c r="E348" s="40" t="s">
        <v>2709</v>
      </c>
      <c r="F348" s="59">
        <v>830</v>
      </c>
      <c r="G348" s="6" t="s">
        <v>104</v>
      </c>
      <c r="H348" s="6"/>
      <c r="I348" s="6"/>
      <c r="J348" s="6"/>
      <c r="K348" s="7"/>
      <c r="L348" s="49"/>
      <c r="M348" s="49"/>
      <c r="N348" s="6"/>
      <c r="O348" s="6"/>
      <c r="P348" s="1" t="e">
        <f>VLOOKUP(Table3[[#This Row],[UNIT NO.]],[1]!Table357[[#Headers],[#Data],[Unit '#]:[Application/Sold/ Unsold]],7,0)</f>
        <v>#REF!</v>
      </c>
    </row>
    <row r="349" spans="2:16" x14ac:dyDescent="0.25">
      <c r="B349" s="5">
        <f t="shared" si="5"/>
        <v>346</v>
      </c>
      <c r="C349" s="29"/>
      <c r="D349" s="40" t="s">
        <v>2644</v>
      </c>
      <c r="E349" s="40" t="s">
        <v>2710</v>
      </c>
      <c r="F349" s="59">
        <v>830</v>
      </c>
      <c r="G349" s="6" t="s">
        <v>104</v>
      </c>
      <c r="H349" s="6"/>
      <c r="I349" s="6"/>
      <c r="J349" s="6"/>
      <c r="K349" s="7"/>
      <c r="L349" s="49"/>
      <c r="M349" s="49"/>
      <c r="N349" s="6"/>
      <c r="O349" s="6"/>
      <c r="P349" s="1" t="e">
        <f>VLOOKUP(Table3[[#This Row],[UNIT NO.]],[1]!Table357[[#Headers],[#Data],[Unit '#]:[Application/Sold/ Unsold]],7,0)</f>
        <v>#REF!</v>
      </c>
    </row>
    <row r="350" spans="2:16" x14ac:dyDescent="0.25">
      <c r="B350" s="5">
        <f t="shared" si="5"/>
        <v>347</v>
      </c>
      <c r="C350" s="29"/>
      <c r="D350" s="40" t="s">
        <v>2644</v>
      </c>
      <c r="E350" s="40" t="s">
        <v>2711</v>
      </c>
      <c r="F350" s="59">
        <v>830</v>
      </c>
      <c r="G350" s="6" t="s">
        <v>104</v>
      </c>
      <c r="H350" s="6"/>
      <c r="I350" s="6"/>
      <c r="J350" s="6"/>
      <c r="K350" s="7"/>
      <c r="L350" s="49"/>
      <c r="M350" s="49"/>
      <c r="N350" s="6"/>
      <c r="O350" s="6"/>
      <c r="P350" s="1" t="e">
        <f>VLOOKUP(Table3[[#This Row],[UNIT NO.]],[1]!Table357[[#Headers],[#Data],[Unit '#]:[Application/Sold/ Unsold]],7,0)</f>
        <v>#REF!</v>
      </c>
    </row>
    <row r="351" spans="2:16" x14ac:dyDescent="0.25">
      <c r="B351" s="5">
        <f t="shared" si="5"/>
        <v>348</v>
      </c>
      <c r="C351" s="29"/>
      <c r="D351" s="40" t="s">
        <v>2644</v>
      </c>
      <c r="E351" s="40" t="s">
        <v>2712</v>
      </c>
      <c r="F351" s="59">
        <v>830</v>
      </c>
      <c r="G351" s="6" t="s">
        <v>104</v>
      </c>
      <c r="H351" s="6"/>
      <c r="I351" s="6"/>
      <c r="J351" s="6"/>
      <c r="K351" s="7"/>
      <c r="L351" s="49"/>
      <c r="M351" s="49"/>
      <c r="N351" s="6"/>
      <c r="O351" s="6"/>
      <c r="P351" s="1" t="e">
        <f>VLOOKUP(Table3[[#This Row],[UNIT NO.]],[1]!Table357[[#Headers],[#Data],[Unit '#]:[Application/Sold/ Unsold]],7,0)</f>
        <v>#REF!</v>
      </c>
    </row>
    <row r="352" spans="2:16" x14ac:dyDescent="0.25">
      <c r="B352" s="5">
        <f t="shared" si="5"/>
        <v>349</v>
      </c>
      <c r="C352" s="29"/>
      <c r="D352" s="40" t="s">
        <v>2644</v>
      </c>
      <c r="E352" s="40" t="s">
        <v>2713</v>
      </c>
      <c r="F352" s="59">
        <v>830</v>
      </c>
      <c r="G352" s="6" t="s">
        <v>104</v>
      </c>
      <c r="H352" s="6"/>
      <c r="I352" s="6"/>
      <c r="J352" s="6"/>
      <c r="K352" s="7"/>
      <c r="L352" s="49"/>
      <c r="M352" s="49"/>
      <c r="N352" s="6"/>
      <c r="O352" s="6"/>
      <c r="P352" s="1" t="e">
        <f>VLOOKUP(Table3[[#This Row],[UNIT NO.]],[1]!Table357[[#Headers],[#Data],[Unit '#]:[Application/Sold/ Unsold]],7,0)</f>
        <v>#REF!</v>
      </c>
    </row>
    <row r="353" spans="2:16" x14ac:dyDescent="0.25">
      <c r="B353" s="5">
        <f t="shared" si="5"/>
        <v>350</v>
      </c>
      <c r="C353" s="29"/>
      <c r="D353" s="40" t="s">
        <v>2644</v>
      </c>
      <c r="E353" s="40" t="s">
        <v>2714</v>
      </c>
      <c r="F353" s="59">
        <v>830</v>
      </c>
      <c r="G353" s="6" t="s">
        <v>104</v>
      </c>
      <c r="H353" s="6"/>
      <c r="I353" s="6"/>
      <c r="J353" s="6"/>
      <c r="K353" s="7"/>
      <c r="L353" s="49"/>
      <c r="M353" s="49"/>
      <c r="N353" s="6"/>
      <c r="O353" s="6"/>
      <c r="P353" s="1" t="e">
        <f>VLOOKUP(Table3[[#This Row],[UNIT NO.]],[1]!Table357[[#Headers],[#Data],[Unit '#]:[Application/Sold/ Unsold]],7,0)</f>
        <v>#REF!</v>
      </c>
    </row>
    <row r="354" spans="2:16" x14ac:dyDescent="0.25">
      <c r="B354" s="5">
        <f t="shared" si="5"/>
        <v>351</v>
      </c>
      <c r="C354" s="29"/>
      <c r="D354" s="40" t="s">
        <v>2644</v>
      </c>
      <c r="E354" s="40" t="s">
        <v>2715</v>
      </c>
      <c r="F354" s="59">
        <v>830</v>
      </c>
      <c r="G354" s="6" t="s">
        <v>104</v>
      </c>
      <c r="H354" s="6"/>
      <c r="I354" s="6"/>
      <c r="J354" s="6"/>
      <c r="K354" s="7"/>
      <c r="L354" s="49"/>
      <c r="M354" s="49"/>
      <c r="N354" s="6"/>
      <c r="O354" s="6"/>
      <c r="P354" s="1" t="e">
        <f>VLOOKUP(Table3[[#This Row],[UNIT NO.]],[1]!Table357[[#Headers],[#Data],[Unit '#]:[Application/Sold/ Unsold]],7,0)</f>
        <v>#REF!</v>
      </c>
    </row>
    <row r="355" spans="2:16" x14ac:dyDescent="0.25">
      <c r="B355" s="5">
        <f t="shared" si="5"/>
        <v>352</v>
      </c>
      <c r="C355" s="29"/>
      <c r="D355" s="40" t="s">
        <v>2644</v>
      </c>
      <c r="E355" s="40" t="s">
        <v>2716</v>
      </c>
      <c r="F355" s="59">
        <v>830</v>
      </c>
      <c r="G355" s="6" t="s">
        <v>104</v>
      </c>
      <c r="H355" s="6"/>
      <c r="I355" s="6"/>
      <c r="J355" s="6"/>
      <c r="K355" s="7"/>
      <c r="L355" s="49"/>
      <c r="M355" s="49"/>
      <c r="N355" s="6"/>
      <c r="O355" s="6"/>
      <c r="P355" s="1" t="e">
        <f>VLOOKUP(Table3[[#This Row],[UNIT NO.]],[1]!Table357[[#Headers],[#Data],[Unit '#]:[Application/Sold/ Unsold]],7,0)</f>
        <v>#REF!</v>
      </c>
    </row>
    <row r="356" spans="2:16" x14ac:dyDescent="0.25">
      <c r="B356" s="5">
        <f t="shared" si="5"/>
        <v>353</v>
      </c>
      <c r="C356" s="29"/>
      <c r="D356" s="40" t="s">
        <v>2644</v>
      </c>
      <c r="E356" s="40" t="s">
        <v>2717</v>
      </c>
      <c r="F356" s="59">
        <v>830</v>
      </c>
      <c r="G356" s="6" t="s">
        <v>104</v>
      </c>
      <c r="H356" s="6"/>
      <c r="I356" s="6"/>
      <c r="J356" s="6"/>
      <c r="K356" s="7"/>
      <c r="L356" s="49"/>
      <c r="M356" s="49"/>
      <c r="N356" s="6"/>
      <c r="O356" s="6"/>
      <c r="P356" s="1" t="e">
        <f>VLOOKUP(Table3[[#This Row],[UNIT NO.]],[1]!Table357[[#Headers],[#Data],[Unit '#]:[Application/Sold/ Unsold]],7,0)</f>
        <v>#REF!</v>
      </c>
    </row>
    <row r="357" spans="2:16" x14ac:dyDescent="0.25">
      <c r="B357" s="5">
        <f t="shared" si="5"/>
        <v>354</v>
      </c>
      <c r="C357" s="29"/>
      <c r="D357" s="40" t="s">
        <v>2644</v>
      </c>
      <c r="E357" s="40" t="s">
        <v>2718</v>
      </c>
      <c r="F357" s="59">
        <v>830</v>
      </c>
      <c r="G357" s="6" t="s">
        <v>104</v>
      </c>
      <c r="H357" s="6"/>
      <c r="I357" s="6"/>
      <c r="J357" s="6"/>
      <c r="K357" s="7"/>
      <c r="L357" s="49"/>
      <c r="M357" s="49"/>
      <c r="N357" s="6"/>
      <c r="O357" s="6"/>
      <c r="P357" s="1" t="e">
        <f>VLOOKUP(Table3[[#This Row],[UNIT NO.]],[1]!Table357[[#Headers],[#Data],[Unit '#]:[Application/Sold/ Unsold]],7,0)</f>
        <v>#REF!</v>
      </c>
    </row>
    <row r="358" spans="2:16" x14ac:dyDescent="0.25">
      <c r="B358" s="5">
        <f t="shared" si="5"/>
        <v>355</v>
      </c>
      <c r="C358" s="29"/>
      <c r="D358" s="40" t="s">
        <v>2644</v>
      </c>
      <c r="E358" s="40" t="s">
        <v>2719</v>
      </c>
      <c r="F358" s="59">
        <v>830</v>
      </c>
      <c r="G358" s="6" t="s">
        <v>104</v>
      </c>
      <c r="H358" s="6"/>
      <c r="I358" s="6"/>
      <c r="J358" s="6"/>
      <c r="K358" s="7"/>
      <c r="L358" s="49"/>
      <c r="M358" s="49"/>
      <c r="N358" s="6"/>
      <c r="O358" s="6"/>
      <c r="P358" s="1" t="e">
        <f>VLOOKUP(Table3[[#This Row],[UNIT NO.]],[1]!Table357[[#Headers],[#Data],[Unit '#]:[Application/Sold/ Unsold]],7,0)</f>
        <v>#REF!</v>
      </c>
    </row>
    <row r="359" spans="2:16" x14ac:dyDescent="0.25">
      <c r="B359" s="5">
        <f t="shared" si="5"/>
        <v>356</v>
      </c>
      <c r="C359" s="29"/>
      <c r="D359" s="40" t="s">
        <v>2644</v>
      </c>
      <c r="E359" s="40" t="s">
        <v>2720</v>
      </c>
      <c r="F359" s="59">
        <v>830</v>
      </c>
      <c r="G359" s="6" t="s">
        <v>104</v>
      </c>
      <c r="H359" s="6"/>
      <c r="I359" s="6"/>
      <c r="J359" s="6"/>
      <c r="K359" s="7"/>
      <c r="L359" s="49"/>
      <c r="M359" s="49"/>
      <c r="N359" s="6"/>
      <c r="O359" s="6"/>
      <c r="P359" s="1" t="e">
        <f>VLOOKUP(Table3[[#This Row],[UNIT NO.]],[1]!Table357[[#Headers],[#Data],[Unit '#]:[Application/Sold/ Unsold]],7,0)</f>
        <v>#REF!</v>
      </c>
    </row>
    <row r="360" spans="2:16" x14ac:dyDescent="0.25">
      <c r="B360" s="5">
        <f t="shared" si="5"/>
        <v>357</v>
      </c>
      <c r="C360" s="29"/>
      <c r="D360" s="40" t="s">
        <v>2644</v>
      </c>
      <c r="E360" s="40" t="s">
        <v>2721</v>
      </c>
      <c r="F360" s="59">
        <v>830</v>
      </c>
      <c r="G360" s="6" t="s">
        <v>104</v>
      </c>
      <c r="H360" s="6"/>
      <c r="I360" s="6"/>
      <c r="J360" s="6"/>
      <c r="K360" s="7"/>
      <c r="L360" s="49"/>
      <c r="M360" s="49"/>
      <c r="N360" s="6"/>
      <c r="O360" s="6"/>
      <c r="P360" s="1" t="e">
        <f>VLOOKUP(Table3[[#This Row],[UNIT NO.]],[1]!Table357[[#Headers],[#Data],[Unit '#]:[Application/Sold/ Unsold]],7,0)</f>
        <v>#REF!</v>
      </c>
    </row>
    <row r="361" spans="2:16" x14ac:dyDescent="0.25">
      <c r="B361" s="5">
        <f t="shared" si="5"/>
        <v>358</v>
      </c>
      <c r="C361" s="29"/>
      <c r="D361" s="40" t="s">
        <v>2644</v>
      </c>
      <c r="E361" s="40" t="s">
        <v>2722</v>
      </c>
      <c r="F361" s="59">
        <v>830</v>
      </c>
      <c r="G361" s="6" t="s">
        <v>104</v>
      </c>
      <c r="H361" s="6"/>
      <c r="I361" s="6"/>
      <c r="J361" s="6"/>
      <c r="K361" s="7"/>
      <c r="L361" s="49"/>
      <c r="M361" s="49"/>
      <c r="N361" s="6"/>
      <c r="O361" s="6"/>
      <c r="P361" s="1" t="e">
        <f>VLOOKUP(Table3[[#This Row],[UNIT NO.]],[1]!Table357[[#Headers],[#Data],[Unit '#]:[Application/Sold/ Unsold]],7,0)</f>
        <v>#REF!</v>
      </c>
    </row>
    <row r="362" spans="2:16" x14ac:dyDescent="0.25">
      <c r="B362" s="5">
        <f t="shared" si="5"/>
        <v>359</v>
      </c>
      <c r="C362" s="29"/>
      <c r="D362" s="40" t="s">
        <v>2644</v>
      </c>
      <c r="E362" s="40" t="s">
        <v>2723</v>
      </c>
      <c r="F362" s="59">
        <v>830</v>
      </c>
      <c r="G362" s="6" t="s">
        <v>104</v>
      </c>
      <c r="H362" s="6"/>
      <c r="I362" s="6"/>
      <c r="J362" s="6"/>
      <c r="K362" s="7"/>
      <c r="L362" s="49"/>
      <c r="M362" s="49"/>
      <c r="N362" s="6"/>
      <c r="O362" s="6"/>
      <c r="P362" s="1" t="e">
        <f>VLOOKUP(Table3[[#This Row],[UNIT NO.]],[1]!Table357[[#Headers],[#Data],[Unit '#]:[Application/Sold/ Unsold]],7,0)</f>
        <v>#REF!</v>
      </c>
    </row>
    <row r="363" spans="2:16" x14ac:dyDescent="0.25">
      <c r="B363" s="5">
        <f t="shared" si="5"/>
        <v>360</v>
      </c>
      <c r="C363" s="29"/>
      <c r="D363" s="40" t="s">
        <v>2644</v>
      </c>
      <c r="E363" s="40" t="s">
        <v>2724</v>
      </c>
      <c r="F363" s="59">
        <v>830</v>
      </c>
      <c r="G363" s="6" t="s">
        <v>104</v>
      </c>
      <c r="H363" s="6"/>
      <c r="I363" s="6"/>
      <c r="J363" s="6"/>
      <c r="K363" s="7"/>
      <c r="L363" s="49"/>
      <c r="M363" s="49"/>
      <c r="N363" s="6"/>
      <c r="O363" s="6"/>
      <c r="P363" s="1" t="e">
        <f>VLOOKUP(Table3[[#This Row],[UNIT NO.]],[1]!Table357[[#Headers],[#Data],[Unit '#]:[Application/Sold/ Unsold]],7,0)</f>
        <v>#REF!</v>
      </c>
    </row>
    <row r="364" spans="2:16" x14ac:dyDescent="0.25">
      <c r="B364" s="5">
        <f t="shared" si="5"/>
        <v>361</v>
      </c>
      <c r="C364" s="29"/>
      <c r="D364" s="40" t="s">
        <v>2644</v>
      </c>
      <c r="E364" s="40" t="s">
        <v>2725</v>
      </c>
      <c r="F364" s="59">
        <v>830</v>
      </c>
      <c r="G364" s="6" t="s">
        <v>104</v>
      </c>
      <c r="H364" s="6"/>
      <c r="I364" s="6"/>
      <c r="J364" s="6"/>
      <c r="K364" s="7"/>
      <c r="L364" s="49"/>
      <c r="M364" s="49"/>
      <c r="N364" s="6"/>
      <c r="O364" s="6"/>
      <c r="P364" s="1" t="e">
        <f>VLOOKUP(Table3[[#This Row],[UNIT NO.]],[1]!Table357[[#Headers],[#Data],[Unit '#]:[Application/Sold/ Unsold]],7,0)</f>
        <v>#REF!</v>
      </c>
    </row>
    <row r="365" spans="2:16" x14ac:dyDescent="0.25">
      <c r="B365" s="5">
        <f t="shared" si="5"/>
        <v>362</v>
      </c>
      <c r="C365" s="29"/>
      <c r="D365" s="40" t="s">
        <v>2644</v>
      </c>
      <c r="E365" s="40" t="s">
        <v>2726</v>
      </c>
      <c r="F365" s="59">
        <v>830</v>
      </c>
      <c r="G365" s="6" t="s">
        <v>104</v>
      </c>
      <c r="H365" s="6"/>
      <c r="I365" s="6"/>
      <c r="J365" s="6"/>
      <c r="K365" s="7"/>
      <c r="L365" s="49"/>
      <c r="M365" s="49"/>
      <c r="N365" s="6"/>
      <c r="O365" s="6"/>
      <c r="P365" s="1" t="e">
        <f>VLOOKUP(Table3[[#This Row],[UNIT NO.]],[1]!Table357[[#Headers],[#Data],[Unit '#]:[Application/Sold/ Unsold]],7,0)</f>
        <v>#REF!</v>
      </c>
    </row>
    <row r="366" spans="2:16" x14ac:dyDescent="0.25">
      <c r="B366" s="5">
        <f t="shared" si="5"/>
        <v>363</v>
      </c>
      <c r="C366" s="29"/>
      <c r="D366" s="40" t="s">
        <v>2644</v>
      </c>
      <c r="E366" s="40" t="s">
        <v>2727</v>
      </c>
      <c r="F366" s="59">
        <v>830</v>
      </c>
      <c r="G366" s="6" t="s">
        <v>104</v>
      </c>
      <c r="H366" s="6"/>
      <c r="I366" s="6"/>
      <c r="J366" s="6"/>
      <c r="K366" s="7"/>
      <c r="L366" s="49"/>
      <c r="M366" s="49"/>
      <c r="N366" s="6"/>
      <c r="O366" s="6"/>
      <c r="P366" s="1" t="e">
        <f>VLOOKUP(Table3[[#This Row],[UNIT NO.]],[1]!Table357[[#Headers],[#Data],[Unit '#]:[Application/Sold/ Unsold]],7,0)</f>
        <v>#REF!</v>
      </c>
    </row>
    <row r="367" spans="2:16" x14ac:dyDescent="0.25">
      <c r="B367" s="5">
        <f t="shared" si="5"/>
        <v>364</v>
      </c>
      <c r="C367" s="29"/>
      <c r="D367" s="40" t="s">
        <v>2644</v>
      </c>
      <c r="E367" s="40" t="s">
        <v>2728</v>
      </c>
      <c r="F367" s="59">
        <v>830</v>
      </c>
      <c r="G367" s="6" t="s">
        <v>104</v>
      </c>
      <c r="H367" s="6"/>
      <c r="I367" s="6"/>
      <c r="J367" s="6"/>
      <c r="K367" s="7"/>
      <c r="L367" s="49"/>
      <c r="M367" s="49"/>
      <c r="N367" s="6"/>
      <c r="O367" s="6"/>
      <c r="P367" s="1" t="e">
        <f>VLOOKUP(Table3[[#This Row],[UNIT NO.]],[1]!Table357[[#Headers],[#Data],[Unit '#]:[Application/Sold/ Unsold]],7,0)</f>
        <v>#REF!</v>
      </c>
    </row>
    <row r="368" spans="2:16" x14ac:dyDescent="0.25">
      <c r="B368" s="5">
        <f t="shared" si="5"/>
        <v>365</v>
      </c>
      <c r="C368" s="29"/>
      <c r="D368" s="40" t="s">
        <v>2644</v>
      </c>
      <c r="E368" s="40" t="s">
        <v>2729</v>
      </c>
      <c r="F368" s="59">
        <v>830</v>
      </c>
      <c r="G368" s="6" t="s">
        <v>104</v>
      </c>
      <c r="H368" s="6"/>
      <c r="I368" s="6"/>
      <c r="J368" s="6"/>
      <c r="K368" s="7"/>
      <c r="L368" s="49"/>
      <c r="M368" s="49"/>
      <c r="N368" s="6"/>
      <c r="O368" s="6"/>
      <c r="P368" s="1" t="e">
        <f>VLOOKUP(Table3[[#This Row],[UNIT NO.]],[1]!Table357[[#Headers],[#Data],[Unit '#]:[Application/Sold/ Unsold]],7,0)</f>
        <v>#REF!</v>
      </c>
    </row>
    <row r="369" spans="2:16" x14ac:dyDescent="0.25">
      <c r="B369" s="5">
        <f t="shared" si="5"/>
        <v>366</v>
      </c>
      <c r="C369" s="29"/>
      <c r="D369" s="40" t="s">
        <v>2644</v>
      </c>
      <c r="E369" s="40" t="s">
        <v>2730</v>
      </c>
      <c r="F369" s="59">
        <v>830</v>
      </c>
      <c r="G369" s="6" t="s">
        <v>104</v>
      </c>
      <c r="H369" s="6"/>
      <c r="I369" s="6"/>
      <c r="J369" s="6"/>
      <c r="K369" s="7"/>
      <c r="L369" s="49"/>
      <c r="M369" s="49"/>
      <c r="N369" s="6"/>
      <c r="O369" s="6"/>
      <c r="P369" s="1" t="e">
        <f>VLOOKUP(Table3[[#This Row],[UNIT NO.]],[1]!Table357[[#Headers],[#Data],[Unit '#]:[Application/Sold/ Unsold]],7,0)</f>
        <v>#REF!</v>
      </c>
    </row>
    <row r="370" spans="2:16" x14ac:dyDescent="0.25">
      <c r="B370" s="5">
        <f t="shared" si="5"/>
        <v>367</v>
      </c>
      <c r="C370" s="29"/>
      <c r="D370" s="40" t="s">
        <v>2644</v>
      </c>
      <c r="E370" s="40" t="s">
        <v>2731</v>
      </c>
      <c r="F370" s="59">
        <v>830</v>
      </c>
      <c r="G370" s="6" t="s">
        <v>104</v>
      </c>
      <c r="H370" s="6"/>
      <c r="I370" s="6"/>
      <c r="J370" s="6"/>
      <c r="K370" s="7"/>
      <c r="L370" s="49"/>
      <c r="M370" s="49"/>
      <c r="N370" s="6"/>
      <c r="O370" s="6"/>
      <c r="P370" s="1" t="e">
        <f>VLOOKUP(Table3[[#This Row],[UNIT NO.]],[1]!Table357[[#Headers],[#Data],[Unit '#]:[Application/Sold/ Unsold]],7,0)</f>
        <v>#REF!</v>
      </c>
    </row>
    <row r="371" spans="2:16" x14ac:dyDescent="0.25">
      <c r="B371" s="5">
        <f t="shared" si="5"/>
        <v>368</v>
      </c>
      <c r="C371" s="29"/>
      <c r="D371" s="40" t="s">
        <v>2644</v>
      </c>
      <c r="E371" s="40" t="s">
        <v>2732</v>
      </c>
      <c r="F371" s="59">
        <v>830</v>
      </c>
      <c r="G371" s="6" t="s">
        <v>104</v>
      </c>
      <c r="H371" s="6"/>
      <c r="I371" s="6"/>
      <c r="J371" s="6"/>
      <c r="K371" s="7"/>
      <c r="L371" s="49"/>
      <c r="M371" s="49"/>
      <c r="N371" s="6"/>
      <c r="O371" s="6"/>
      <c r="P371" s="1" t="e">
        <f>VLOOKUP(Table3[[#This Row],[UNIT NO.]],[1]!Table357[[#Headers],[#Data],[Unit '#]:[Application/Sold/ Unsold]],7,0)</f>
        <v>#REF!</v>
      </c>
    </row>
    <row r="372" spans="2:16" x14ac:dyDescent="0.25">
      <c r="B372" s="5">
        <f t="shared" si="5"/>
        <v>369</v>
      </c>
      <c r="C372" s="29"/>
      <c r="D372" s="40" t="s">
        <v>2644</v>
      </c>
      <c r="E372" s="40" t="s">
        <v>2733</v>
      </c>
      <c r="F372" s="59">
        <v>830</v>
      </c>
      <c r="G372" s="6" t="s">
        <v>104</v>
      </c>
      <c r="H372" s="6"/>
      <c r="I372" s="6"/>
      <c r="J372" s="6"/>
      <c r="K372" s="7"/>
      <c r="L372" s="49"/>
      <c r="M372" s="49"/>
      <c r="N372" s="6"/>
      <c r="O372" s="6"/>
      <c r="P372" s="1" t="e">
        <f>VLOOKUP(Table3[[#This Row],[UNIT NO.]],[1]!Table357[[#Headers],[#Data],[Unit '#]:[Application/Sold/ Unsold]],7,0)</f>
        <v>#REF!</v>
      </c>
    </row>
    <row r="373" spans="2:16" x14ac:dyDescent="0.25">
      <c r="B373" s="5">
        <f t="shared" si="5"/>
        <v>370</v>
      </c>
      <c r="C373" s="29"/>
      <c r="D373" s="40" t="s">
        <v>2644</v>
      </c>
      <c r="E373" s="40" t="s">
        <v>2734</v>
      </c>
      <c r="F373" s="59">
        <v>830</v>
      </c>
      <c r="G373" s="6" t="s">
        <v>104</v>
      </c>
      <c r="H373" s="6"/>
      <c r="I373" s="6"/>
      <c r="J373" s="6"/>
      <c r="K373" s="7"/>
      <c r="L373" s="49"/>
      <c r="M373" s="49"/>
      <c r="N373" s="6"/>
      <c r="O373" s="6"/>
      <c r="P373" s="1" t="e">
        <f>VLOOKUP(Table3[[#This Row],[UNIT NO.]],[1]!Table357[[#Headers],[#Data],[Unit '#]:[Application/Sold/ Unsold]],7,0)</f>
        <v>#REF!</v>
      </c>
    </row>
    <row r="374" spans="2:16" x14ac:dyDescent="0.25">
      <c r="B374" s="5">
        <f t="shared" si="5"/>
        <v>371</v>
      </c>
      <c r="C374" s="29"/>
      <c r="D374" s="40" t="s">
        <v>2644</v>
      </c>
      <c r="E374" s="40" t="s">
        <v>2735</v>
      </c>
      <c r="F374" s="59">
        <v>830</v>
      </c>
      <c r="G374" s="6" t="s">
        <v>104</v>
      </c>
      <c r="H374" s="6"/>
      <c r="I374" s="6"/>
      <c r="J374" s="6"/>
      <c r="K374" s="7"/>
      <c r="L374" s="49"/>
      <c r="M374" s="49"/>
      <c r="N374" s="6"/>
      <c r="O374" s="6"/>
      <c r="P374" s="1" t="e">
        <f>VLOOKUP(Table3[[#This Row],[UNIT NO.]],[1]!Table357[[#Headers],[#Data],[Unit '#]:[Application/Sold/ Unsold]],7,0)</f>
        <v>#REF!</v>
      </c>
    </row>
    <row r="375" spans="2:16" x14ac:dyDescent="0.25">
      <c r="B375" s="5">
        <f t="shared" si="5"/>
        <v>372</v>
      </c>
      <c r="C375" s="29"/>
      <c r="D375" s="40" t="s">
        <v>2644</v>
      </c>
      <c r="E375" s="40" t="s">
        <v>2736</v>
      </c>
      <c r="F375" s="59">
        <v>830</v>
      </c>
      <c r="G375" s="6" t="s">
        <v>104</v>
      </c>
      <c r="H375" s="6"/>
      <c r="I375" s="6"/>
      <c r="J375" s="6"/>
      <c r="K375" s="7"/>
      <c r="L375" s="49"/>
      <c r="M375" s="49"/>
      <c r="N375" s="6"/>
      <c r="O375" s="6"/>
      <c r="P375" s="1" t="e">
        <f>VLOOKUP(Table3[[#This Row],[UNIT NO.]],[1]!Table357[[#Headers],[#Data],[Unit '#]:[Application/Sold/ Unsold]],7,0)</f>
        <v>#REF!</v>
      </c>
    </row>
    <row r="376" spans="2:16" x14ac:dyDescent="0.25">
      <c r="B376" s="5">
        <f t="shared" si="5"/>
        <v>373</v>
      </c>
      <c r="C376" s="29"/>
      <c r="D376" s="40" t="s">
        <v>2644</v>
      </c>
      <c r="E376" s="40" t="s">
        <v>2737</v>
      </c>
      <c r="F376" s="59">
        <v>830</v>
      </c>
      <c r="G376" s="6" t="s">
        <v>104</v>
      </c>
      <c r="H376" s="6"/>
      <c r="I376" s="6"/>
      <c r="J376" s="6"/>
      <c r="K376" s="7"/>
      <c r="L376" s="49"/>
      <c r="M376" s="49"/>
      <c r="N376" s="6"/>
      <c r="O376" s="6"/>
      <c r="P376" s="1" t="e">
        <f>VLOOKUP(Table3[[#This Row],[UNIT NO.]],[1]!Table357[[#Headers],[#Data],[Unit '#]:[Application/Sold/ Unsold]],7,0)</f>
        <v>#REF!</v>
      </c>
    </row>
    <row r="377" spans="2:16" x14ac:dyDescent="0.25">
      <c r="B377" s="5">
        <f t="shared" si="5"/>
        <v>374</v>
      </c>
      <c r="C377" s="29"/>
      <c r="D377" s="40" t="s">
        <v>2644</v>
      </c>
      <c r="E377" s="40" t="s">
        <v>2738</v>
      </c>
      <c r="F377" s="59">
        <v>830</v>
      </c>
      <c r="G377" s="6" t="s">
        <v>104</v>
      </c>
      <c r="H377" s="6"/>
      <c r="I377" s="6"/>
      <c r="J377" s="6"/>
      <c r="K377" s="7"/>
      <c r="L377" s="49"/>
      <c r="M377" s="49"/>
      <c r="N377" s="6"/>
      <c r="O377" s="6"/>
      <c r="P377" s="1" t="e">
        <f>VLOOKUP(Table3[[#This Row],[UNIT NO.]],[1]!Table357[[#Headers],[#Data],[Unit '#]:[Application/Sold/ Unsold]],7,0)</f>
        <v>#REF!</v>
      </c>
    </row>
    <row r="378" spans="2:16" x14ac:dyDescent="0.25">
      <c r="B378" s="5">
        <f t="shared" si="5"/>
        <v>375</v>
      </c>
      <c r="C378" s="29"/>
      <c r="D378" s="40" t="s">
        <v>2644</v>
      </c>
      <c r="E378" s="40" t="s">
        <v>2739</v>
      </c>
      <c r="F378" s="59">
        <v>830</v>
      </c>
      <c r="G378" s="6" t="s">
        <v>104</v>
      </c>
      <c r="H378" s="6"/>
      <c r="I378" s="6"/>
      <c r="J378" s="6"/>
      <c r="K378" s="7"/>
      <c r="L378" s="49"/>
      <c r="M378" s="49"/>
      <c r="N378" s="6"/>
      <c r="O378" s="6"/>
      <c r="P378" s="1" t="e">
        <f>VLOOKUP(Table3[[#This Row],[UNIT NO.]],[1]!Table357[[#Headers],[#Data],[Unit '#]:[Application/Sold/ Unsold]],7,0)</f>
        <v>#REF!</v>
      </c>
    </row>
    <row r="379" spans="2:16" x14ac:dyDescent="0.25">
      <c r="B379" s="5">
        <f t="shared" si="5"/>
        <v>376</v>
      </c>
      <c r="C379" s="29"/>
      <c r="D379" s="40" t="s">
        <v>2644</v>
      </c>
      <c r="E379" s="40" t="s">
        <v>2740</v>
      </c>
      <c r="F379" s="59">
        <v>830</v>
      </c>
      <c r="G379" s="6" t="s">
        <v>104</v>
      </c>
      <c r="H379" s="6"/>
      <c r="I379" s="6"/>
      <c r="J379" s="6"/>
      <c r="K379" s="7"/>
      <c r="L379" s="49"/>
      <c r="M379" s="49"/>
      <c r="N379" s="6"/>
      <c r="O379" s="6"/>
      <c r="P379" s="1" t="e">
        <f>VLOOKUP(Table3[[#This Row],[UNIT NO.]],[1]!Table357[[#Headers],[#Data],[Unit '#]:[Application/Sold/ Unsold]],7,0)</f>
        <v>#REF!</v>
      </c>
    </row>
    <row r="380" spans="2:16" x14ac:dyDescent="0.25">
      <c r="B380" s="5">
        <f t="shared" si="5"/>
        <v>377</v>
      </c>
      <c r="C380" s="29"/>
      <c r="D380" s="40" t="s">
        <v>2644</v>
      </c>
      <c r="E380" s="40" t="s">
        <v>2741</v>
      </c>
      <c r="F380" s="59">
        <v>830</v>
      </c>
      <c r="G380" s="6" t="s">
        <v>104</v>
      </c>
      <c r="H380" s="6"/>
      <c r="I380" s="6"/>
      <c r="J380" s="6"/>
      <c r="K380" s="7"/>
      <c r="L380" s="49"/>
      <c r="M380" s="49"/>
      <c r="N380" s="6"/>
      <c r="O380" s="6"/>
      <c r="P380" s="1" t="e">
        <f>VLOOKUP(Table3[[#This Row],[UNIT NO.]],[1]!Table357[[#Headers],[#Data],[Unit '#]:[Application/Sold/ Unsold]],7,0)</f>
        <v>#REF!</v>
      </c>
    </row>
    <row r="381" spans="2:16" x14ac:dyDescent="0.25">
      <c r="B381" s="5">
        <f t="shared" si="5"/>
        <v>378</v>
      </c>
      <c r="C381" s="29"/>
      <c r="D381" s="40" t="s">
        <v>2644</v>
      </c>
      <c r="E381" s="40" t="s">
        <v>2742</v>
      </c>
      <c r="F381" s="59">
        <v>830</v>
      </c>
      <c r="G381" s="6" t="s">
        <v>104</v>
      </c>
      <c r="H381" s="6"/>
      <c r="I381" s="6"/>
      <c r="J381" s="6"/>
      <c r="K381" s="7"/>
      <c r="L381" s="49"/>
      <c r="M381" s="49"/>
      <c r="N381" s="6"/>
      <c r="O381" s="6"/>
      <c r="P381" s="1" t="e">
        <f>VLOOKUP(Table3[[#This Row],[UNIT NO.]],[1]!Table357[[#Headers],[#Data],[Unit '#]:[Application/Sold/ Unsold]],7,0)</f>
        <v>#REF!</v>
      </c>
    </row>
    <row r="382" spans="2:16" x14ac:dyDescent="0.25">
      <c r="B382" s="5">
        <f t="shared" si="5"/>
        <v>379</v>
      </c>
      <c r="C382" s="29"/>
      <c r="D382" s="40" t="s">
        <v>2644</v>
      </c>
      <c r="E382" s="40" t="s">
        <v>2743</v>
      </c>
      <c r="F382" s="59">
        <v>830</v>
      </c>
      <c r="G382" s="6" t="s">
        <v>104</v>
      </c>
      <c r="H382" s="6"/>
      <c r="I382" s="6"/>
      <c r="J382" s="6"/>
      <c r="K382" s="7"/>
      <c r="L382" s="49"/>
      <c r="M382" s="49"/>
      <c r="N382" s="6"/>
      <c r="O382" s="6"/>
      <c r="P382" s="1" t="e">
        <f>VLOOKUP(Table3[[#This Row],[UNIT NO.]],[1]!Table357[[#Headers],[#Data],[Unit '#]:[Application/Sold/ Unsold]],7,0)</f>
        <v>#REF!</v>
      </c>
    </row>
    <row r="383" spans="2:16" x14ac:dyDescent="0.25">
      <c r="B383" s="5">
        <f t="shared" si="5"/>
        <v>380</v>
      </c>
      <c r="C383" s="29"/>
      <c r="D383" s="40" t="s">
        <v>2644</v>
      </c>
      <c r="E383" s="40" t="s">
        <v>2744</v>
      </c>
      <c r="F383" s="59">
        <v>830</v>
      </c>
      <c r="G383" s="6" t="s">
        <v>104</v>
      </c>
      <c r="H383" s="6"/>
      <c r="I383" s="6"/>
      <c r="J383" s="6"/>
      <c r="K383" s="7"/>
      <c r="L383" s="49"/>
      <c r="M383" s="49"/>
      <c r="N383" s="6"/>
      <c r="O383" s="6"/>
      <c r="P383" s="1" t="e">
        <f>VLOOKUP(Table3[[#This Row],[UNIT NO.]],[1]!Table357[[#Headers],[#Data],[Unit '#]:[Application/Sold/ Unsold]],7,0)</f>
        <v>#REF!</v>
      </c>
    </row>
    <row r="384" spans="2:16" x14ac:dyDescent="0.25">
      <c r="B384" s="5">
        <f t="shared" si="5"/>
        <v>381</v>
      </c>
      <c r="C384" s="29"/>
      <c r="D384" s="40" t="s">
        <v>2644</v>
      </c>
      <c r="E384" s="40" t="s">
        <v>2745</v>
      </c>
      <c r="F384" s="59">
        <v>830</v>
      </c>
      <c r="G384" s="6" t="s">
        <v>104</v>
      </c>
      <c r="H384" s="6"/>
      <c r="I384" s="6"/>
      <c r="J384" s="6"/>
      <c r="K384" s="7"/>
      <c r="L384" s="49"/>
      <c r="M384" s="49"/>
      <c r="N384" s="6"/>
      <c r="O384" s="6"/>
      <c r="P384" s="1" t="e">
        <f>VLOOKUP(Table3[[#This Row],[UNIT NO.]],[1]!Table357[[#Headers],[#Data],[Unit '#]:[Application/Sold/ Unsold]],7,0)</f>
        <v>#REF!</v>
      </c>
    </row>
    <row r="385" spans="2:16" x14ac:dyDescent="0.25">
      <c r="B385" s="5">
        <f t="shared" si="5"/>
        <v>382</v>
      </c>
      <c r="C385" s="29"/>
      <c r="D385" s="40" t="s">
        <v>2644</v>
      </c>
      <c r="E385" s="40" t="s">
        <v>2746</v>
      </c>
      <c r="F385" s="59">
        <v>830</v>
      </c>
      <c r="G385" s="6" t="s">
        <v>104</v>
      </c>
      <c r="H385" s="6"/>
      <c r="I385" s="6"/>
      <c r="J385" s="6"/>
      <c r="K385" s="7"/>
      <c r="L385" s="49"/>
      <c r="M385" s="49"/>
      <c r="N385" s="6"/>
      <c r="O385" s="6"/>
      <c r="P385" s="1" t="e">
        <f>VLOOKUP(Table3[[#This Row],[UNIT NO.]],[1]!Table357[[#Headers],[#Data],[Unit '#]:[Application/Sold/ Unsold]],7,0)</f>
        <v>#REF!</v>
      </c>
    </row>
    <row r="386" spans="2:16" x14ac:dyDescent="0.25">
      <c r="B386" s="5">
        <f t="shared" si="5"/>
        <v>383</v>
      </c>
      <c r="C386" s="29"/>
      <c r="D386" s="40" t="s">
        <v>2644</v>
      </c>
      <c r="E386" s="40" t="s">
        <v>2747</v>
      </c>
      <c r="F386" s="59">
        <v>830</v>
      </c>
      <c r="G386" s="6" t="s">
        <v>104</v>
      </c>
      <c r="H386" s="6"/>
      <c r="I386" s="6"/>
      <c r="J386" s="6"/>
      <c r="K386" s="7"/>
      <c r="L386" s="49"/>
      <c r="M386" s="49"/>
      <c r="N386" s="6"/>
      <c r="O386" s="6"/>
      <c r="P386" s="1" t="e">
        <f>VLOOKUP(Table3[[#This Row],[UNIT NO.]],[1]!Table357[[#Headers],[#Data],[Unit '#]:[Application/Sold/ Unsold]],7,0)</f>
        <v>#REF!</v>
      </c>
    </row>
    <row r="387" spans="2:16" x14ac:dyDescent="0.25">
      <c r="B387" s="5">
        <f t="shared" si="5"/>
        <v>384</v>
      </c>
      <c r="C387" s="29"/>
      <c r="D387" s="40" t="s">
        <v>2644</v>
      </c>
      <c r="E387" s="40" t="s">
        <v>2748</v>
      </c>
      <c r="F387" s="59">
        <v>830</v>
      </c>
      <c r="G387" s="6" t="s">
        <v>104</v>
      </c>
      <c r="H387" s="6"/>
      <c r="I387" s="6"/>
      <c r="J387" s="6"/>
      <c r="K387" s="7"/>
      <c r="L387" s="49"/>
      <c r="M387" s="49"/>
      <c r="N387" s="6"/>
      <c r="O387" s="6"/>
      <c r="P387" s="1" t="e">
        <f>VLOOKUP(Table3[[#This Row],[UNIT NO.]],[1]!Table357[[#Headers],[#Data],[Unit '#]:[Application/Sold/ Unsold]],7,0)</f>
        <v>#REF!</v>
      </c>
    </row>
    <row r="388" spans="2:16" x14ac:dyDescent="0.25">
      <c r="B388" s="5">
        <f t="shared" si="5"/>
        <v>385</v>
      </c>
      <c r="C388" s="29"/>
      <c r="D388" s="40" t="s">
        <v>2644</v>
      </c>
      <c r="E388" s="40" t="s">
        <v>2749</v>
      </c>
      <c r="F388" s="59">
        <v>830</v>
      </c>
      <c r="G388" s="6" t="s">
        <v>104</v>
      </c>
      <c r="H388" s="6"/>
      <c r="I388" s="6"/>
      <c r="J388" s="6"/>
      <c r="K388" s="7"/>
      <c r="L388" s="49"/>
      <c r="M388" s="49"/>
      <c r="N388" s="6"/>
      <c r="O388" s="6"/>
      <c r="P388" s="1" t="e">
        <f>VLOOKUP(Table3[[#This Row],[UNIT NO.]],[1]!Table357[[#Headers],[#Data],[Unit '#]:[Application/Sold/ Unsold]],7,0)</f>
        <v>#REF!</v>
      </c>
    </row>
    <row r="389" spans="2:16" x14ac:dyDescent="0.25">
      <c r="B389" s="5">
        <f t="shared" si="5"/>
        <v>386</v>
      </c>
      <c r="C389" s="29"/>
      <c r="D389" s="40" t="s">
        <v>2644</v>
      </c>
      <c r="E389" s="40" t="s">
        <v>2750</v>
      </c>
      <c r="F389" s="59">
        <v>830</v>
      </c>
      <c r="G389" s="6" t="s">
        <v>104</v>
      </c>
      <c r="H389" s="6"/>
      <c r="I389" s="6"/>
      <c r="J389" s="6"/>
      <c r="K389" s="7"/>
      <c r="L389" s="49"/>
      <c r="M389" s="49"/>
      <c r="N389" s="6"/>
      <c r="O389" s="6"/>
      <c r="P389" s="1" t="e">
        <f>VLOOKUP(Table3[[#This Row],[UNIT NO.]],[1]!Table357[[#Headers],[#Data],[Unit '#]:[Application/Sold/ Unsold]],7,0)</f>
        <v>#REF!</v>
      </c>
    </row>
    <row r="390" spans="2:16" x14ac:dyDescent="0.25">
      <c r="B390" s="5">
        <f t="shared" ref="B390:B433" si="6">B389+1</f>
        <v>387</v>
      </c>
      <c r="C390" s="29"/>
      <c r="D390" s="40" t="s">
        <v>2644</v>
      </c>
      <c r="E390" s="40" t="s">
        <v>2751</v>
      </c>
      <c r="F390" s="59">
        <v>830</v>
      </c>
      <c r="G390" s="6" t="s">
        <v>104</v>
      </c>
      <c r="H390" s="6"/>
      <c r="I390" s="6"/>
      <c r="J390" s="6"/>
      <c r="K390" s="7"/>
      <c r="L390" s="49"/>
      <c r="M390" s="49"/>
      <c r="N390" s="6"/>
      <c r="O390" s="6"/>
      <c r="P390" s="1" t="e">
        <f>VLOOKUP(Table3[[#This Row],[UNIT NO.]],[1]!Table357[[#Headers],[#Data],[Unit '#]:[Application/Sold/ Unsold]],7,0)</f>
        <v>#REF!</v>
      </c>
    </row>
    <row r="391" spans="2:16" x14ac:dyDescent="0.25">
      <c r="B391" s="5">
        <f t="shared" si="6"/>
        <v>388</v>
      </c>
      <c r="C391" s="29"/>
      <c r="D391" s="40" t="s">
        <v>2644</v>
      </c>
      <c r="E391" s="40" t="s">
        <v>2752</v>
      </c>
      <c r="F391" s="59">
        <v>830</v>
      </c>
      <c r="G391" s="6" t="s">
        <v>104</v>
      </c>
      <c r="H391" s="6"/>
      <c r="I391" s="6"/>
      <c r="J391" s="6"/>
      <c r="K391" s="7"/>
      <c r="L391" s="49"/>
      <c r="M391" s="49"/>
      <c r="N391" s="6"/>
      <c r="O391" s="6"/>
      <c r="P391" s="1" t="e">
        <f>VLOOKUP(Table3[[#This Row],[UNIT NO.]],[1]!Table357[[#Headers],[#Data],[Unit '#]:[Application/Sold/ Unsold]],7,0)</f>
        <v>#REF!</v>
      </c>
    </row>
    <row r="392" spans="2:16" x14ac:dyDescent="0.25">
      <c r="B392" s="5">
        <f t="shared" si="6"/>
        <v>389</v>
      </c>
      <c r="C392" s="29"/>
      <c r="D392" s="40" t="s">
        <v>2644</v>
      </c>
      <c r="E392" s="40" t="s">
        <v>2753</v>
      </c>
      <c r="F392" s="59">
        <v>830</v>
      </c>
      <c r="G392" s="6" t="s">
        <v>104</v>
      </c>
      <c r="H392" s="6"/>
      <c r="I392" s="6"/>
      <c r="J392" s="6"/>
      <c r="K392" s="7"/>
      <c r="L392" s="49"/>
      <c r="M392" s="49"/>
      <c r="N392" s="6"/>
      <c r="O392" s="6"/>
      <c r="P392" s="1" t="e">
        <f>VLOOKUP(Table3[[#This Row],[UNIT NO.]],[1]!Table357[[#Headers],[#Data],[Unit '#]:[Application/Sold/ Unsold]],7,0)</f>
        <v>#REF!</v>
      </c>
    </row>
    <row r="393" spans="2:16" x14ac:dyDescent="0.25">
      <c r="B393" s="5">
        <f t="shared" si="6"/>
        <v>390</v>
      </c>
      <c r="C393" s="29"/>
      <c r="D393" s="40" t="s">
        <v>2644</v>
      </c>
      <c r="E393" s="40" t="s">
        <v>2754</v>
      </c>
      <c r="F393" s="59">
        <v>830</v>
      </c>
      <c r="G393" s="6" t="s">
        <v>104</v>
      </c>
      <c r="H393" s="6"/>
      <c r="I393" s="6"/>
      <c r="J393" s="6"/>
      <c r="K393" s="7"/>
      <c r="L393" s="49"/>
      <c r="M393" s="49"/>
      <c r="N393" s="6"/>
      <c r="O393" s="6"/>
      <c r="P393" s="1" t="e">
        <f>VLOOKUP(Table3[[#This Row],[UNIT NO.]],[1]!Table357[[#Headers],[#Data],[Unit '#]:[Application/Sold/ Unsold]],7,0)</f>
        <v>#REF!</v>
      </c>
    </row>
    <row r="394" spans="2:16" x14ac:dyDescent="0.25">
      <c r="B394" s="5">
        <f t="shared" si="6"/>
        <v>391</v>
      </c>
      <c r="C394" s="29"/>
      <c r="D394" s="40" t="s">
        <v>2644</v>
      </c>
      <c r="E394" s="40" t="s">
        <v>2755</v>
      </c>
      <c r="F394" s="59">
        <v>830</v>
      </c>
      <c r="G394" s="6" t="s">
        <v>104</v>
      </c>
      <c r="H394" s="6"/>
      <c r="I394" s="6"/>
      <c r="J394" s="6"/>
      <c r="K394" s="7"/>
      <c r="L394" s="49"/>
      <c r="M394" s="49"/>
      <c r="N394" s="6"/>
      <c r="O394" s="6"/>
      <c r="P394" s="1" t="e">
        <f>VLOOKUP(Table3[[#This Row],[UNIT NO.]],[1]!Table357[[#Headers],[#Data],[Unit '#]:[Application/Sold/ Unsold]],7,0)</f>
        <v>#REF!</v>
      </c>
    </row>
    <row r="395" spans="2:16" x14ac:dyDescent="0.25">
      <c r="B395" s="5">
        <f t="shared" si="6"/>
        <v>392</v>
      </c>
      <c r="C395" s="29"/>
      <c r="D395" s="40" t="s">
        <v>2644</v>
      </c>
      <c r="E395" s="40" t="s">
        <v>2756</v>
      </c>
      <c r="F395" s="59">
        <v>830</v>
      </c>
      <c r="G395" s="6" t="s">
        <v>104</v>
      </c>
      <c r="H395" s="6"/>
      <c r="I395" s="6"/>
      <c r="J395" s="6"/>
      <c r="K395" s="7"/>
      <c r="L395" s="49"/>
      <c r="M395" s="49"/>
      <c r="N395" s="6"/>
      <c r="O395" s="6"/>
      <c r="P395" s="1" t="e">
        <f>VLOOKUP(Table3[[#This Row],[UNIT NO.]],[1]!Table357[[#Headers],[#Data],[Unit '#]:[Application/Sold/ Unsold]],7,0)</f>
        <v>#REF!</v>
      </c>
    </row>
    <row r="396" spans="2:16" x14ac:dyDescent="0.25">
      <c r="B396" s="5">
        <f t="shared" si="6"/>
        <v>393</v>
      </c>
      <c r="C396" s="29"/>
      <c r="D396" s="40" t="s">
        <v>2644</v>
      </c>
      <c r="E396" s="40" t="s">
        <v>2757</v>
      </c>
      <c r="F396" s="59">
        <v>830</v>
      </c>
      <c r="G396" s="6" t="s">
        <v>104</v>
      </c>
      <c r="H396" s="6"/>
      <c r="I396" s="6"/>
      <c r="J396" s="6"/>
      <c r="K396" s="7"/>
      <c r="L396" s="49"/>
      <c r="M396" s="49"/>
      <c r="N396" s="6"/>
      <c r="O396" s="6"/>
      <c r="P396" s="1" t="e">
        <f>VLOOKUP(Table3[[#This Row],[UNIT NO.]],[1]!Table357[[#Headers],[#Data],[Unit '#]:[Application/Sold/ Unsold]],7,0)</f>
        <v>#REF!</v>
      </c>
    </row>
    <row r="397" spans="2:16" x14ac:dyDescent="0.25">
      <c r="B397" s="5">
        <f t="shared" si="6"/>
        <v>394</v>
      </c>
      <c r="C397" s="29"/>
      <c r="D397" s="40" t="s">
        <v>2644</v>
      </c>
      <c r="E397" s="40" t="s">
        <v>2758</v>
      </c>
      <c r="F397" s="59">
        <v>830</v>
      </c>
      <c r="G397" s="6" t="s">
        <v>104</v>
      </c>
      <c r="H397" s="6"/>
      <c r="I397" s="6"/>
      <c r="J397" s="6"/>
      <c r="K397" s="7"/>
      <c r="L397" s="49"/>
      <c r="M397" s="49"/>
      <c r="N397" s="6"/>
      <c r="O397" s="6"/>
      <c r="P397" s="1" t="e">
        <f>VLOOKUP(Table3[[#This Row],[UNIT NO.]],[1]!Table357[[#Headers],[#Data],[Unit '#]:[Application/Sold/ Unsold]],7,0)</f>
        <v>#REF!</v>
      </c>
    </row>
    <row r="398" spans="2:16" x14ac:dyDescent="0.25">
      <c r="B398" s="5">
        <f t="shared" si="6"/>
        <v>395</v>
      </c>
      <c r="C398" s="29"/>
      <c r="D398" s="40" t="s">
        <v>2644</v>
      </c>
      <c r="E398" s="40" t="s">
        <v>2759</v>
      </c>
      <c r="F398" s="59">
        <v>830</v>
      </c>
      <c r="G398" s="6" t="s">
        <v>104</v>
      </c>
      <c r="H398" s="6"/>
      <c r="I398" s="6"/>
      <c r="J398" s="6"/>
      <c r="K398" s="7"/>
      <c r="L398" s="49"/>
      <c r="M398" s="49"/>
      <c r="N398" s="6"/>
      <c r="O398" s="6"/>
      <c r="P398" s="1" t="e">
        <f>VLOOKUP(Table3[[#This Row],[UNIT NO.]],[1]!Table357[[#Headers],[#Data],[Unit '#]:[Application/Sold/ Unsold]],7,0)</f>
        <v>#REF!</v>
      </c>
    </row>
    <row r="399" spans="2:16" x14ac:dyDescent="0.25">
      <c r="B399" s="5">
        <f t="shared" si="6"/>
        <v>396</v>
      </c>
      <c r="C399" s="29"/>
      <c r="D399" s="40" t="s">
        <v>2644</v>
      </c>
      <c r="E399" s="40" t="s">
        <v>2760</v>
      </c>
      <c r="F399" s="59">
        <v>830</v>
      </c>
      <c r="G399" s="6" t="s">
        <v>104</v>
      </c>
      <c r="H399" s="6"/>
      <c r="I399" s="6"/>
      <c r="J399" s="6"/>
      <c r="K399" s="7"/>
      <c r="L399" s="49"/>
      <c r="M399" s="49"/>
      <c r="N399" s="6"/>
      <c r="O399" s="6"/>
      <c r="P399" s="1" t="e">
        <f>VLOOKUP(Table3[[#This Row],[UNIT NO.]],[1]!Table357[[#Headers],[#Data],[Unit '#]:[Application/Sold/ Unsold]],7,0)</f>
        <v>#REF!</v>
      </c>
    </row>
    <row r="400" spans="2:16" x14ac:dyDescent="0.25">
      <c r="B400" s="5">
        <f t="shared" si="6"/>
        <v>397</v>
      </c>
      <c r="C400" s="29"/>
      <c r="D400" s="40" t="s">
        <v>2644</v>
      </c>
      <c r="E400" s="40" t="s">
        <v>2761</v>
      </c>
      <c r="F400" s="59">
        <v>830</v>
      </c>
      <c r="G400" s="6" t="s">
        <v>104</v>
      </c>
      <c r="H400" s="6"/>
      <c r="I400" s="6"/>
      <c r="J400" s="6"/>
      <c r="K400" s="7"/>
      <c r="L400" s="49"/>
      <c r="M400" s="49"/>
      <c r="N400" s="6"/>
      <c r="O400" s="6"/>
      <c r="P400" s="1" t="e">
        <f>VLOOKUP(Table3[[#This Row],[UNIT NO.]],[1]!Table357[[#Headers],[#Data],[Unit '#]:[Application/Sold/ Unsold]],7,0)</f>
        <v>#REF!</v>
      </c>
    </row>
    <row r="401" spans="2:16" x14ac:dyDescent="0.25">
      <c r="B401" s="5">
        <f t="shared" si="6"/>
        <v>398</v>
      </c>
      <c r="C401" s="29"/>
      <c r="D401" s="40" t="s">
        <v>2644</v>
      </c>
      <c r="E401" s="40" t="s">
        <v>2762</v>
      </c>
      <c r="F401" s="59">
        <v>830</v>
      </c>
      <c r="G401" s="6" t="s">
        <v>104</v>
      </c>
      <c r="H401" s="6"/>
      <c r="I401" s="6"/>
      <c r="J401" s="6"/>
      <c r="K401" s="7"/>
      <c r="L401" s="49"/>
      <c r="M401" s="49"/>
      <c r="N401" s="6"/>
      <c r="O401" s="6"/>
      <c r="P401" s="1" t="e">
        <f>VLOOKUP(Table3[[#This Row],[UNIT NO.]],[1]!Table357[[#Headers],[#Data],[Unit '#]:[Application/Sold/ Unsold]],7,0)</f>
        <v>#REF!</v>
      </c>
    </row>
    <row r="402" spans="2:16" x14ac:dyDescent="0.25">
      <c r="B402" s="5">
        <f t="shared" si="6"/>
        <v>399</v>
      </c>
      <c r="C402" s="29"/>
      <c r="D402" s="40" t="s">
        <v>2644</v>
      </c>
      <c r="E402" s="40" t="s">
        <v>2763</v>
      </c>
      <c r="F402" s="59">
        <v>830</v>
      </c>
      <c r="G402" s="6" t="s">
        <v>104</v>
      </c>
      <c r="H402" s="6"/>
      <c r="I402" s="6"/>
      <c r="J402" s="6"/>
      <c r="K402" s="7"/>
      <c r="L402" s="49"/>
      <c r="M402" s="49"/>
      <c r="N402" s="6"/>
      <c r="O402" s="6"/>
      <c r="P402" s="1" t="e">
        <f>VLOOKUP(Table3[[#This Row],[UNIT NO.]],[1]!Table357[[#Headers],[#Data],[Unit '#]:[Application/Sold/ Unsold]],7,0)</f>
        <v>#REF!</v>
      </c>
    </row>
    <row r="403" spans="2:16" x14ac:dyDescent="0.25">
      <c r="B403" s="5">
        <f t="shared" si="6"/>
        <v>400</v>
      </c>
      <c r="C403" s="33"/>
      <c r="D403" s="40" t="s">
        <v>2644</v>
      </c>
      <c r="E403" s="40" t="s">
        <v>2764</v>
      </c>
      <c r="F403" s="59">
        <v>830</v>
      </c>
      <c r="G403" s="6" t="s">
        <v>104</v>
      </c>
      <c r="H403" s="6"/>
      <c r="I403" s="6"/>
      <c r="J403" s="6"/>
      <c r="K403" s="58"/>
      <c r="L403" s="51"/>
      <c r="M403" s="49"/>
      <c r="N403" s="6"/>
      <c r="O403" s="6"/>
      <c r="P403" s="1" t="e">
        <f>VLOOKUP(Table3[[#This Row],[UNIT NO.]],[1]!Table357[[#Headers],[#Data],[Unit '#]:[Application/Sold/ Unsold]],7,0)</f>
        <v>#REF!</v>
      </c>
    </row>
    <row r="404" spans="2:16" x14ac:dyDescent="0.25">
      <c r="B404" s="5">
        <f t="shared" si="6"/>
        <v>401</v>
      </c>
      <c r="C404" s="29"/>
      <c r="D404" s="40" t="s">
        <v>2644</v>
      </c>
      <c r="E404" s="40" t="s">
        <v>2765</v>
      </c>
      <c r="F404" s="59">
        <v>830</v>
      </c>
      <c r="G404" s="6" t="s">
        <v>104</v>
      </c>
      <c r="H404" s="6"/>
      <c r="I404" s="6"/>
      <c r="J404" s="6"/>
      <c r="K404" s="7"/>
      <c r="L404" s="49"/>
      <c r="M404" s="49"/>
      <c r="N404" s="6"/>
      <c r="O404" s="6"/>
      <c r="P404" s="1" t="e">
        <f>VLOOKUP(Table3[[#This Row],[UNIT NO.]],[1]!Table357[[#Headers],[#Data],[Unit '#]:[Application/Sold/ Unsold]],7,0)</f>
        <v>#REF!</v>
      </c>
    </row>
    <row r="405" spans="2:16" x14ac:dyDescent="0.25">
      <c r="B405" s="5">
        <f t="shared" si="6"/>
        <v>402</v>
      </c>
      <c r="C405" s="29"/>
      <c r="D405" s="40" t="s">
        <v>2644</v>
      </c>
      <c r="E405" s="40" t="s">
        <v>2766</v>
      </c>
      <c r="F405" s="59">
        <v>830</v>
      </c>
      <c r="G405" s="6" t="s">
        <v>104</v>
      </c>
      <c r="H405" s="6"/>
      <c r="I405" s="6"/>
      <c r="J405" s="6"/>
      <c r="K405" s="7"/>
      <c r="L405" s="49"/>
      <c r="M405" s="49"/>
      <c r="N405" s="6"/>
      <c r="O405" s="6"/>
      <c r="P405" s="1" t="e">
        <f>VLOOKUP(Table3[[#This Row],[UNIT NO.]],[1]!Table357[[#Headers],[#Data],[Unit '#]:[Application/Sold/ Unsold]],7,0)</f>
        <v>#REF!</v>
      </c>
    </row>
    <row r="406" spans="2:16" x14ac:dyDescent="0.25">
      <c r="B406" s="5">
        <f t="shared" si="6"/>
        <v>403</v>
      </c>
      <c r="C406" s="29"/>
      <c r="D406" s="40" t="s">
        <v>2644</v>
      </c>
      <c r="E406" s="40" t="s">
        <v>2767</v>
      </c>
      <c r="F406" s="59">
        <v>830</v>
      </c>
      <c r="G406" s="6" t="s">
        <v>104</v>
      </c>
      <c r="H406" s="6"/>
      <c r="I406" s="6"/>
      <c r="J406" s="6"/>
      <c r="K406" s="7"/>
      <c r="L406" s="49"/>
      <c r="M406" s="49"/>
      <c r="N406" s="6"/>
      <c r="O406" s="6"/>
      <c r="P406" s="1" t="e">
        <f>VLOOKUP(Table3[[#This Row],[UNIT NO.]],[1]!Table357[[#Headers],[#Data],[Unit '#]:[Application/Sold/ Unsold]],7,0)</f>
        <v>#REF!</v>
      </c>
    </row>
    <row r="407" spans="2:16" x14ac:dyDescent="0.25">
      <c r="B407" s="5">
        <f t="shared" si="6"/>
        <v>404</v>
      </c>
      <c r="C407" s="29"/>
      <c r="D407" s="40" t="s">
        <v>2644</v>
      </c>
      <c r="E407" s="40" t="s">
        <v>2768</v>
      </c>
      <c r="F407" s="59">
        <v>830</v>
      </c>
      <c r="G407" s="6" t="s">
        <v>104</v>
      </c>
      <c r="H407" s="6"/>
      <c r="I407" s="6"/>
      <c r="J407" s="6"/>
      <c r="K407" s="7"/>
      <c r="L407" s="49"/>
      <c r="M407" s="49"/>
      <c r="N407" s="6"/>
      <c r="O407" s="6"/>
      <c r="P407" s="1" t="e">
        <f>VLOOKUP(Table3[[#This Row],[UNIT NO.]],[1]!Table357[[#Headers],[#Data],[Unit '#]:[Application/Sold/ Unsold]],7,0)</f>
        <v>#REF!</v>
      </c>
    </row>
    <row r="408" spans="2:16" x14ac:dyDescent="0.25">
      <c r="B408" s="5">
        <f t="shared" si="6"/>
        <v>405</v>
      </c>
      <c r="C408" s="29"/>
      <c r="D408" s="40" t="s">
        <v>2644</v>
      </c>
      <c r="E408" s="40" t="s">
        <v>2769</v>
      </c>
      <c r="F408" s="59">
        <v>830</v>
      </c>
      <c r="G408" s="6" t="s">
        <v>104</v>
      </c>
      <c r="H408" s="6"/>
      <c r="I408" s="6"/>
      <c r="J408" s="6"/>
      <c r="K408" s="7"/>
      <c r="L408" s="49"/>
      <c r="M408" s="49"/>
      <c r="N408" s="6"/>
      <c r="O408" s="6"/>
      <c r="P408" s="1" t="e">
        <f>VLOOKUP(Table3[[#This Row],[UNIT NO.]],[1]!Table357[[#Headers],[#Data],[Unit '#]:[Application/Sold/ Unsold]],7,0)</f>
        <v>#REF!</v>
      </c>
    </row>
    <row r="409" spans="2:16" x14ac:dyDescent="0.25">
      <c r="B409" s="5">
        <f t="shared" si="6"/>
        <v>406</v>
      </c>
      <c r="C409" s="33"/>
      <c r="D409" s="40" t="s">
        <v>2644</v>
      </c>
      <c r="E409" s="40" t="s">
        <v>2770</v>
      </c>
      <c r="F409" s="59">
        <v>830</v>
      </c>
      <c r="G409" s="6" t="s">
        <v>104</v>
      </c>
      <c r="H409" s="6"/>
      <c r="I409" s="6"/>
      <c r="J409" s="6"/>
      <c r="K409" s="58"/>
      <c r="L409" s="51"/>
      <c r="M409" s="49"/>
      <c r="N409" s="6"/>
      <c r="O409" s="6"/>
      <c r="P409" s="1" t="e">
        <f>VLOOKUP(Table3[[#This Row],[UNIT NO.]],[1]!Table357[[#Headers],[#Data],[Unit '#]:[Application/Sold/ Unsold]],7,0)</f>
        <v>#REF!</v>
      </c>
    </row>
    <row r="410" spans="2:16" x14ac:dyDescent="0.25">
      <c r="B410" s="5">
        <f t="shared" si="6"/>
        <v>407</v>
      </c>
      <c r="C410" s="29"/>
      <c r="D410" s="40" t="s">
        <v>2644</v>
      </c>
      <c r="E410" s="40" t="s">
        <v>2771</v>
      </c>
      <c r="F410" s="59">
        <v>830</v>
      </c>
      <c r="G410" s="6" t="s">
        <v>104</v>
      </c>
      <c r="H410" s="6"/>
      <c r="I410" s="6"/>
      <c r="J410" s="6"/>
      <c r="K410" s="7"/>
      <c r="L410" s="49"/>
      <c r="M410" s="49"/>
      <c r="N410" s="6"/>
      <c r="O410" s="6"/>
      <c r="P410" s="1" t="e">
        <f>VLOOKUP(Table3[[#This Row],[UNIT NO.]],[1]!Table357[[#Headers],[#Data],[Unit '#]:[Application/Sold/ Unsold]],7,0)</f>
        <v>#REF!</v>
      </c>
    </row>
    <row r="411" spans="2:16" x14ac:dyDescent="0.25">
      <c r="B411" s="5">
        <f t="shared" si="6"/>
        <v>408</v>
      </c>
      <c r="C411" s="29"/>
      <c r="D411" s="40" t="s">
        <v>2644</v>
      </c>
      <c r="E411" s="40" t="s">
        <v>2772</v>
      </c>
      <c r="F411" s="59">
        <v>830</v>
      </c>
      <c r="G411" s="6" t="s">
        <v>104</v>
      </c>
      <c r="H411" s="6"/>
      <c r="I411" s="6"/>
      <c r="J411" s="6"/>
      <c r="K411" s="7"/>
      <c r="L411" s="49"/>
      <c r="M411" s="49"/>
      <c r="N411" s="6"/>
      <c r="O411" s="6"/>
      <c r="P411" s="1" t="e">
        <f>VLOOKUP(Table3[[#This Row],[UNIT NO.]],[1]!Table357[[#Headers],[#Data],[Unit '#]:[Application/Sold/ Unsold]],7,0)</f>
        <v>#REF!</v>
      </c>
    </row>
    <row r="412" spans="2:16" x14ac:dyDescent="0.25">
      <c r="B412" s="5">
        <f t="shared" si="6"/>
        <v>409</v>
      </c>
      <c r="C412" s="29"/>
      <c r="D412" s="40" t="s">
        <v>2644</v>
      </c>
      <c r="E412" s="40" t="s">
        <v>2773</v>
      </c>
      <c r="F412" s="59">
        <v>830</v>
      </c>
      <c r="G412" s="6" t="s">
        <v>104</v>
      </c>
      <c r="H412" s="6"/>
      <c r="I412" s="6"/>
      <c r="J412" s="6"/>
      <c r="K412" s="7"/>
      <c r="L412" s="49"/>
      <c r="M412" s="49"/>
      <c r="N412" s="6"/>
      <c r="O412" s="6"/>
      <c r="P412" s="1" t="e">
        <f>VLOOKUP(Table3[[#This Row],[UNIT NO.]],[1]!Table357[[#Headers],[#Data],[Unit '#]:[Application/Sold/ Unsold]],7,0)</f>
        <v>#REF!</v>
      </c>
    </row>
    <row r="413" spans="2:16" x14ac:dyDescent="0.25">
      <c r="B413" s="5">
        <f t="shared" si="6"/>
        <v>410</v>
      </c>
      <c r="C413" s="29"/>
      <c r="D413" s="40" t="s">
        <v>2644</v>
      </c>
      <c r="E413" s="40" t="s">
        <v>2774</v>
      </c>
      <c r="F413" s="59">
        <v>830</v>
      </c>
      <c r="G413" s="6" t="s">
        <v>104</v>
      </c>
      <c r="H413" s="6"/>
      <c r="I413" s="6"/>
      <c r="J413" s="6"/>
      <c r="K413" s="7"/>
      <c r="L413" s="49"/>
      <c r="M413" s="49"/>
      <c r="N413" s="6"/>
      <c r="O413" s="6"/>
      <c r="P413" s="1" t="e">
        <f>VLOOKUP(Table3[[#This Row],[UNIT NO.]],[1]!Table357[[#Headers],[#Data],[Unit '#]:[Application/Sold/ Unsold]],7,0)</f>
        <v>#REF!</v>
      </c>
    </row>
    <row r="414" spans="2:16" x14ac:dyDescent="0.25">
      <c r="B414" s="5">
        <f t="shared" si="6"/>
        <v>411</v>
      </c>
      <c r="C414" s="29"/>
      <c r="D414" s="40" t="s">
        <v>2644</v>
      </c>
      <c r="E414" s="40" t="s">
        <v>2775</v>
      </c>
      <c r="F414" s="59">
        <v>830</v>
      </c>
      <c r="G414" s="6" t="s">
        <v>104</v>
      </c>
      <c r="H414" s="6"/>
      <c r="I414" s="6"/>
      <c r="J414" s="6"/>
      <c r="K414" s="7"/>
      <c r="L414" s="49"/>
      <c r="M414" s="49"/>
      <c r="N414" s="6"/>
      <c r="O414" s="6"/>
      <c r="P414" s="1" t="e">
        <f>VLOOKUP(Table3[[#This Row],[UNIT NO.]],[1]!Table357[[#Headers],[#Data],[Unit '#]:[Application/Sold/ Unsold]],7,0)</f>
        <v>#REF!</v>
      </c>
    </row>
    <row r="415" spans="2:16" x14ac:dyDescent="0.25">
      <c r="B415" s="5">
        <f t="shared" si="6"/>
        <v>412</v>
      </c>
      <c r="C415" s="6"/>
      <c r="D415" s="40" t="s">
        <v>2644</v>
      </c>
      <c r="E415" s="40" t="s">
        <v>2776</v>
      </c>
      <c r="F415" s="59">
        <v>830</v>
      </c>
      <c r="G415" s="6" t="s">
        <v>104</v>
      </c>
      <c r="H415" s="6"/>
      <c r="I415" s="6"/>
      <c r="J415" s="6"/>
      <c r="K415" s="7"/>
      <c r="L415" s="49"/>
      <c r="M415" s="52"/>
      <c r="N415" s="52"/>
      <c r="O415" s="6"/>
      <c r="P415" s="1" t="e">
        <f>VLOOKUP(Table3[[#This Row],[UNIT NO.]],[1]!Table357[[#Headers],[#Data],[Unit '#]:[Application/Sold/ Unsold]],7,0)</f>
        <v>#REF!</v>
      </c>
    </row>
    <row r="416" spans="2:16" x14ac:dyDescent="0.25">
      <c r="B416" s="5">
        <f t="shared" si="6"/>
        <v>413</v>
      </c>
      <c r="C416" s="6"/>
      <c r="D416" s="40" t="s">
        <v>2644</v>
      </c>
      <c r="E416" s="40" t="s">
        <v>2777</v>
      </c>
      <c r="F416" s="59">
        <v>830</v>
      </c>
      <c r="G416" s="6" t="s">
        <v>104</v>
      </c>
      <c r="H416" s="6"/>
      <c r="I416" s="6"/>
      <c r="J416" s="6"/>
      <c r="K416" s="7"/>
      <c r="L416" s="49"/>
      <c r="M416" s="52"/>
      <c r="N416" s="52"/>
      <c r="O416" s="6"/>
      <c r="P416" s="1" t="e">
        <f>VLOOKUP(Table3[[#This Row],[UNIT NO.]],[1]!Table357[[#Headers],[#Data],[Unit '#]:[Application/Sold/ Unsold]],7,0)</f>
        <v>#REF!</v>
      </c>
    </row>
    <row r="417" spans="2:16" x14ac:dyDescent="0.25">
      <c r="B417" s="5">
        <f t="shared" si="6"/>
        <v>414</v>
      </c>
      <c r="C417" s="6"/>
      <c r="D417" s="40" t="s">
        <v>2644</v>
      </c>
      <c r="E417" s="40" t="s">
        <v>2778</v>
      </c>
      <c r="F417" s="59">
        <v>830</v>
      </c>
      <c r="G417" s="6" t="s">
        <v>104</v>
      </c>
      <c r="H417" s="6"/>
      <c r="I417" s="6"/>
      <c r="J417" s="6"/>
      <c r="K417" s="7"/>
      <c r="L417" s="49"/>
      <c r="M417" s="52"/>
      <c r="N417" s="52"/>
      <c r="O417" s="6"/>
      <c r="P417" s="1" t="e">
        <f>VLOOKUP(Table3[[#This Row],[UNIT NO.]],[1]!Table357[[#Headers],[#Data],[Unit '#]:[Application/Sold/ Unsold]],7,0)</f>
        <v>#REF!</v>
      </c>
    </row>
    <row r="418" spans="2:16" x14ac:dyDescent="0.25">
      <c r="B418" s="5">
        <f t="shared" si="6"/>
        <v>415</v>
      </c>
      <c r="C418" s="6"/>
      <c r="D418" s="40" t="s">
        <v>2644</v>
      </c>
      <c r="E418" s="40" t="s">
        <v>2779</v>
      </c>
      <c r="F418" s="59">
        <v>830</v>
      </c>
      <c r="G418" s="6" t="s">
        <v>104</v>
      </c>
      <c r="H418" s="6"/>
      <c r="I418" s="6"/>
      <c r="J418" s="6"/>
      <c r="K418" s="7"/>
      <c r="L418" s="49"/>
      <c r="M418" s="52"/>
      <c r="N418" s="52"/>
      <c r="O418" s="6"/>
      <c r="P418" s="1" t="e">
        <f>VLOOKUP(Table3[[#This Row],[UNIT NO.]],[1]!Table357[[#Headers],[#Data],[Unit '#]:[Application/Sold/ Unsold]],7,0)</f>
        <v>#REF!</v>
      </c>
    </row>
    <row r="419" spans="2:16" x14ac:dyDescent="0.25">
      <c r="B419" s="5">
        <f t="shared" si="6"/>
        <v>416</v>
      </c>
      <c r="C419" s="6"/>
      <c r="D419" s="40" t="s">
        <v>2644</v>
      </c>
      <c r="E419" s="40" t="s">
        <v>2780</v>
      </c>
      <c r="F419" s="59">
        <v>830</v>
      </c>
      <c r="G419" s="6" t="s">
        <v>104</v>
      </c>
      <c r="H419" s="6"/>
      <c r="I419" s="6"/>
      <c r="J419" s="6"/>
      <c r="K419" s="7"/>
      <c r="L419" s="49"/>
      <c r="M419" s="52"/>
      <c r="N419" s="52"/>
      <c r="O419" s="6"/>
      <c r="P419" s="1" t="e">
        <f>VLOOKUP(Table3[[#This Row],[UNIT NO.]],[1]!Table357[[#Headers],[#Data],[Unit '#]:[Application/Sold/ Unsold]],7,0)</f>
        <v>#REF!</v>
      </c>
    </row>
    <row r="420" spans="2:16" x14ac:dyDescent="0.25">
      <c r="B420" s="5">
        <f t="shared" si="6"/>
        <v>417</v>
      </c>
      <c r="C420" s="6"/>
      <c r="D420" s="40" t="s">
        <v>2644</v>
      </c>
      <c r="E420" s="40" t="s">
        <v>2781</v>
      </c>
      <c r="F420" s="59">
        <v>830</v>
      </c>
      <c r="G420" s="6" t="s">
        <v>104</v>
      </c>
      <c r="H420" s="6"/>
      <c r="I420" s="6"/>
      <c r="J420" s="6"/>
      <c r="K420" s="7"/>
      <c r="L420" s="49"/>
      <c r="M420" s="52"/>
      <c r="N420" s="52"/>
      <c r="O420" s="6"/>
      <c r="P420" s="1" t="e">
        <f>VLOOKUP(Table3[[#This Row],[UNIT NO.]],[1]!Table357[[#Headers],[#Data],[Unit '#]:[Application/Sold/ Unsold]],7,0)</f>
        <v>#REF!</v>
      </c>
    </row>
    <row r="421" spans="2:16" x14ac:dyDescent="0.25">
      <c r="B421" s="5">
        <f t="shared" si="6"/>
        <v>418</v>
      </c>
      <c r="C421" s="6"/>
      <c r="D421" s="40" t="s">
        <v>2644</v>
      </c>
      <c r="E421" s="40" t="s">
        <v>2782</v>
      </c>
      <c r="F421" s="59">
        <v>830</v>
      </c>
      <c r="G421" s="6" t="s">
        <v>104</v>
      </c>
      <c r="H421" s="6"/>
      <c r="I421" s="6"/>
      <c r="J421" s="6"/>
      <c r="K421" s="7"/>
      <c r="L421" s="49"/>
      <c r="M421" s="52"/>
      <c r="N421" s="52"/>
      <c r="O421" s="6"/>
      <c r="P421" s="1" t="e">
        <f>VLOOKUP(Table3[[#This Row],[UNIT NO.]],[1]!Table357[[#Headers],[#Data],[Unit '#]:[Application/Sold/ Unsold]],7,0)</f>
        <v>#REF!</v>
      </c>
    </row>
    <row r="422" spans="2:16" x14ac:dyDescent="0.25">
      <c r="B422" s="5">
        <f t="shared" si="6"/>
        <v>419</v>
      </c>
      <c r="C422" s="6"/>
      <c r="D422" s="40" t="s">
        <v>2644</v>
      </c>
      <c r="E422" s="40" t="s">
        <v>2783</v>
      </c>
      <c r="F422" s="59">
        <v>830</v>
      </c>
      <c r="G422" s="6" t="s">
        <v>104</v>
      </c>
      <c r="H422" s="6"/>
      <c r="I422" s="6"/>
      <c r="J422" s="6"/>
      <c r="K422" s="7"/>
      <c r="L422" s="49"/>
      <c r="M422" s="52"/>
      <c r="N422" s="52"/>
      <c r="O422" s="6"/>
      <c r="P422" s="1" t="e">
        <f>VLOOKUP(Table3[[#This Row],[UNIT NO.]],[1]!Table357[[#Headers],[#Data],[Unit '#]:[Application/Sold/ Unsold]],7,0)</f>
        <v>#REF!</v>
      </c>
    </row>
    <row r="423" spans="2:16" x14ac:dyDescent="0.25">
      <c r="B423" s="5">
        <f t="shared" si="6"/>
        <v>420</v>
      </c>
      <c r="C423" s="6"/>
      <c r="D423" s="40" t="s">
        <v>2644</v>
      </c>
      <c r="E423" s="40" t="s">
        <v>2784</v>
      </c>
      <c r="F423" s="59">
        <v>830</v>
      </c>
      <c r="G423" s="6" t="s">
        <v>104</v>
      </c>
      <c r="H423" s="6"/>
      <c r="I423" s="6"/>
      <c r="J423" s="6"/>
      <c r="K423" s="7"/>
      <c r="L423" s="49"/>
      <c r="M423" s="52"/>
      <c r="N423" s="52"/>
      <c r="O423" s="6"/>
      <c r="P423" s="1" t="e">
        <f>VLOOKUP(Table3[[#This Row],[UNIT NO.]],[1]!Table357[[#Headers],[#Data],[Unit '#]:[Application/Sold/ Unsold]],7,0)</f>
        <v>#REF!</v>
      </c>
    </row>
    <row r="424" spans="2:16" x14ac:dyDescent="0.25">
      <c r="B424" s="5">
        <f t="shared" si="6"/>
        <v>421</v>
      </c>
      <c r="C424" s="6"/>
      <c r="D424" s="40" t="s">
        <v>2644</v>
      </c>
      <c r="E424" s="40" t="s">
        <v>2785</v>
      </c>
      <c r="F424" s="59">
        <v>830</v>
      </c>
      <c r="G424" s="6" t="s">
        <v>104</v>
      </c>
      <c r="H424" s="6"/>
      <c r="I424" s="6"/>
      <c r="J424" s="6"/>
      <c r="K424" s="7"/>
      <c r="L424" s="49"/>
      <c r="M424" s="52"/>
      <c r="N424" s="52"/>
      <c r="O424" s="6"/>
      <c r="P424" s="1" t="e">
        <f>VLOOKUP(Table3[[#This Row],[UNIT NO.]],[1]!Table357[[#Headers],[#Data],[Unit '#]:[Application/Sold/ Unsold]],7,0)</f>
        <v>#REF!</v>
      </c>
    </row>
    <row r="425" spans="2:16" x14ac:dyDescent="0.25">
      <c r="B425" s="5">
        <f t="shared" si="6"/>
        <v>422</v>
      </c>
      <c r="C425" s="6"/>
      <c r="D425" s="40" t="s">
        <v>2644</v>
      </c>
      <c r="E425" s="40" t="s">
        <v>2786</v>
      </c>
      <c r="F425" s="59">
        <v>830</v>
      </c>
      <c r="G425" s="6" t="s">
        <v>104</v>
      </c>
      <c r="H425" s="6"/>
      <c r="I425" s="6"/>
      <c r="J425" s="6"/>
      <c r="K425" s="7"/>
      <c r="L425" s="49"/>
      <c r="M425" s="52"/>
      <c r="N425" s="52"/>
      <c r="O425" s="6"/>
      <c r="P425" s="1" t="e">
        <f>VLOOKUP(Table3[[#This Row],[UNIT NO.]],[1]!Table357[[#Headers],[#Data],[Unit '#]:[Application/Sold/ Unsold]],7,0)</f>
        <v>#REF!</v>
      </c>
    </row>
    <row r="426" spans="2:16" x14ac:dyDescent="0.25">
      <c r="B426" s="5">
        <f t="shared" si="6"/>
        <v>423</v>
      </c>
      <c r="C426" s="6"/>
      <c r="D426" s="40" t="s">
        <v>2644</v>
      </c>
      <c r="E426" s="40" t="s">
        <v>2787</v>
      </c>
      <c r="F426" s="59">
        <v>830</v>
      </c>
      <c r="G426" s="6" t="s">
        <v>104</v>
      </c>
      <c r="H426" s="6"/>
      <c r="I426" s="6"/>
      <c r="J426" s="6"/>
      <c r="K426" s="7"/>
      <c r="L426" s="49"/>
      <c r="M426" s="52"/>
      <c r="N426" s="52"/>
      <c r="O426" s="6"/>
      <c r="P426" s="1" t="e">
        <f>VLOOKUP(Table3[[#This Row],[UNIT NO.]],[1]!Table357[[#Headers],[#Data],[Unit '#]:[Application/Sold/ Unsold]],7,0)</f>
        <v>#REF!</v>
      </c>
    </row>
    <row r="427" spans="2:16" x14ac:dyDescent="0.25">
      <c r="B427" s="5">
        <f t="shared" si="6"/>
        <v>424</v>
      </c>
      <c r="C427" s="6"/>
      <c r="D427" s="40" t="s">
        <v>2644</v>
      </c>
      <c r="E427" s="40" t="s">
        <v>2788</v>
      </c>
      <c r="F427" s="59">
        <v>830</v>
      </c>
      <c r="G427" s="6" t="s">
        <v>104</v>
      </c>
      <c r="H427" s="6"/>
      <c r="I427" s="6"/>
      <c r="J427" s="6"/>
      <c r="K427" s="7"/>
      <c r="L427" s="49"/>
      <c r="M427" s="52"/>
      <c r="N427" s="52"/>
      <c r="O427" s="6"/>
      <c r="P427" s="1" t="e">
        <f>VLOOKUP(Table3[[#This Row],[UNIT NO.]],[1]!Table357[[#Headers],[#Data],[Unit '#]:[Application/Sold/ Unsold]],7,0)</f>
        <v>#REF!</v>
      </c>
    </row>
    <row r="428" spans="2:16" x14ac:dyDescent="0.25">
      <c r="B428" s="5">
        <f t="shared" si="6"/>
        <v>425</v>
      </c>
      <c r="C428" s="6"/>
      <c r="D428" s="40" t="s">
        <v>2644</v>
      </c>
      <c r="E428" s="40" t="s">
        <v>2789</v>
      </c>
      <c r="F428" s="59">
        <v>830</v>
      </c>
      <c r="G428" s="6" t="s">
        <v>104</v>
      </c>
      <c r="H428" s="6"/>
      <c r="I428" s="6"/>
      <c r="J428" s="6"/>
      <c r="K428" s="7"/>
      <c r="L428" s="49"/>
      <c r="M428" s="52"/>
      <c r="N428" s="52"/>
      <c r="O428" s="6"/>
      <c r="P428" s="1" t="e">
        <f>VLOOKUP(Table3[[#This Row],[UNIT NO.]],[1]!Table357[[#Headers],[#Data],[Unit '#]:[Application/Sold/ Unsold]],7,0)</f>
        <v>#REF!</v>
      </c>
    </row>
    <row r="429" spans="2:16" x14ac:dyDescent="0.25">
      <c r="B429" s="5">
        <f t="shared" si="6"/>
        <v>426</v>
      </c>
      <c r="C429" s="6"/>
      <c r="D429" s="40" t="s">
        <v>2644</v>
      </c>
      <c r="E429" s="40" t="s">
        <v>2790</v>
      </c>
      <c r="F429" s="59">
        <v>830</v>
      </c>
      <c r="G429" s="6" t="s">
        <v>104</v>
      </c>
      <c r="H429" s="6"/>
      <c r="I429" s="6"/>
      <c r="J429" s="6"/>
      <c r="K429" s="7"/>
      <c r="L429" s="49"/>
      <c r="M429" s="52"/>
      <c r="N429" s="52"/>
      <c r="O429" s="6"/>
      <c r="P429" s="1" t="e">
        <f>VLOOKUP(Table3[[#This Row],[UNIT NO.]],[1]!Table357[[#Headers],[#Data],[Unit '#]:[Application/Sold/ Unsold]],7,0)</f>
        <v>#REF!</v>
      </c>
    </row>
    <row r="430" spans="2:16" x14ac:dyDescent="0.25">
      <c r="B430" s="5">
        <f t="shared" si="6"/>
        <v>427</v>
      </c>
      <c r="C430" s="6"/>
      <c r="D430" s="40" t="s">
        <v>2644</v>
      </c>
      <c r="E430" s="40" t="s">
        <v>2791</v>
      </c>
      <c r="F430" s="59">
        <v>830</v>
      </c>
      <c r="G430" s="6" t="s">
        <v>104</v>
      </c>
      <c r="H430" s="6"/>
      <c r="I430" s="6"/>
      <c r="J430" s="6"/>
      <c r="K430" s="7"/>
      <c r="L430" s="49"/>
      <c r="M430" s="52"/>
      <c r="N430" s="52"/>
      <c r="O430" s="6"/>
      <c r="P430" s="1" t="e">
        <f>VLOOKUP(Table3[[#This Row],[UNIT NO.]],[1]!Table357[[#Headers],[#Data],[Unit '#]:[Application/Sold/ Unsold]],7,0)</f>
        <v>#REF!</v>
      </c>
    </row>
    <row r="431" spans="2:16" x14ac:dyDescent="0.25">
      <c r="B431" s="5">
        <f t="shared" si="6"/>
        <v>428</v>
      </c>
      <c r="C431" s="6"/>
      <c r="D431" s="40" t="s">
        <v>2644</v>
      </c>
      <c r="E431" s="40" t="s">
        <v>2792</v>
      </c>
      <c r="F431" s="59">
        <v>830</v>
      </c>
      <c r="G431" s="6" t="s">
        <v>104</v>
      </c>
      <c r="H431" s="6"/>
      <c r="I431" s="6"/>
      <c r="J431" s="6"/>
      <c r="K431" s="7"/>
      <c r="L431" s="49"/>
      <c r="M431" s="52"/>
      <c r="N431" s="52"/>
      <c r="O431" s="6"/>
      <c r="P431" s="1" t="e">
        <f>VLOOKUP(Table3[[#This Row],[UNIT NO.]],[1]!Table357[[#Headers],[#Data],[Unit '#]:[Application/Sold/ Unsold]],7,0)</f>
        <v>#REF!</v>
      </c>
    </row>
    <row r="432" spans="2:16" x14ac:dyDescent="0.25">
      <c r="B432" s="5">
        <f t="shared" si="6"/>
        <v>429</v>
      </c>
      <c r="C432" s="6"/>
      <c r="D432" s="40" t="s">
        <v>2644</v>
      </c>
      <c r="E432" s="40" t="s">
        <v>2793</v>
      </c>
      <c r="F432" s="59">
        <v>830</v>
      </c>
      <c r="G432" s="6" t="s">
        <v>104</v>
      </c>
      <c r="H432" s="6"/>
      <c r="I432" s="6"/>
      <c r="J432" s="6"/>
      <c r="K432" s="7"/>
      <c r="L432" s="49"/>
      <c r="M432" s="52"/>
      <c r="N432" s="52"/>
      <c r="O432" s="6"/>
      <c r="P432" s="1" t="e">
        <f>VLOOKUP(Table3[[#This Row],[UNIT NO.]],[1]!Table357[[#Headers],[#Data],[Unit '#]:[Application/Sold/ Unsold]],7,0)</f>
        <v>#REF!</v>
      </c>
    </row>
    <row r="433" spans="2:16" x14ac:dyDescent="0.25">
      <c r="B433" s="5">
        <f t="shared" si="6"/>
        <v>430</v>
      </c>
      <c r="C433" s="10"/>
      <c r="D433" s="10" t="s">
        <v>2644</v>
      </c>
      <c r="E433" s="60" t="s">
        <v>2794</v>
      </c>
      <c r="F433" s="59">
        <v>830</v>
      </c>
      <c r="G433" s="6" t="s">
        <v>104</v>
      </c>
      <c r="H433" s="10"/>
      <c r="I433" s="10"/>
      <c r="J433" s="10"/>
      <c r="K433" s="61"/>
      <c r="L433" s="62"/>
      <c r="M433" s="63"/>
      <c r="N433" s="63"/>
      <c r="O433" s="10"/>
      <c r="P433" s="1" t="e">
        <f>VLOOKUP(Table3[[#This Row],[UNIT NO.]],[1]!Table357[[#Headers],[#Data],[Unit '#]:[Application/Sold/ Unsold]],7,0)</f>
        <v>#REF!</v>
      </c>
    </row>
    <row r="434" spans="2:16" x14ac:dyDescent="0.25">
      <c r="B434" s="84"/>
      <c r="C434" s="136"/>
      <c r="D434" s="137"/>
      <c r="E434" s="138"/>
      <c r="F434" s="139"/>
      <c r="G434" s="10"/>
      <c r="H434" s="10"/>
      <c r="I434" s="10"/>
      <c r="J434" s="10"/>
      <c r="K434" s="61"/>
      <c r="L434" s="141">
        <f>SUM(Table3[AGREEMENT VALUE OF UNIT])</f>
        <v>130959332</v>
      </c>
      <c r="M434" s="141">
        <f>SUM(Table3[AMOUNT RECEIVED TILL DATE])</f>
        <v>20640653</v>
      </c>
      <c r="N434" s="142"/>
      <c r="O434" s="10"/>
      <c r="P434" s="143"/>
    </row>
    <row r="435" spans="2:16" x14ac:dyDescent="0.25">
      <c r="F435">
        <f>SUM(F53:F167)</f>
        <v>92000</v>
      </c>
    </row>
  </sheetData>
  <conditionalFormatting sqref="E4:E52">
    <cfRule type="duplicateValues" dxfId="8" priority="5"/>
    <cfRule type="duplicateValues" dxfId="7" priority="6"/>
    <cfRule type="duplicateValues" dxfId="6" priority="7"/>
    <cfRule type="duplicateValues" dxfId="5" priority="8"/>
  </conditionalFormatting>
  <conditionalFormatting sqref="E4:E52">
    <cfRule type="duplicateValues" dxfId="4" priority="1"/>
    <cfRule type="duplicateValues" dxfId="3" priority="2"/>
    <cfRule type="duplicateValues" dxfId="2" priority="3"/>
    <cfRule type="duplicateValues" dxfId="1" priority="4"/>
  </conditionalFormatting>
  <conditionalFormatting sqref="E3:E433">
    <cfRule type="duplicateValues" dxfId="0" priority="9"/>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9"/>
  <sheetViews>
    <sheetView topLeftCell="A45" zoomScale="85" zoomScaleNormal="85" workbookViewId="0">
      <selection activeCell="E45" sqref="E45:E159"/>
    </sheetView>
  </sheetViews>
  <sheetFormatPr defaultRowHeight="12.75" x14ac:dyDescent="0.2"/>
  <cols>
    <col min="1" max="1" width="6.140625" style="1" bestFit="1" customWidth="1"/>
    <col min="2" max="2" width="19.28515625" style="1" bestFit="1" customWidth="1"/>
    <col min="3" max="3" width="12.140625" style="1" bestFit="1" customWidth="1"/>
    <col min="4" max="4" width="16.85546875" style="1" bestFit="1" customWidth="1"/>
    <col min="5" max="5" width="14.5703125" style="1" bestFit="1" customWidth="1"/>
    <col min="6" max="6" width="10.42578125" style="1" bestFit="1" customWidth="1"/>
    <col min="7" max="7" width="14.140625" style="1" bestFit="1" customWidth="1"/>
    <col min="8" max="8" width="17.42578125" style="1" bestFit="1" customWidth="1"/>
    <col min="9" max="9" width="7.7109375" style="1" bestFit="1" customWidth="1"/>
    <col min="10" max="10" width="24.5703125" style="1" bestFit="1" customWidth="1"/>
    <col min="11" max="11" width="18.42578125" style="1" bestFit="1" customWidth="1"/>
    <col min="12" max="12" width="11" style="1" bestFit="1" customWidth="1"/>
    <col min="13" max="14" width="11.85546875" style="1" bestFit="1" customWidth="1"/>
    <col min="15" max="16384" width="9.140625" style="1"/>
  </cols>
  <sheetData>
    <row r="1" spans="1:15" x14ac:dyDescent="0.2">
      <c r="B1" s="80" t="s">
        <v>2810</v>
      </c>
      <c r="C1" s="81" t="s">
        <v>2811</v>
      </c>
      <c r="D1" s="82" t="s">
        <v>2812</v>
      </c>
    </row>
    <row r="2" spans="1:15" x14ac:dyDescent="0.2">
      <c r="B2" s="5" t="s">
        <v>26</v>
      </c>
      <c r="C2" s="6">
        <f>COUNTIF($F$10:$F$40,B2)</f>
        <v>0</v>
      </c>
      <c r="D2" s="83">
        <f>SUMIF($F$10:$F$40,B2,$E$10:$E$40)</f>
        <v>0</v>
      </c>
    </row>
    <row r="3" spans="1:15" x14ac:dyDescent="0.2">
      <c r="B3" s="5" t="s">
        <v>113</v>
      </c>
      <c r="C3" s="6">
        <f t="shared" ref="C3:C5" si="0">COUNTIF($F$10:$F$40,B3)</f>
        <v>0</v>
      </c>
      <c r="D3" s="83">
        <f t="shared" ref="D3:D5" si="1">SUMIF($F$10:$F$40,B3,$E$10:$E$40)</f>
        <v>0</v>
      </c>
    </row>
    <row r="4" spans="1:15" x14ac:dyDescent="0.2">
      <c r="B4" s="5" t="s">
        <v>104</v>
      </c>
      <c r="C4" s="6">
        <f t="shared" si="0"/>
        <v>31</v>
      </c>
      <c r="D4" s="83">
        <f t="shared" si="1"/>
        <v>17347</v>
      </c>
    </row>
    <row r="5" spans="1:15" x14ac:dyDescent="0.2">
      <c r="B5" s="84" t="s">
        <v>32</v>
      </c>
      <c r="C5" s="6">
        <f t="shared" si="0"/>
        <v>0</v>
      </c>
      <c r="D5" s="83">
        <f t="shared" si="1"/>
        <v>0</v>
      </c>
    </row>
    <row r="6" spans="1:15" x14ac:dyDescent="0.2">
      <c r="A6" s="85"/>
      <c r="B6" s="86" t="s">
        <v>881</v>
      </c>
      <c r="C6" s="87">
        <f>SUM(C2:C5)</f>
        <v>31</v>
      </c>
      <c r="D6" s="88">
        <f>SUM(D2:D5)</f>
        <v>17347</v>
      </c>
      <c r="E6" s="85"/>
    </row>
    <row r="7" spans="1:15" x14ac:dyDescent="0.2">
      <c r="A7" s="85"/>
      <c r="B7" s="91"/>
      <c r="C7" s="91"/>
      <c r="D7" s="91"/>
      <c r="E7" s="85"/>
    </row>
    <row r="8" spans="1:15" ht="15.75" x14ac:dyDescent="0.25">
      <c r="A8" s="192" t="s">
        <v>2858</v>
      </c>
      <c r="B8" s="192"/>
      <c r="C8" s="192"/>
      <c r="D8" s="192"/>
      <c r="E8" s="192"/>
      <c r="F8" s="192"/>
      <c r="G8" s="192"/>
      <c r="H8" s="192"/>
      <c r="I8" s="192"/>
      <c r="J8" s="192"/>
      <c r="K8" s="192"/>
      <c r="L8" s="192"/>
      <c r="M8" s="192"/>
    </row>
    <row r="9" spans="1:15" x14ac:dyDescent="0.2">
      <c r="A9" s="89" t="s">
        <v>2813</v>
      </c>
      <c r="B9" s="89" t="s">
        <v>2814</v>
      </c>
      <c r="C9" s="89" t="s">
        <v>2815</v>
      </c>
      <c r="D9" s="89" t="s">
        <v>2816</v>
      </c>
      <c r="E9" s="89" t="s">
        <v>2817</v>
      </c>
      <c r="F9" s="89" t="s">
        <v>2818</v>
      </c>
      <c r="G9" s="89" t="s">
        <v>2819</v>
      </c>
      <c r="H9" s="89" t="s">
        <v>2820</v>
      </c>
      <c r="I9" s="89" t="s">
        <v>2821</v>
      </c>
      <c r="J9" s="89" t="s">
        <v>2822</v>
      </c>
      <c r="K9" s="89" t="s">
        <v>2823</v>
      </c>
      <c r="L9" s="89" t="s">
        <v>2824</v>
      </c>
      <c r="M9" s="89" t="s">
        <v>2825</v>
      </c>
    </row>
    <row r="10" spans="1:15" x14ac:dyDescent="0.2">
      <c r="A10" s="6">
        <v>1</v>
      </c>
      <c r="B10" s="6"/>
      <c r="C10" s="38" t="s">
        <v>2826</v>
      </c>
      <c r="D10" s="6">
        <v>28.754000000000001</v>
      </c>
      <c r="E10" s="6">
        <v>476</v>
      </c>
      <c r="F10" s="6" t="s">
        <v>2827</v>
      </c>
      <c r="G10" s="6"/>
      <c r="H10" s="6"/>
      <c r="I10" s="6"/>
      <c r="J10" s="6"/>
      <c r="K10" s="6"/>
      <c r="L10" s="6"/>
      <c r="M10" s="6"/>
    </row>
    <row r="11" spans="1:15" x14ac:dyDescent="0.2">
      <c r="A11" s="6">
        <v>2</v>
      </c>
      <c r="B11" s="6"/>
      <c r="C11" s="38" t="s">
        <v>2828</v>
      </c>
      <c r="D11" s="6">
        <v>27.428000000000001</v>
      </c>
      <c r="E11" s="6">
        <v>454</v>
      </c>
      <c r="F11" s="6" t="s">
        <v>2827</v>
      </c>
      <c r="G11" s="6"/>
      <c r="H11" s="6"/>
      <c r="I11" s="6"/>
      <c r="J11" s="6"/>
      <c r="K11" s="6"/>
      <c r="L11" s="6"/>
      <c r="M11" s="6"/>
    </row>
    <row r="12" spans="1:15" x14ac:dyDescent="0.2">
      <c r="A12" s="6">
        <v>3</v>
      </c>
      <c r="B12" s="6"/>
      <c r="C12" s="38" t="s">
        <v>2829</v>
      </c>
      <c r="D12" s="6">
        <v>26.844999999999999</v>
      </c>
      <c r="E12" s="6">
        <v>444</v>
      </c>
      <c r="F12" s="6" t="s">
        <v>2827</v>
      </c>
      <c r="G12" s="6"/>
      <c r="H12" s="6"/>
      <c r="I12" s="6"/>
      <c r="J12" s="6"/>
      <c r="K12" s="6"/>
      <c r="L12" s="6"/>
      <c r="M12" s="6"/>
    </row>
    <row r="13" spans="1:15" x14ac:dyDescent="0.2">
      <c r="A13" s="6">
        <v>4</v>
      </c>
      <c r="B13" s="6"/>
      <c r="C13" s="38" t="s">
        <v>2830</v>
      </c>
      <c r="D13" s="6">
        <v>28.648</v>
      </c>
      <c r="E13" s="6">
        <v>474</v>
      </c>
      <c r="F13" s="6" t="s">
        <v>2827</v>
      </c>
      <c r="G13" s="6"/>
      <c r="H13" s="6"/>
      <c r="I13" s="6"/>
      <c r="J13" s="6"/>
      <c r="K13" s="6"/>
      <c r="L13" s="6"/>
      <c r="M13" s="6"/>
    </row>
    <row r="14" spans="1:15" x14ac:dyDescent="0.2">
      <c r="A14" s="6">
        <v>5</v>
      </c>
      <c r="B14" s="6"/>
      <c r="C14" s="38" t="s">
        <v>2831</v>
      </c>
      <c r="D14" s="90">
        <v>29.864000000000001</v>
      </c>
      <c r="E14" s="6">
        <v>494</v>
      </c>
      <c r="F14" s="6" t="s">
        <v>2827</v>
      </c>
      <c r="G14" s="6"/>
      <c r="H14" s="6"/>
      <c r="I14" s="6"/>
      <c r="J14" s="6"/>
      <c r="K14" s="6"/>
      <c r="L14" s="6"/>
      <c r="M14" s="6"/>
      <c r="O14" s="1">
        <f>SUM(E10:E40)</f>
        <v>17347</v>
      </c>
    </row>
    <row r="15" spans="1:15" x14ac:dyDescent="0.2">
      <c r="A15" s="6">
        <v>6</v>
      </c>
      <c r="B15" s="6"/>
      <c r="C15" s="38" t="s">
        <v>2832</v>
      </c>
      <c r="D15" s="90">
        <v>28.869</v>
      </c>
      <c r="E15" s="6">
        <v>478</v>
      </c>
      <c r="F15" s="6" t="s">
        <v>2827</v>
      </c>
      <c r="G15" s="6"/>
      <c r="H15" s="6"/>
      <c r="I15" s="6"/>
      <c r="J15" s="6"/>
      <c r="K15" s="6"/>
      <c r="L15" s="6"/>
      <c r="M15" s="6"/>
      <c r="O15" s="1">
        <f>SUM(E45:E159)</f>
        <v>21556</v>
      </c>
    </row>
    <row r="16" spans="1:15" x14ac:dyDescent="0.2">
      <c r="A16" s="6">
        <v>7</v>
      </c>
      <c r="B16" s="6"/>
      <c r="C16" s="38" t="s">
        <v>2833</v>
      </c>
      <c r="D16" s="90">
        <v>28.853999999999999</v>
      </c>
      <c r="E16" s="6">
        <v>478</v>
      </c>
      <c r="F16" s="6" t="s">
        <v>2827</v>
      </c>
      <c r="G16" s="6"/>
      <c r="H16" s="6"/>
      <c r="I16" s="6"/>
      <c r="J16" s="6"/>
      <c r="K16" s="6"/>
      <c r="L16" s="6"/>
      <c r="M16" s="6"/>
      <c r="O16" s="1">
        <f>SUM(O14:O15)</f>
        <v>38903</v>
      </c>
    </row>
    <row r="17" spans="1:13" x14ac:dyDescent="0.2">
      <c r="A17" s="6">
        <v>8</v>
      </c>
      <c r="B17" s="6"/>
      <c r="C17" s="38" t="s">
        <v>2834</v>
      </c>
      <c r="D17" s="90">
        <v>49.151000000000003</v>
      </c>
      <c r="E17" s="6">
        <v>814</v>
      </c>
      <c r="F17" s="6" t="s">
        <v>2827</v>
      </c>
      <c r="G17" s="6"/>
      <c r="H17" s="6"/>
      <c r="I17" s="6"/>
      <c r="J17" s="6"/>
      <c r="K17" s="6"/>
      <c r="L17" s="6"/>
      <c r="M17" s="6"/>
    </row>
    <row r="18" spans="1:13" x14ac:dyDescent="0.2">
      <c r="A18" s="6">
        <v>9</v>
      </c>
      <c r="B18" s="6"/>
      <c r="C18" s="38" t="s">
        <v>2835</v>
      </c>
      <c r="D18" s="90">
        <v>36.381</v>
      </c>
      <c r="E18" s="6">
        <v>602</v>
      </c>
      <c r="F18" s="6" t="s">
        <v>2827</v>
      </c>
      <c r="G18" s="6"/>
      <c r="H18" s="6"/>
      <c r="I18" s="6"/>
      <c r="J18" s="6"/>
      <c r="K18" s="6"/>
      <c r="L18" s="6"/>
      <c r="M18" s="6"/>
    </row>
    <row r="19" spans="1:13" x14ac:dyDescent="0.2">
      <c r="A19" s="6">
        <v>10</v>
      </c>
      <c r="B19" s="6"/>
      <c r="C19" s="38" t="s">
        <v>2836</v>
      </c>
      <c r="D19" s="90">
        <v>30.731000000000002</v>
      </c>
      <c r="E19" s="6">
        <v>509</v>
      </c>
      <c r="F19" s="6" t="s">
        <v>2827</v>
      </c>
      <c r="G19" s="6"/>
      <c r="H19" s="6"/>
      <c r="I19" s="6"/>
      <c r="J19" s="6"/>
      <c r="K19" s="6"/>
      <c r="L19" s="6"/>
      <c r="M19" s="6"/>
    </row>
    <row r="20" spans="1:13" x14ac:dyDescent="0.2">
      <c r="A20" s="6">
        <v>11</v>
      </c>
      <c r="B20" s="6"/>
      <c r="C20" s="38" t="s">
        <v>2837</v>
      </c>
      <c r="D20" s="90">
        <v>22.189</v>
      </c>
      <c r="E20" s="6">
        <v>367</v>
      </c>
      <c r="F20" s="6" t="s">
        <v>2827</v>
      </c>
      <c r="G20" s="6"/>
      <c r="H20" s="6"/>
      <c r="I20" s="6"/>
      <c r="J20" s="6"/>
      <c r="K20" s="6"/>
      <c r="L20" s="6"/>
      <c r="M20" s="6"/>
    </row>
    <row r="21" spans="1:13" x14ac:dyDescent="0.2">
      <c r="A21" s="6">
        <v>12</v>
      </c>
      <c r="B21" s="6"/>
      <c r="C21" s="38" t="s">
        <v>2838</v>
      </c>
      <c r="D21" s="90">
        <v>33.298999999999999</v>
      </c>
      <c r="E21" s="6">
        <v>551</v>
      </c>
      <c r="F21" s="6" t="s">
        <v>2827</v>
      </c>
      <c r="G21" s="6"/>
      <c r="H21" s="6"/>
      <c r="I21" s="6"/>
      <c r="J21" s="6"/>
      <c r="K21" s="6"/>
      <c r="L21" s="6"/>
      <c r="M21" s="6"/>
    </row>
    <row r="22" spans="1:13" x14ac:dyDescent="0.2">
      <c r="A22" s="6">
        <v>13</v>
      </c>
      <c r="B22" s="6"/>
      <c r="C22" s="38" t="s">
        <v>2839</v>
      </c>
      <c r="D22" s="90">
        <v>39.780999999999999</v>
      </c>
      <c r="E22" s="6">
        <v>659</v>
      </c>
      <c r="F22" s="6" t="s">
        <v>2827</v>
      </c>
      <c r="G22" s="6"/>
      <c r="H22" s="6"/>
      <c r="I22" s="6"/>
      <c r="J22" s="6"/>
      <c r="K22" s="6"/>
      <c r="L22" s="6"/>
      <c r="M22" s="6"/>
    </row>
    <row r="23" spans="1:13" x14ac:dyDescent="0.2">
      <c r="A23" s="6">
        <v>14</v>
      </c>
      <c r="B23" s="6"/>
      <c r="C23" s="38" t="s">
        <v>2840</v>
      </c>
      <c r="D23" s="90">
        <v>31.442</v>
      </c>
      <c r="E23" s="6">
        <v>520</v>
      </c>
      <c r="F23" s="6" t="s">
        <v>2827</v>
      </c>
      <c r="G23" s="6"/>
      <c r="H23" s="6"/>
      <c r="I23" s="6"/>
      <c r="J23" s="6"/>
      <c r="K23" s="6"/>
      <c r="L23" s="6"/>
      <c r="M23" s="6"/>
    </row>
    <row r="24" spans="1:13" x14ac:dyDescent="0.2">
      <c r="A24" s="6">
        <v>15</v>
      </c>
      <c r="B24" s="6"/>
      <c r="C24" s="38" t="s">
        <v>2841</v>
      </c>
      <c r="D24" s="90">
        <v>33.99</v>
      </c>
      <c r="E24" s="6">
        <v>563</v>
      </c>
      <c r="F24" s="6" t="s">
        <v>2827</v>
      </c>
      <c r="G24" s="6"/>
      <c r="H24" s="6"/>
      <c r="I24" s="6"/>
      <c r="J24" s="6"/>
      <c r="K24" s="6"/>
      <c r="L24" s="6"/>
      <c r="M24" s="6"/>
    </row>
    <row r="25" spans="1:13" x14ac:dyDescent="0.2">
      <c r="A25" s="6">
        <v>16</v>
      </c>
      <c r="B25" s="6"/>
      <c r="C25" s="38" t="s">
        <v>2842</v>
      </c>
      <c r="D25" s="90">
        <v>37.472000000000001</v>
      </c>
      <c r="E25" s="6">
        <v>620</v>
      </c>
      <c r="F25" s="6" t="s">
        <v>2827</v>
      </c>
      <c r="G25" s="6"/>
      <c r="H25" s="6"/>
      <c r="I25" s="6"/>
      <c r="J25" s="6"/>
      <c r="K25" s="6"/>
      <c r="L25" s="6"/>
      <c r="M25" s="6"/>
    </row>
    <row r="26" spans="1:13" x14ac:dyDescent="0.2">
      <c r="A26" s="6">
        <v>17</v>
      </c>
      <c r="B26" s="6"/>
      <c r="C26" s="38" t="s">
        <v>2843</v>
      </c>
      <c r="D26" s="90">
        <v>23.731000000000002</v>
      </c>
      <c r="E26" s="6">
        <v>393</v>
      </c>
      <c r="F26" s="6" t="s">
        <v>2827</v>
      </c>
      <c r="G26" s="6"/>
      <c r="H26" s="6"/>
      <c r="I26" s="6"/>
      <c r="J26" s="6"/>
      <c r="K26" s="6"/>
      <c r="L26" s="6"/>
      <c r="M26" s="6"/>
    </row>
    <row r="27" spans="1:13" x14ac:dyDescent="0.2">
      <c r="A27" s="6">
        <v>18</v>
      </c>
      <c r="B27" s="6"/>
      <c r="C27" s="38" t="s">
        <v>2844</v>
      </c>
      <c r="D27" s="90">
        <v>38.619</v>
      </c>
      <c r="E27" s="6">
        <v>639</v>
      </c>
      <c r="F27" s="6" t="s">
        <v>2827</v>
      </c>
      <c r="G27" s="6"/>
      <c r="H27" s="6"/>
      <c r="I27" s="6"/>
      <c r="J27" s="6"/>
      <c r="K27" s="6"/>
      <c r="L27" s="6"/>
      <c r="M27" s="6"/>
    </row>
    <row r="28" spans="1:13" x14ac:dyDescent="0.2">
      <c r="A28" s="6">
        <v>19</v>
      </c>
      <c r="B28" s="6"/>
      <c r="C28" s="38" t="s">
        <v>2845</v>
      </c>
      <c r="D28" s="90">
        <v>33.307000000000002</v>
      </c>
      <c r="E28" s="6">
        <v>551</v>
      </c>
      <c r="F28" s="6" t="s">
        <v>2827</v>
      </c>
      <c r="G28" s="6"/>
      <c r="H28" s="6"/>
      <c r="I28" s="6"/>
      <c r="J28" s="6"/>
      <c r="K28" s="6"/>
      <c r="L28" s="6"/>
      <c r="M28" s="6"/>
    </row>
    <row r="29" spans="1:13" x14ac:dyDescent="0.2">
      <c r="A29" s="6">
        <v>20</v>
      </c>
      <c r="B29" s="6"/>
      <c r="C29" s="38" t="s">
        <v>2846</v>
      </c>
      <c r="D29" s="90">
        <v>32.139000000000003</v>
      </c>
      <c r="E29" s="6">
        <v>532</v>
      </c>
      <c r="F29" s="6" t="s">
        <v>2827</v>
      </c>
      <c r="G29" s="6"/>
      <c r="H29" s="6"/>
      <c r="I29" s="6"/>
      <c r="J29" s="6"/>
      <c r="K29" s="6"/>
      <c r="L29" s="6"/>
      <c r="M29" s="6"/>
    </row>
    <row r="30" spans="1:13" x14ac:dyDescent="0.2">
      <c r="A30" s="6">
        <v>21</v>
      </c>
      <c r="B30" s="6"/>
      <c r="C30" s="38" t="s">
        <v>2847</v>
      </c>
      <c r="D30" s="90">
        <v>39.762</v>
      </c>
      <c r="E30" s="6">
        <v>658</v>
      </c>
      <c r="F30" s="6" t="s">
        <v>2827</v>
      </c>
      <c r="G30" s="6"/>
      <c r="H30" s="6"/>
      <c r="I30" s="6"/>
      <c r="J30" s="6"/>
      <c r="K30" s="6"/>
      <c r="L30" s="6"/>
      <c r="M30" s="6"/>
    </row>
    <row r="31" spans="1:13" x14ac:dyDescent="0.2">
      <c r="A31" s="6">
        <v>22</v>
      </c>
      <c r="B31" s="6"/>
      <c r="C31" s="38" t="s">
        <v>2848</v>
      </c>
      <c r="D31" s="90">
        <v>56.223999999999997</v>
      </c>
      <c r="E31" s="6">
        <v>931</v>
      </c>
      <c r="F31" s="6" t="s">
        <v>2827</v>
      </c>
      <c r="G31" s="6"/>
      <c r="H31" s="6"/>
      <c r="I31" s="6"/>
      <c r="J31" s="6"/>
      <c r="K31" s="6"/>
      <c r="L31" s="6"/>
      <c r="M31" s="6"/>
    </row>
    <row r="32" spans="1:13" x14ac:dyDescent="0.2">
      <c r="A32" s="6">
        <v>23</v>
      </c>
      <c r="B32" s="6"/>
      <c r="C32" s="38" t="s">
        <v>2849</v>
      </c>
      <c r="D32" s="90">
        <v>23.713999999999999</v>
      </c>
      <c r="E32" s="6">
        <v>393</v>
      </c>
      <c r="F32" s="6" t="s">
        <v>2827</v>
      </c>
      <c r="G32" s="6"/>
      <c r="H32" s="6"/>
      <c r="I32" s="6"/>
      <c r="J32" s="6"/>
      <c r="K32" s="6"/>
      <c r="L32" s="6"/>
      <c r="M32" s="6"/>
    </row>
    <row r="33" spans="1:13" x14ac:dyDescent="0.2">
      <c r="A33" s="6">
        <v>24</v>
      </c>
      <c r="B33" s="6"/>
      <c r="C33" s="38" t="s">
        <v>2850</v>
      </c>
      <c r="D33" s="90">
        <v>43.526000000000003</v>
      </c>
      <c r="E33" s="6">
        <v>721</v>
      </c>
      <c r="F33" s="6" t="s">
        <v>2827</v>
      </c>
      <c r="G33" s="6"/>
      <c r="H33" s="6"/>
      <c r="I33" s="6"/>
      <c r="J33" s="6"/>
      <c r="K33" s="6"/>
      <c r="L33" s="6"/>
      <c r="M33" s="6"/>
    </row>
    <row r="34" spans="1:13" x14ac:dyDescent="0.2">
      <c r="A34" s="6">
        <v>25</v>
      </c>
      <c r="B34" s="6"/>
      <c r="C34" s="38" t="s">
        <v>2851</v>
      </c>
      <c r="D34" s="90">
        <v>34.549999999999997</v>
      </c>
      <c r="E34" s="6">
        <v>572</v>
      </c>
      <c r="F34" s="6" t="s">
        <v>2827</v>
      </c>
      <c r="G34" s="6"/>
      <c r="H34" s="6"/>
      <c r="I34" s="6"/>
      <c r="J34" s="6"/>
      <c r="K34" s="6"/>
      <c r="L34" s="6"/>
      <c r="M34" s="6"/>
    </row>
    <row r="35" spans="1:13" x14ac:dyDescent="0.2">
      <c r="A35" s="6">
        <v>26</v>
      </c>
      <c r="B35" s="6"/>
      <c r="C35" s="38" t="s">
        <v>2852</v>
      </c>
      <c r="D35" s="90">
        <v>45.183</v>
      </c>
      <c r="E35" s="6">
        <v>748</v>
      </c>
      <c r="F35" s="6" t="s">
        <v>2827</v>
      </c>
      <c r="G35" s="6"/>
      <c r="H35" s="6"/>
      <c r="I35" s="6"/>
      <c r="J35" s="6"/>
      <c r="K35" s="6"/>
      <c r="L35" s="6"/>
      <c r="M35" s="6"/>
    </row>
    <row r="36" spans="1:13" x14ac:dyDescent="0.2">
      <c r="A36" s="6">
        <v>27</v>
      </c>
      <c r="B36" s="6"/>
      <c r="C36" s="38" t="s">
        <v>2853</v>
      </c>
      <c r="D36" s="90">
        <v>31.867999999999999</v>
      </c>
      <c r="E36" s="6">
        <v>528</v>
      </c>
      <c r="F36" s="6" t="s">
        <v>2827</v>
      </c>
      <c r="G36" s="6"/>
      <c r="H36" s="6"/>
      <c r="I36" s="6"/>
      <c r="J36" s="6"/>
      <c r="K36" s="6"/>
      <c r="L36" s="6"/>
      <c r="M36" s="6"/>
    </row>
    <row r="37" spans="1:13" x14ac:dyDescent="0.2">
      <c r="A37" s="6">
        <v>28</v>
      </c>
      <c r="B37" s="6"/>
      <c r="C37" s="38" t="s">
        <v>2854</v>
      </c>
      <c r="D37" s="90">
        <v>44.502000000000002</v>
      </c>
      <c r="E37" s="6">
        <v>737</v>
      </c>
      <c r="F37" s="6" t="s">
        <v>2827</v>
      </c>
      <c r="G37" s="6"/>
      <c r="H37" s="6"/>
      <c r="I37" s="6"/>
      <c r="J37" s="6"/>
      <c r="K37" s="6"/>
      <c r="L37" s="6"/>
      <c r="M37" s="6"/>
    </row>
    <row r="38" spans="1:13" x14ac:dyDescent="0.2">
      <c r="A38" s="6">
        <v>29</v>
      </c>
      <c r="B38" s="6"/>
      <c r="C38" s="38" t="s">
        <v>2855</v>
      </c>
      <c r="D38" s="90">
        <v>28.922999999999998</v>
      </c>
      <c r="E38" s="6">
        <v>479</v>
      </c>
      <c r="F38" s="6" t="s">
        <v>2827</v>
      </c>
      <c r="G38" s="6"/>
      <c r="H38" s="6"/>
      <c r="I38" s="6"/>
      <c r="J38" s="6"/>
      <c r="K38" s="6"/>
      <c r="L38" s="6"/>
      <c r="M38" s="6"/>
    </row>
    <row r="39" spans="1:13" x14ac:dyDescent="0.2">
      <c r="A39" s="6">
        <v>30</v>
      </c>
      <c r="B39" s="6"/>
      <c r="C39" s="38" t="s">
        <v>2856</v>
      </c>
      <c r="D39" s="90">
        <v>23.163</v>
      </c>
      <c r="E39" s="6">
        <v>383</v>
      </c>
      <c r="F39" s="6" t="s">
        <v>2827</v>
      </c>
      <c r="G39" s="6"/>
      <c r="H39" s="6"/>
      <c r="I39" s="6"/>
      <c r="J39" s="6"/>
      <c r="K39" s="6"/>
      <c r="L39" s="6"/>
      <c r="M39" s="6"/>
    </row>
    <row r="40" spans="1:13" x14ac:dyDescent="0.2">
      <c r="A40" s="6">
        <v>31</v>
      </c>
      <c r="B40" s="6"/>
      <c r="C40" s="38" t="s">
        <v>2857</v>
      </c>
      <c r="D40" s="90">
        <v>34.97</v>
      </c>
      <c r="E40" s="6">
        <v>579</v>
      </c>
      <c r="F40" s="6" t="s">
        <v>2827</v>
      </c>
      <c r="G40" s="6"/>
      <c r="H40" s="6"/>
      <c r="I40" s="6"/>
      <c r="J40" s="6"/>
      <c r="K40" s="6"/>
      <c r="L40" s="6"/>
      <c r="M40" s="6"/>
    </row>
    <row r="41" spans="1:13" x14ac:dyDescent="0.2">
      <c r="A41" s="94"/>
      <c r="B41" s="94"/>
      <c r="C41" s="95"/>
      <c r="D41" s="96"/>
      <c r="E41" s="94"/>
      <c r="F41" s="94"/>
      <c r="G41" s="94"/>
      <c r="H41" s="94"/>
      <c r="I41" s="94"/>
      <c r="J41" s="94"/>
      <c r="K41" s="94"/>
      <c r="L41" s="94"/>
      <c r="M41" s="94"/>
    </row>
    <row r="43" spans="1:13" ht="15.75" x14ac:dyDescent="0.25">
      <c r="A43" s="192" t="s">
        <v>2859</v>
      </c>
      <c r="B43" s="192"/>
      <c r="C43" s="192"/>
      <c r="D43" s="192"/>
      <c r="E43" s="192"/>
      <c r="F43" s="192"/>
      <c r="G43" s="192"/>
      <c r="H43" s="192"/>
      <c r="I43" s="192"/>
      <c r="J43" s="192"/>
      <c r="K43" s="192"/>
      <c r="L43" s="192"/>
      <c r="M43" s="192"/>
    </row>
    <row r="44" spans="1:13" x14ac:dyDescent="0.2">
      <c r="A44" s="89" t="s">
        <v>2813</v>
      </c>
      <c r="B44" s="89" t="s">
        <v>2814</v>
      </c>
      <c r="C44" s="89" t="s">
        <v>2815</v>
      </c>
      <c r="D44" s="89" t="s">
        <v>2860</v>
      </c>
      <c r="E44" s="89" t="s">
        <v>2817</v>
      </c>
      <c r="F44" s="89" t="s">
        <v>2818</v>
      </c>
      <c r="G44" s="89" t="s">
        <v>2819</v>
      </c>
      <c r="H44" s="89" t="s">
        <v>2820</v>
      </c>
      <c r="I44" s="89" t="s">
        <v>2821</v>
      </c>
      <c r="J44" s="89" t="s">
        <v>2822</v>
      </c>
      <c r="K44" s="89" t="s">
        <v>2823</v>
      </c>
      <c r="L44" s="89" t="s">
        <v>2824</v>
      </c>
      <c r="M44" s="89" t="s">
        <v>2825</v>
      </c>
    </row>
    <row r="45" spans="1:13" x14ac:dyDescent="0.2">
      <c r="A45" s="6">
        <v>1</v>
      </c>
      <c r="B45" s="6"/>
      <c r="C45" s="38" t="s">
        <v>2861</v>
      </c>
      <c r="D45" s="92">
        <v>7.38</v>
      </c>
      <c r="E45" s="6">
        <v>122</v>
      </c>
      <c r="F45" s="6" t="s">
        <v>2827</v>
      </c>
      <c r="G45" s="6"/>
      <c r="H45" s="6"/>
      <c r="I45" s="6"/>
      <c r="J45" s="6"/>
      <c r="K45" s="6"/>
      <c r="L45" s="6"/>
      <c r="M45" s="6"/>
    </row>
    <row r="46" spans="1:13" x14ac:dyDescent="0.2">
      <c r="A46" s="6">
        <v>2</v>
      </c>
      <c r="B46" s="6"/>
      <c r="C46" s="38" t="s">
        <v>2862</v>
      </c>
      <c r="D46" s="92">
        <v>7.05</v>
      </c>
      <c r="E46" s="6">
        <v>117</v>
      </c>
      <c r="F46" s="6" t="s">
        <v>2827</v>
      </c>
      <c r="G46" s="6"/>
      <c r="H46" s="6"/>
      <c r="I46" s="6"/>
      <c r="J46" s="6"/>
      <c r="K46" s="6"/>
      <c r="L46" s="6"/>
      <c r="M46" s="6"/>
    </row>
    <row r="47" spans="1:13" x14ac:dyDescent="0.2">
      <c r="A47" s="6">
        <v>3</v>
      </c>
      <c r="B47" s="6"/>
      <c r="C47" s="38" t="s">
        <v>2863</v>
      </c>
      <c r="D47" s="92">
        <v>14.43</v>
      </c>
      <c r="E47" s="6">
        <v>239</v>
      </c>
      <c r="F47" s="6" t="s">
        <v>2827</v>
      </c>
      <c r="G47" s="6"/>
      <c r="H47" s="6"/>
      <c r="I47" s="6"/>
      <c r="J47" s="6"/>
      <c r="K47" s="6"/>
      <c r="L47" s="6"/>
      <c r="M47" s="6"/>
    </row>
    <row r="48" spans="1:13" x14ac:dyDescent="0.2">
      <c r="A48" s="6">
        <v>4</v>
      </c>
      <c r="B48" s="6"/>
      <c r="C48" s="38" t="s">
        <v>2864</v>
      </c>
      <c r="D48" s="92">
        <v>15.21</v>
      </c>
      <c r="E48" s="6">
        <v>252</v>
      </c>
      <c r="F48" s="6" t="s">
        <v>2827</v>
      </c>
      <c r="G48" s="6"/>
      <c r="H48" s="6"/>
      <c r="I48" s="6"/>
      <c r="J48" s="6"/>
      <c r="K48" s="6"/>
      <c r="L48" s="6"/>
      <c r="M48" s="6"/>
    </row>
    <row r="49" spans="1:13" x14ac:dyDescent="0.2">
      <c r="A49" s="6">
        <v>5</v>
      </c>
      <c r="B49" s="6"/>
      <c r="C49" s="38" t="s">
        <v>2865</v>
      </c>
      <c r="D49" s="92">
        <v>10.24</v>
      </c>
      <c r="E49" s="6">
        <v>170</v>
      </c>
      <c r="F49" s="6" t="s">
        <v>2827</v>
      </c>
      <c r="G49" s="6"/>
      <c r="H49" s="6"/>
      <c r="I49" s="6"/>
      <c r="J49" s="6"/>
      <c r="K49" s="6"/>
      <c r="L49" s="6"/>
      <c r="M49" s="6"/>
    </row>
    <row r="50" spans="1:13" x14ac:dyDescent="0.2">
      <c r="A50" s="6">
        <v>6</v>
      </c>
      <c r="B50" s="6"/>
      <c r="C50" s="38" t="s">
        <v>2866</v>
      </c>
      <c r="D50" s="92">
        <v>21.63</v>
      </c>
      <c r="E50" s="6">
        <v>358</v>
      </c>
      <c r="F50" s="6" t="s">
        <v>2827</v>
      </c>
      <c r="G50" s="6"/>
      <c r="H50" s="6"/>
      <c r="I50" s="6"/>
      <c r="J50" s="6"/>
      <c r="K50" s="6"/>
      <c r="L50" s="6"/>
      <c r="M50" s="6"/>
    </row>
    <row r="51" spans="1:13" x14ac:dyDescent="0.2">
      <c r="A51" s="6">
        <v>7</v>
      </c>
      <c r="B51" s="6"/>
      <c r="C51" s="38" t="s">
        <v>2867</v>
      </c>
      <c r="D51" s="92">
        <v>12.29</v>
      </c>
      <c r="E51" s="6">
        <v>203</v>
      </c>
      <c r="F51" s="6" t="s">
        <v>2827</v>
      </c>
      <c r="G51" s="6"/>
      <c r="H51" s="6"/>
      <c r="I51" s="6"/>
      <c r="J51" s="6"/>
      <c r="K51" s="6"/>
      <c r="L51" s="6"/>
      <c r="M51" s="6"/>
    </row>
    <row r="52" spans="1:13" x14ac:dyDescent="0.2">
      <c r="A52" s="6">
        <v>8</v>
      </c>
      <c r="B52" s="6"/>
      <c r="C52" s="38" t="s">
        <v>2868</v>
      </c>
      <c r="D52" s="92">
        <v>12.29</v>
      </c>
      <c r="E52" s="6">
        <v>203</v>
      </c>
      <c r="F52" s="6" t="s">
        <v>2827</v>
      </c>
      <c r="G52" s="6"/>
      <c r="H52" s="6"/>
      <c r="I52" s="6"/>
      <c r="J52" s="6"/>
      <c r="K52" s="6"/>
      <c r="L52" s="6"/>
      <c r="M52" s="6"/>
    </row>
    <row r="53" spans="1:13" x14ac:dyDescent="0.2">
      <c r="A53" s="6">
        <v>9</v>
      </c>
      <c r="B53" s="6"/>
      <c r="C53" s="38" t="s">
        <v>2869</v>
      </c>
      <c r="D53" s="92">
        <v>7.39</v>
      </c>
      <c r="E53" s="6">
        <v>122</v>
      </c>
      <c r="F53" s="6" t="s">
        <v>2827</v>
      </c>
      <c r="G53" s="6"/>
      <c r="H53" s="6"/>
      <c r="I53" s="6"/>
      <c r="J53" s="6"/>
      <c r="K53" s="6"/>
      <c r="L53" s="6"/>
      <c r="M53" s="6"/>
    </row>
    <row r="54" spans="1:13" x14ac:dyDescent="0.2">
      <c r="A54" s="6">
        <v>10</v>
      </c>
      <c r="B54" s="6"/>
      <c r="C54" s="38" t="s">
        <v>2870</v>
      </c>
      <c r="D54" s="92">
        <v>7.2</v>
      </c>
      <c r="E54" s="6">
        <v>119</v>
      </c>
      <c r="F54" s="6" t="s">
        <v>2827</v>
      </c>
      <c r="G54" s="6"/>
      <c r="H54" s="6"/>
      <c r="I54" s="6"/>
      <c r="J54" s="6"/>
      <c r="K54" s="6"/>
      <c r="L54" s="6"/>
      <c r="M54" s="6"/>
    </row>
    <row r="55" spans="1:13" x14ac:dyDescent="0.2">
      <c r="A55" s="6">
        <v>11</v>
      </c>
      <c r="B55" s="6"/>
      <c r="C55" s="38" t="s">
        <v>2871</v>
      </c>
      <c r="D55" s="92">
        <v>7.15</v>
      </c>
      <c r="E55" s="6">
        <v>118</v>
      </c>
      <c r="F55" s="6" t="s">
        <v>2827</v>
      </c>
      <c r="G55" s="6"/>
      <c r="H55" s="6"/>
      <c r="I55" s="6"/>
      <c r="J55" s="6"/>
      <c r="K55" s="6"/>
      <c r="L55" s="6"/>
      <c r="M55" s="6"/>
    </row>
    <row r="56" spans="1:13" x14ac:dyDescent="0.2">
      <c r="A56" s="6">
        <v>12</v>
      </c>
      <c r="B56" s="6"/>
      <c r="C56" s="38" t="s">
        <v>2872</v>
      </c>
      <c r="D56" s="92">
        <v>7.02</v>
      </c>
      <c r="E56" s="6">
        <v>116</v>
      </c>
      <c r="F56" s="6" t="s">
        <v>2827</v>
      </c>
      <c r="G56" s="6"/>
      <c r="H56" s="6"/>
      <c r="I56" s="6"/>
      <c r="J56" s="6"/>
      <c r="K56" s="6"/>
      <c r="L56" s="6"/>
      <c r="M56" s="6"/>
    </row>
    <row r="57" spans="1:13" x14ac:dyDescent="0.2">
      <c r="A57" s="6">
        <v>13</v>
      </c>
      <c r="B57" s="6"/>
      <c r="C57" s="38" t="s">
        <v>2873</v>
      </c>
      <c r="D57" s="92">
        <v>12.29</v>
      </c>
      <c r="E57" s="6">
        <v>203</v>
      </c>
      <c r="F57" s="6" t="s">
        <v>2827</v>
      </c>
      <c r="G57" s="6"/>
      <c r="H57" s="6"/>
      <c r="I57" s="6"/>
      <c r="J57" s="6"/>
      <c r="K57" s="6"/>
      <c r="L57" s="6"/>
      <c r="M57" s="6"/>
    </row>
    <row r="58" spans="1:13" x14ac:dyDescent="0.2">
      <c r="A58" s="6">
        <v>14</v>
      </c>
      <c r="B58" s="6"/>
      <c r="C58" s="38" t="s">
        <v>2874</v>
      </c>
      <c r="D58" s="92">
        <v>12.29</v>
      </c>
      <c r="E58" s="6">
        <v>203</v>
      </c>
      <c r="F58" s="6" t="s">
        <v>2827</v>
      </c>
      <c r="G58" s="6"/>
      <c r="H58" s="6"/>
      <c r="I58" s="6"/>
      <c r="J58" s="6"/>
      <c r="K58" s="6"/>
      <c r="L58" s="6"/>
      <c r="M58" s="6"/>
    </row>
    <row r="59" spans="1:13" x14ac:dyDescent="0.2">
      <c r="A59" s="6">
        <v>15</v>
      </c>
      <c r="B59" s="6"/>
      <c r="C59" s="38" t="s">
        <v>2875</v>
      </c>
      <c r="D59" s="92">
        <v>15.21</v>
      </c>
      <c r="E59" s="6">
        <v>252</v>
      </c>
      <c r="F59" s="6" t="s">
        <v>2827</v>
      </c>
      <c r="G59" s="6"/>
      <c r="H59" s="6"/>
      <c r="I59" s="6"/>
      <c r="J59" s="6"/>
      <c r="K59" s="6"/>
      <c r="L59" s="6"/>
      <c r="M59" s="6"/>
    </row>
    <row r="60" spans="1:13" x14ac:dyDescent="0.2">
      <c r="A60" s="6">
        <v>16</v>
      </c>
      <c r="B60" s="6"/>
      <c r="C60" s="38" t="s">
        <v>2876</v>
      </c>
      <c r="D60" s="92">
        <v>7.38</v>
      </c>
      <c r="E60" s="6">
        <v>122</v>
      </c>
      <c r="F60" s="6" t="s">
        <v>2827</v>
      </c>
      <c r="G60" s="6"/>
      <c r="H60" s="6"/>
      <c r="I60" s="6"/>
      <c r="J60" s="6"/>
      <c r="K60" s="6"/>
      <c r="L60" s="6"/>
      <c r="M60" s="6"/>
    </row>
    <row r="61" spans="1:13" x14ac:dyDescent="0.2">
      <c r="A61" s="6">
        <v>17</v>
      </c>
      <c r="B61" s="6"/>
      <c r="C61" s="38" t="s">
        <v>2877</v>
      </c>
      <c r="D61" s="92">
        <v>7.05</v>
      </c>
      <c r="E61" s="6">
        <v>117</v>
      </c>
      <c r="F61" s="6" t="s">
        <v>2827</v>
      </c>
      <c r="G61" s="6"/>
      <c r="H61" s="6"/>
      <c r="I61" s="6"/>
      <c r="J61" s="6"/>
      <c r="K61" s="6"/>
      <c r="L61" s="6"/>
      <c r="M61" s="6"/>
    </row>
    <row r="62" spans="1:13" x14ac:dyDescent="0.2">
      <c r="A62" s="6">
        <v>18</v>
      </c>
      <c r="B62" s="6"/>
      <c r="C62" s="38" t="s">
        <v>2878</v>
      </c>
      <c r="D62" s="92">
        <v>7.91</v>
      </c>
      <c r="E62" s="6">
        <v>131</v>
      </c>
      <c r="F62" s="6" t="s">
        <v>2827</v>
      </c>
      <c r="G62" s="6"/>
      <c r="H62" s="6"/>
      <c r="I62" s="6"/>
      <c r="J62" s="6"/>
      <c r="K62" s="6"/>
      <c r="L62" s="6"/>
      <c r="M62" s="6"/>
    </row>
    <row r="63" spans="1:13" x14ac:dyDescent="0.2">
      <c r="A63" s="6">
        <v>19</v>
      </c>
      <c r="B63" s="6"/>
      <c r="C63" s="38" t="s">
        <v>2879</v>
      </c>
      <c r="D63" s="92">
        <v>8.02</v>
      </c>
      <c r="E63" s="6">
        <v>133</v>
      </c>
      <c r="F63" s="6" t="s">
        <v>2827</v>
      </c>
      <c r="G63" s="6"/>
      <c r="H63" s="6"/>
      <c r="I63" s="6"/>
      <c r="J63" s="6"/>
      <c r="K63" s="6"/>
      <c r="L63" s="6"/>
      <c r="M63" s="6"/>
    </row>
    <row r="64" spans="1:13" x14ac:dyDescent="0.2">
      <c r="A64" s="6">
        <v>20</v>
      </c>
      <c r="B64" s="6"/>
      <c r="C64" s="38" t="s">
        <v>2880</v>
      </c>
      <c r="D64" s="92">
        <v>15.17</v>
      </c>
      <c r="E64" s="6">
        <v>251</v>
      </c>
      <c r="F64" s="6" t="s">
        <v>2827</v>
      </c>
      <c r="G64" s="6"/>
      <c r="H64" s="6"/>
      <c r="I64" s="6"/>
      <c r="J64" s="6"/>
      <c r="K64" s="6"/>
      <c r="L64" s="6"/>
      <c r="M64" s="6"/>
    </row>
    <row r="65" spans="1:13" x14ac:dyDescent="0.2">
      <c r="A65" s="6">
        <v>21</v>
      </c>
      <c r="B65" s="6"/>
      <c r="C65" s="38" t="s">
        <v>2881</v>
      </c>
      <c r="D65" s="92">
        <v>15.3</v>
      </c>
      <c r="E65" s="6">
        <v>253</v>
      </c>
      <c r="F65" s="6" t="s">
        <v>2827</v>
      </c>
      <c r="G65" s="6"/>
      <c r="H65" s="6"/>
      <c r="I65" s="6"/>
      <c r="J65" s="6"/>
      <c r="K65" s="6"/>
      <c r="L65" s="6"/>
      <c r="M65" s="6"/>
    </row>
    <row r="66" spans="1:13" x14ac:dyDescent="0.2">
      <c r="A66" s="6">
        <v>22</v>
      </c>
      <c r="B66" s="6"/>
      <c r="C66" s="38" t="s">
        <v>2882</v>
      </c>
      <c r="D66" s="92">
        <v>15.2</v>
      </c>
      <c r="E66" s="6">
        <v>252</v>
      </c>
      <c r="F66" s="6" t="s">
        <v>2827</v>
      </c>
      <c r="G66" s="6"/>
      <c r="H66" s="6"/>
      <c r="I66" s="6"/>
      <c r="J66" s="6"/>
      <c r="K66" s="6"/>
      <c r="L66" s="6"/>
      <c r="M66" s="6"/>
    </row>
    <row r="67" spans="1:13" x14ac:dyDescent="0.2">
      <c r="A67" s="6">
        <v>23</v>
      </c>
      <c r="B67" s="6"/>
      <c r="C67" s="38" t="s">
        <v>2883</v>
      </c>
      <c r="D67" s="92">
        <v>15.178000000000001</v>
      </c>
      <c r="E67" s="6">
        <v>251</v>
      </c>
      <c r="F67" s="6" t="s">
        <v>2827</v>
      </c>
      <c r="G67" s="6"/>
      <c r="H67" s="6"/>
      <c r="I67" s="6"/>
      <c r="J67" s="6"/>
      <c r="K67" s="6"/>
      <c r="L67" s="6"/>
      <c r="M67" s="6"/>
    </row>
    <row r="68" spans="1:13" x14ac:dyDescent="0.2">
      <c r="A68" s="6">
        <v>24</v>
      </c>
      <c r="B68" s="6"/>
      <c r="C68" s="38" t="s">
        <v>2884</v>
      </c>
      <c r="D68" s="92">
        <v>8.0500000000000007</v>
      </c>
      <c r="E68" s="6">
        <v>133</v>
      </c>
      <c r="F68" s="6" t="s">
        <v>2827</v>
      </c>
      <c r="G68" s="6"/>
      <c r="H68" s="6"/>
      <c r="I68" s="6"/>
      <c r="J68" s="6"/>
      <c r="K68" s="6"/>
      <c r="L68" s="6"/>
      <c r="M68" s="6"/>
    </row>
    <row r="69" spans="1:13" x14ac:dyDescent="0.2">
      <c r="A69" s="6">
        <v>25</v>
      </c>
      <c r="B69" s="6"/>
      <c r="C69" s="38" t="s">
        <v>2885</v>
      </c>
      <c r="D69" s="92">
        <v>7.2</v>
      </c>
      <c r="E69" s="6">
        <v>119</v>
      </c>
      <c r="F69" s="6" t="s">
        <v>2827</v>
      </c>
      <c r="G69" s="6"/>
      <c r="H69" s="6"/>
      <c r="I69" s="6"/>
      <c r="J69" s="6"/>
      <c r="K69" s="6"/>
      <c r="L69" s="6"/>
      <c r="M69" s="6"/>
    </row>
    <row r="70" spans="1:13" x14ac:dyDescent="0.2">
      <c r="A70" s="6">
        <v>26</v>
      </c>
      <c r="B70" s="6"/>
      <c r="C70" s="38" t="s">
        <v>2886</v>
      </c>
      <c r="D70" s="92">
        <v>14.43</v>
      </c>
      <c r="E70" s="6">
        <v>239</v>
      </c>
      <c r="F70" s="6" t="s">
        <v>2827</v>
      </c>
      <c r="G70" s="6"/>
      <c r="H70" s="6"/>
      <c r="I70" s="6"/>
      <c r="J70" s="6"/>
      <c r="K70" s="6"/>
      <c r="L70" s="6"/>
      <c r="M70" s="6"/>
    </row>
    <row r="71" spans="1:13" x14ac:dyDescent="0.2">
      <c r="A71" s="6">
        <v>27</v>
      </c>
      <c r="B71" s="6"/>
      <c r="C71" s="38" t="s">
        <v>2887</v>
      </c>
      <c r="D71" s="92">
        <v>21.63</v>
      </c>
      <c r="E71" s="6">
        <v>358</v>
      </c>
      <c r="F71" s="6" t="s">
        <v>2827</v>
      </c>
      <c r="G71" s="6"/>
      <c r="H71" s="6"/>
      <c r="I71" s="6"/>
      <c r="J71" s="6"/>
      <c r="K71" s="6"/>
      <c r="L71" s="6"/>
      <c r="M71" s="6"/>
    </row>
    <row r="72" spans="1:13" x14ac:dyDescent="0.2">
      <c r="A72" s="6">
        <v>28</v>
      </c>
      <c r="B72" s="6"/>
      <c r="C72" s="38" t="s">
        <v>2888</v>
      </c>
      <c r="D72" s="92">
        <v>12.29</v>
      </c>
      <c r="E72" s="6">
        <v>203</v>
      </c>
      <c r="F72" s="6" t="s">
        <v>2827</v>
      </c>
      <c r="G72" s="6"/>
      <c r="H72" s="6"/>
      <c r="I72" s="6"/>
      <c r="J72" s="6"/>
      <c r="K72" s="6"/>
      <c r="L72" s="6"/>
      <c r="M72" s="6"/>
    </row>
    <row r="73" spans="1:13" x14ac:dyDescent="0.2">
      <c r="A73" s="6">
        <v>29</v>
      </c>
      <c r="B73" s="6"/>
      <c r="C73" s="38" t="s">
        <v>2889</v>
      </c>
      <c r="D73" s="92">
        <v>7.39</v>
      </c>
      <c r="E73" s="6">
        <v>122</v>
      </c>
      <c r="F73" s="6" t="s">
        <v>2827</v>
      </c>
      <c r="G73" s="6"/>
      <c r="H73" s="6"/>
      <c r="I73" s="6"/>
      <c r="J73" s="6"/>
      <c r="K73" s="6"/>
      <c r="L73" s="6"/>
      <c r="M73" s="6"/>
    </row>
    <row r="74" spans="1:13" x14ac:dyDescent="0.2">
      <c r="A74" s="6">
        <v>30</v>
      </c>
      <c r="B74" s="6"/>
      <c r="C74" s="38" t="s">
        <v>2890</v>
      </c>
      <c r="D74" s="92">
        <v>7.15</v>
      </c>
      <c r="E74" s="6">
        <v>118</v>
      </c>
      <c r="F74" s="6" t="s">
        <v>2827</v>
      </c>
      <c r="G74" s="6"/>
      <c r="H74" s="6"/>
      <c r="I74" s="6"/>
      <c r="J74" s="6"/>
      <c r="K74" s="6"/>
      <c r="L74" s="6"/>
      <c r="M74" s="6"/>
    </row>
    <row r="75" spans="1:13" x14ac:dyDescent="0.2">
      <c r="A75" s="6">
        <v>31</v>
      </c>
      <c r="B75" s="6"/>
      <c r="C75" s="38" t="s">
        <v>2891</v>
      </c>
      <c r="D75" s="92">
        <v>12.29</v>
      </c>
      <c r="E75" s="6">
        <v>203</v>
      </c>
      <c r="F75" s="6" t="s">
        <v>2827</v>
      </c>
      <c r="G75" s="6"/>
      <c r="H75" s="6"/>
      <c r="I75" s="6"/>
      <c r="J75" s="6"/>
      <c r="K75" s="6"/>
      <c r="L75" s="6"/>
      <c r="M75" s="6"/>
    </row>
    <row r="76" spans="1:13" x14ac:dyDescent="0.2">
      <c r="A76" s="6">
        <v>32</v>
      </c>
      <c r="B76" s="6"/>
      <c r="C76" s="38" t="s">
        <v>2892</v>
      </c>
      <c r="D76" s="92">
        <v>15.21</v>
      </c>
      <c r="E76" s="6">
        <v>252</v>
      </c>
      <c r="F76" s="6" t="s">
        <v>2827</v>
      </c>
      <c r="G76" s="6"/>
      <c r="H76" s="6"/>
      <c r="I76" s="6"/>
      <c r="J76" s="6"/>
      <c r="K76" s="6"/>
      <c r="L76" s="6"/>
      <c r="M76" s="6"/>
    </row>
    <row r="77" spans="1:13" x14ac:dyDescent="0.2">
      <c r="A77" s="6">
        <v>33</v>
      </c>
      <c r="B77" s="6"/>
      <c r="C77" s="38" t="s">
        <v>2893</v>
      </c>
      <c r="D77" s="92">
        <v>8.02</v>
      </c>
      <c r="E77" s="6">
        <v>133</v>
      </c>
      <c r="F77" s="6" t="s">
        <v>2827</v>
      </c>
      <c r="G77" s="6"/>
      <c r="H77" s="6"/>
      <c r="I77" s="6"/>
      <c r="J77" s="6"/>
      <c r="K77" s="6"/>
      <c r="L77" s="6"/>
      <c r="M77" s="6"/>
    </row>
    <row r="78" spans="1:13" x14ac:dyDescent="0.2">
      <c r="A78" s="6">
        <v>34</v>
      </c>
      <c r="B78" s="6"/>
      <c r="C78" s="38" t="s">
        <v>2894</v>
      </c>
      <c r="D78" s="92">
        <v>15.3</v>
      </c>
      <c r="E78" s="6">
        <v>253</v>
      </c>
      <c r="F78" s="6" t="s">
        <v>2827</v>
      </c>
      <c r="G78" s="6"/>
      <c r="H78" s="6"/>
      <c r="I78" s="6"/>
      <c r="J78" s="6"/>
      <c r="K78" s="6"/>
      <c r="L78" s="6"/>
      <c r="M78" s="6"/>
    </row>
    <row r="79" spans="1:13" x14ac:dyDescent="0.2">
      <c r="A79" s="6">
        <v>35</v>
      </c>
      <c r="B79" s="6"/>
      <c r="C79" s="38" t="s">
        <v>2895</v>
      </c>
      <c r="D79" s="92">
        <v>8.0500000000000007</v>
      </c>
      <c r="E79" s="93">
        <v>133</v>
      </c>
      <c r="F79" s="6" t="s">
        <v>2827</v>
      </c>
      <c r="G79" s="6"/>
      <c r="H79" s="6"/>
      <c r="I79" s="6"/>
      <c r="J79" s="6"/>
      <c r="K79" s="6"/>
      <c r="L79" s="6"/>
      <c r="M79" s="6"/>
    </row>
    <row r="80" spans="1:13" x14ac:dyDescent="0.2">
      <c r="A80" s="6">
        <v>36</v>
      </c>
      <c r="B80" s="6"/>
      <c r="C80" s="38" t="s">
        <v>2896</v>
      </c>
      <c r="D80" s="92">
        <v>7.38</v>
      </c>
      <c r="E80" s="93">
        <v>122</v>
      </c>
      <c r="F80" s="6" t="s">
        <v>2827</v>
      </c>
      <c r="G80" s="6"/>
      <c r="H80" s="6"/>
      <c r="I80" s="6"/>
      <c r="J80" s="6"/>
      <c r="K80" s="6"/>
      <c r="L80" s="6"/>
      <c r="M80" s="6"/>
    </row>
    <row r="81" spans="1:13" x14ac:dyDescent="0.2">
      <c r="A81" s="6">
        <v>37</v>
      </c>
      <c r="B81" s="6"/>
      <c r="C81" s="38" t="s">
        <v>2897</v>
      </c>
      <c r="D81" s="92">
        <v>7.05</v>
      </c>
      <c r="E81" s="93">
        <v>117</v>
      </c>
      <c r="F81" s="6" t="s">
        <v>2827</v>
      </c>
      <c r="G81" s="6"/>
      <c r="H81" s="6"/>
      <c r="I81" s="6"/>
      <c r="J81" s="6"/>
      <c r="K81" s="6"/>
      <c r="L81" s="6"/>
      <c r="M81" s="6"/>
    </row>
    <row r="82" spans="1:13" x14ac:dyDescent="0.2">
      <c r="A82" s="6">
        <v>38</v>
      </c>
      <c r="B82" s="6"/>
      <c r="C82" s="38" t="s">
        <v>2898</v>
      </c>
      <c r="D82" s="92">
        <v>14.43</v>
      </c>
      <c r="E82" s="93">
        <v>239</v>
      </c>
      <c r="F82" s="6" t="s">
        <v>2827</v>
      </c>
      <c r="G82" s="6"/>
      <c r="H82" s="6"/>
      <c r="I82" s="6"/>
      <c r="J82" s="6"/>
      <c r="K82" s="6"/>
      <c r="L82" s="6"/>
      <c r="M82" s="6"/>
    </row>
    <row r="83" spans="1:13" x14ac:dyDescent="0.2">
      <c r="A83" s="6">
        <v>39</v>
      </c>
      <c r="B83" s="6"/>
      <c r="C83" s="38" t="s">
        <v>2899</v>
      </c>
      <c r="D83" s="92">
        <v>15.21</v>
      </c>
      <c r="E83" s="93">
        <v>252</v>
      </c>
      <c r="F83" s="6" t="s">
        <v>2827</v>
      </c>
      <c r="G83" s="6"/>
      <c r="H83" s="6"/>
      <c r="I83" s="6"/>
      <c r="J83" s="6"/>
      <c r="K83" s="6"/>
      <c r="L83" s="6"/>
      <c r="M83" s="6"/>
    </row>
    <row r="84" spans="1:13" x14ac:dyDescent="0.2">
      <c r="A84" s="6">
        <v>40</v>
      </c>
      <c r="B84" s="6"/>
      <c r="C84" s="38" t="s">
        <v>2900</v>
      </c>
      <c r="D84" s="92">
        <v>10.24</v>
      </c>
      <c r="E84" s="93">
        <v>170</v>
      </c>
      <c r="F84" s="6" t="s">
        <v>2827</v>
      </c>
      <c r="G84" s="6"/>
      <c r="H84" s="6"/>
      <c r="I84" s="6"/>
      <c r="J84" s="6"/>
      <c r="K84" s="6"/>
      <c r="L84" s="6"/>
      <c r="M84" s="6"/>
    </row>
    <row r="85" spans="1:13" x14ac:dyDescent="0.2">
      <c r="A85" s="6">
        <v>41</v>
      </c>
      <c r="B85" s="6"/>
      <c r="C85" s="38" t="s">
        <v>2901</v>
      </c>
      <c r="D85" s="92">
        <v>7.39</v>
      </c>
      <c r="E85" s="93">
        <v>122</v>
      </c>
      <c r="F85" s="6" t="s">
        <v>2827</v>
      </c>
      <c r="G85" s="6"/>
      <c r="H85" s="6"/>
      <c r="I85" s="6"/>
      <c r="J85" s="6"/>
      <c r="K85" s="6"/>
      <c r="L85" s="6"/>
      <c r="M85" s="6"/>
    </row>
    <row r="86" spans="1:13" x14ac:dyDescent="0.2">
      <c r="A86" s="6">
        <v>42</v>
      </c>
      <c r="B86" s="6"/>
      <c r="C86" s="38" t="s">
        <v>2902</v>
      </c>
      <c r="D86" s="92">
        <v>7.15</v>
      </c>
      <c r="E86" s="93">
        <v>118</v>
      </c>
      <c r="F86" s="6" t="s">
        <v>2827</v>
      </c>
      <c r="G86" s="6"/>
      <c r="H86" s="6"/>
      <c r="I86" s="6"/>
      <c r="J86" s="6"/>
      <c r="K86" s="6"/>
      <c r="L86" s="6"/>
      <c r="M86" s="6"/>
    </row>
    <row r="87" spans="1:13" x14ac:dyDescent="0.2">
      <c r="A87" s="6">
        <v>43</v>
      </c>
      <c r="B87" s="6"/>
      <c r="C87" s="38" t="s">
        <v>2903</v>
      </c>
      <c r="D87" s="92">
        <v>12.29</v>
      </c>
      <c r="E87" s="93">
        <v>203</v>
      </c>
      <c r="F87" s="6" t="s">
        <v>2827</v>
      </c>
      <c r="G87" s="6"/>
      <c r="H87" s="6"/>
      <c r="I87" s="6"/>
      <c r="J87" s="6"/>
      <c r="K87" s="6"/>
      <c r="L87" s="6"/>
      <c r="M87" s="6"/>
    </row>
    <row r="88" spans="1:13" x14ac:dyDescent="0.2">
      <c r="A88" s="6">
        <v>44</v>
      </c>
      <c r="B88" s="6"/>
      <c r="C88" s="38" t="s">
        <v>2904</v>
      </c>
      <c r="D88" s="92">
        <v>8.02</v>
      </c>
      <c r="E88" s="93">
        <v>133</v>
      </c>
      <c r="F88" s="6" t="s">
        <v>2827</v>
      </c>
      <c r="G88" s="6"/>
      <c r="H88" s="6"/>
      <c r="I88" s="6"/>
      <c r="J88" s="6"/>
      <c r="K88" s="6"/>
      <c r="L88" s="6"/>
      <c r="M88" s="6"/>
    </row>
    <row r="89" spans="1:13" x14ac:dyDescent="0.2">
      <c r="A89" s="6">
        <v>45</v>
      </c>
      <c r="B89" s="6"/>
      <c r="C89" s="38" t="s">
        <v>2905</v>
      </c>
      <c r="D89" s="92">
        <v>15.3</v>
      </c>
      <c r="E89" s="93">
        <v>253</v>
      </c>
      <c r="F89" s="6" t="s">
        <v>2827</v>
      </c>
      <c r="G89" s="6"/>
      <c r="H89" s="6"/>
      <c r="I89" s="6"/>
      <c r="J89" s="6"/>
      <c r="K89" s="6"/>
      <c r="L89" s="6"/>
      <c r="M89" s="6"/>
    </row>
    <row r="90" spans="1:13" x14ac:dyDescent="0.2">
      <c r="A90" s="6">
        <v>46</v>
      </c>
      <c r="B90" s="6"/>
      <c r="C90" s="38" t="s">
        <v>2906</v>
      </c>
      <c r="D90" s="92">
        <v>8.0500000000000007</v>
      </c>
      <c r="E90" s="93">
        <v>133</v>
      </c>
      <c r="F90" s="6" t="s">
        <v>2827</v>
      </c>
      <c r="G90" s="6"/>
      <c r="H90" s="6"/>
      <c r="I90" s="6"/>
      <c r="J90" s="6"/>
      <c r="K90" s="6"/>
      <c r="L90" s="6"/>
      <c r="M90" s="6"/>
    </row>
    <row r="91" spans="1:13" x14ac:dyDescent="0.2">
      <c r="A91" s="6">
        <v>47</v>
      </c>
      <c r="B91" s="6"/>
      <c r="C91" s="38" t="s">
        <v>2907</v>
      </c>
      <c r="D91" s="92">
        <v>7.38</v>
      </c>
      <c r="E91" s="93">
        <v>122</v>
      </c>
      <c r="F91" s="6" t="s">
        <v>2827</v>
      </c>
      <c r="G91" s="6"/>
      <c r="H91" s="6"/>
      <c r="I91" s="6"/>
      <c r="J91" s="6"/>
      <c r="K91" s="6"/>
      <c r="L91" s="6"/>
      <c r="M91" s="6"/>
    </row>
    <row r="92" spans="1:13" x14ac:dyDescent="0.2">
      <c r="A92" s="6">
        <v>48</v>
      </c>
      <c r="B92" s="6"/>
      <c r="C92" s="38" t="s">
        <v>2908</v>
      </c>
      <c r="D92" s="92">
        <v>7.05</v>
      </c>
      <c r="E92" s="93">
        <v>117</v>
      </c>
      <c r="F92" s="6" t="s">
        <v>2827</v>
      </c>
      <c r="G92" s="6"/>
      <c r="H92" s="6"/>
      <c r="I92" s="6"/>
      <c r="J92" s="6"/>
      <c r="K92" s="6"/>
      <c r="L92" s="6"/>
      <c r="M92" s="6"/>
    </row>
    <row r="93" spans="1:13" x14ac:dyDescent="0.2">
      <c r="A93" s="6">
        <v>49</v>
      </c>
      <c r="B93" s="6"/>
      <c r="C93" s="38" t="s">
        <v>2909</v>
      </c>
      <c r="D93" s="92">
        <v>7.91</v>
      </c>
      <c r="E93" s="93">
        <v>131</v>
      </c>
      <c r="F93" s="6" t="s">
        <v>2827</v>
      </c>
      <c r="G93" s="6"/>
      <c r="H93" s="6"/>
      <c r="I93" s="6"/>
      <c r="J93" s="6"/>
      <c r="K93" s="6"/>
      <c r="L93" s="6"/>
      <c r="M93" s="6"/>
    </row>
    <row r="94" spans="1:13" x14ac:dyDescent="0.2">
      <c r="A94" s="6">
        <v>50</v>
      </c>
      <c r="B94" s="6"/>
      <c r="C94" s="38" t="s">
        <v>2910</v>
      </c>
      <c r="D94" s="92">
        <v>8.02</v>
      </c>
      <c r="E94" s="93">
        <v>133</v>
      </c>
      <c r="F94" s="6" t="s">
        <v>2827</v>
      </c>
      <c r="G94" s="6"/>
      <c r="H94" s="6"/>
      <c r="I94" s="6"/>
      <c r="J94" s="6"/>
      <c r="K94" s="6"/>
      <c r="L94" s="6"/>
      <c r="M94" s="6"/>
    </row>
    <row r="95" spans="1:13" x14ac:dyDescent="0.2">
      <c r="A95" s="6">
        <v>51</v>
      </c>
      <c r="B95" s="6"/>
      <c r="C95" s="38" t="s">
        <v>2911</v>
      </c>
      <c r="D95" s="92">
        <v>15.17</v>
      </c>
      <c r="E95" s="93">
        <v>251</v>
      </c>
      <c r="F95" s="6" t="s">
        <v>2827</v>
      </c>
      <c r="G95" s="6"/>
      <c r="H95" s="6"/>
      <c r="I95" s="6"/>
      <c r="J95" s="6"/>
      <c r="K95" s="6"/>
      <c r="L95" s="6"/>
      <c r="M95" s="6"/>
    </row>
    <row r="96" spans="1:13" x14ac:dyDescent="0.2">
      <c r="A96" s="6">
        <v>52</v>
      </c>
      <c r="B96" s="6"/>
      <c r="C96" s="38" t="s">
        <v>2912</v>
      </c>
      <c r="D96" s="92">
        <v>7.15</v>
      </c>
      <c r="E96" s="93">
        <v>118</v>
      </c>
      <c r="F96" s="6" t="s">
        <v>2827</v>
      </c>
      <c r="G96" s="6"/>
      <c r="H96" s="6"/>
      <c r="I96" s="6"/>
      <c r="J96" s="6"/>
      <c r="K96" s="6"/>
      <c r="L96" s="6"/>
      <c r="M96" s="6"/>
    </row>
    <row r="97" spans="1:13" x14ac:dyDescent="0.2">
      <c r="A97" s="6">
        <v>53</v>
      </c>
      <c r="B97" s="6"/>
      <c r="C97" s="38" t="s">
        <v>2913</v>
      </c>
      <c r="D97" s="92">
        <v>7.02</v>
      </c>
      <c r="E97" s="93">
        <v>116</v>
      </c>
      <c r="F97" s="6" t="s">
        <v>2827</v>
      </c>
      <c r="G97" s="6"/>
      <c r="H97" s="6"/>
      <c r="I97" s="6"/>
      <c r="J97" s="6"/>
      <c r="K97" s="6"/>
      <c r="L97" s="6"/>
      <c r="M97" s="6"/>
    </row>
    <row r="98" spans="1:13" x14ac:dyDescent="0.2">
      <c r="A98" s="6">
        <v>54</v>
      </c>
      <c r="B98" s="6"/>
      <c r="C98" s="38" t="s">
        <v>2914</v>
      </c>
      <c r="D98" s="92">
        <v>12.29</v>
      </c>
      <c r="E98" s="93">
        <v>203</v>
      </c>
      <c r="F98" s="6" t="s">
        <v>2827</v>
      </c>
      <c r="G98" s="6"/>
      <c r="H98" s="6"/>
      <c r="I98" s="6"/>
      <c r="J98" s="6"/>
      <c r="K98" s="6"/>
      <c r="L98" s="6"/>
      <c r="M98" s="6"/>
    </row>
    <row r="99" spans="1:13" x14ac:dyDescent="0.2">
      <c r="A99" s="6">
        <v>55</v>
      </c>
      <c r="B99" s="6"/>
      <c r="C99" s="38" t="s">
        <v>2915</v>
      </c>
      <c r="D99" s="92">
        <v>21.63</v>
      </c>
      <c r="E99" s="93">
        <v>358</v>
      </c>
      <c r="F99" s="6" t="s">
        <v>2827</v>
      </c>
      <c r="G99" s="6"/>
      <c r="H99" s="6"/>
      <c r="I99" s="6"/>
      <c r="J99" s="6"/>
      <c r="K99" s="6"/>
      <c r="L99" s="6"/>
      <c r="M99" s="6"/>
    </row>
    <row r="100" spans="1:13" x14ac:dyDescent="0.2">
      <c r="A100" s="6">
        <v>56</v>
      </c>
      <c r="B100" s="6"/>
      <c r="C100" s="38" t="s">
        <v>2916</v>
      </c>
      <c r="D100" s="92">
        <v>12.29</v>
      </c>
      <c r="E100" s="93">
        <v>203</v>
      </c>
      <c r="F100" s="6" t="s">
        <v>2827</v>
      </c>
      <c r="G100" s="6"/>
      <c r="H100" s="6"/>
      <c r="I100" s="6"/>
      <c r="J100" s="6"/>
      <c r="K100" s="6"/>
      <c r="L100" s="6"/>
      <c r="M100" s="6"/>
    </row>
    <row r="101" spans="1:13" x14ac:dyDescent="0.2">
      <c r="A101" s="6">
        <v>57</v>
      </c>
      <c r="B101" s="6"/>
      <c r="C101" s="38" t="s">
        <v>2917</v>
      </c>
      <c r="D101" s="92">
        <v>7.39</v>
      </c>
      <c r="E101" s="93">
        <v>122</v>
      </c>
      <c r="F101" s="6" t="s">
        <v>2827</v>
      </c>
      <c r="G101" s="6"/>
      <c r="H101" s="6"/>
      <c r="I101" s="6"/>
      <c r="J101" s="6"/>
      <c r="K101" s="6"/>
      <c r="L101" s="6"/>
      <c r="M101" s="6"/>
    </row>
    <row r="102" spans="1:13" x14ac:dyDescent="0.2">
      <c r="A102" s="6">
        <v>58</v>
      </c>
      <c r="B102" s="6"/>
      <c r="C102" s="38" t="s">
        <v>2918</v>
      </c>
      <c r="D102" s="92">
        <v>10.24</v>
      </c>
      <c r="E102" s="93">
        <v>170</v>
      </c>
      <c r="F102" s="6" t="s">
        <v>2827</v>
      </c>
      <c r="G102" s="6"/>
      <c r="H102" s="6"/>
      <c r="I102" s="6"/>
      <c r="J102" s="6"/>
      <c r="K102" s="6"/>
      <c r="L102" s="6"/>
      <c r="M102" s="6"/>
    </row>
    <row r="103" spans="1:13" x14ac:dyDescent="0.2">
      <c r="A103" s="6">
        <v>59</v>
      </c>
      <c r="B103" s="6"/>
      <c r="C103" s="38" t="s">
        <v>2919</v>
      </c>
      <c r="D103" s="92">
        <v>21.63</v>
      </c>
      <c r="E103" s="93">
        <v>358</v>
      </c>
      <c r="F103" s="6" t="s">
        <v>2827</v>
      </c>
      <c r="G103" s="6"/>
      <c r="H103" s="6"/>
      <c r="I103" s="6"/>
      <c r="J103" s="6"/>
      <c r="K103" s="6"/>
      <c r="L103" s="6"/>
      <c r="M103" s="6"/>
    </row>
    <row r="104" spans="1:13" x14ac:dyDescent="0.2">
      <c r="A104" s="6">
        <v>60</v>
      </c>
      <c r="B104" s="6"/>
      <c r="C104" s="38" t="s">
        <v>2920</v>
      </c>
      <c r="D104" s="92">
        <v>12.29</v>
      </c>
      <c r="E104" s="93">
        <v>203</v>
      </c>
      <c r="F104" s="6" t="s">
        <v>2827</v>
      </c>
      <c r="G104" s="6"/>
      <c r="H104" s="6"/>
      <c r="I104" s="6"/>
      <c r="J104" s="6"/>
      <c r="K104" s="6"/>
      <c r="L104" s="6"/>
      <c r="M104" s="6"/>
    </row>
    <row r="105" spans="1:13" x14ac:dyDescent="0.2">
      <c r="A105" s="6">
        <v>61</v>
      </c>
      <c r="B105" s="6"/>
      <c r="C105" s="38" t="s">
        <v>2921</v>
      </c>
      <c r="D105" s="92">
        <v>12.29</v>
      </c>
      <c r="E105" s="93">
        <v>203</v>
      </c>
      <c r="F105" s="6" t="s">
        <v>2827</v>
      </c>
      <c r="G105" s="6"/>
      <c r="H105" s="6"/>
      <c r="I105" s="6"/>
      <c r="J105" s="6"/>
      <c r="K105" s="6"/>
      <c r="L105" s="6"/>
      <c r="M105" s="6"/>
    </row>
    <row r="106" spans="1:13" x14ac:dyDescent="0.2">
      <c r="A106" s="6">
        <v>62</v>
      </c>
      <c r="B106" s="6"/>
      <c r="C106" s="38" t="s">
        <v>2922</v>
      </c>
      <c r="D106" s="92">
        <v>12.29</v>
      </c>
      <c r="E106" s="93">
        <v>203</v>
      </c>
      <c r="F106" s="6" t="s">
        <v>2827</v>
      </c>
      <c r="G106" s="6"/>
      <c r="H106" s="6"/>
      <c r="I106" s="6"/>
      <c r="J106" s="6"/>
      <c r="K106" s="6"/>
      <c r="L106" s="6"/>
      <c r="M106" s="6"/>
    </row>
    <row r="107" spans="1:13" x14ac:dyDescent="0.2">
      <c r="A107" s="6">
        <v>63</v>
      </c>
      <c r="B107" s="6"/>
      <c r="C107" s="38" t="s">
        <v>2923</v>
      </c>
      <c r="D107" s="92">
        <v>8.02</v>
      </c>
      <c r="E107" s="93">
        <v>133</v>
      </c>
      <c r="F107" s="6" t="s">
        <v>2827</v>
      </c>
      <c r="G107" s="6"/>
      <c r="H107" s="6"/>
      <c r="I107" s="6"/>
      <c r="J107" s="6"/>
      <c r="K107" s="6"/>
      <c r="L107" s="6"/>
      <c r="M107" s="6"/>
    </row>
    <row r="108" spans="1:13" x14ac:dyDescent="0.2">
      <c r="A108" s="6">
        <v>64</v>
      </c>
      <c r="B108" s="6"/>
      <c r="C108" s="38" t="s">
        <v>2924</v>
      </c>
      <c r="D108" s="92">
        <v>15.3</v>
      </c>
      <c r="E108" s="93">
        <v>253</v>
      </c>
      <c r="F108" s="6" t="s">
        <v>2827</v>
      </c>
      <c r="G108" s="6"/>
      <c r="H108" s="6"/>
      <c r="I108" s="6"/>
      <c r="J108" s="6"/>
      <c r="K108" s="6"/>
      <c r="L108" s="6"/>
      <c r="M108" s="6"/>
    </row>
    <row r="109" spans="1:13" x14ac:dyDescent="0.2">
      <c r="A109" s="6">
        <v>65</v>
      </c>
      <c r="B109" s="6"/>
      <c r="C109" s="38" t="s">
        <v>2925</v>
      </c>
      <c r="D109" s="92">
        <v>7.05</v>
      </c>
      <c r="E109" s="93">
        <v>117</v>
      </c>
      <c r="F109" s="6" t="s">
        <v>2827</v>
      </c>
      <c r="G109" s="6"/>
      <c r="H109" s="6"/>
      <c r="I109" s="6"/>
      <c r="J109" s="6"/>
      <c r="K109" s="6"/>
      <c r="L109" s="6"/>
      <c r="M109" s="6"/>
    </row>
    <row r="110" spans="1:13" x14ac:dyDescent="0.2">
      <c r="A110" s="6">
        <v>66</v>
      </c>
      <c r="B110" s="6"/>
      <c r="C110" s="38" t="s">
        <v>2926</v>
      </c>
      <c r="D110" s="92">
        <v>14.43</v>
      </c>
      <c r="E110" s="93">
        <v>239</v>
      </c>
      <c r="F110" s="6" t="s">
        <v>2827</v>
      </c>
      <c r="G110" s="6"/>
      <c r="H110" s="6"/>
      <c r="I110" s="6"/>
      <c r="J110" s="6"/>
      <c r="K110" s="6"/>
      <c r="L110" s="6"/>
      <c r="M110" s="6"/>
    </row>
    <row r="111" spans="1:13" x14ac:dyDescent="0.2">
      <c r="A111" s="6">
        <v>67</v>
      </c>
      <c r="B111" s="6"/>
      <c r="C111" s="38" t="s">
        <v>2927</v>
      </c>
      <c r="D111" s="92">
        <v>15.21</v>
      </c>
      <c r="E111" s="93">
        <v>252</v>
      </c>
      <c r="F111" s="6" t="s">
        <v>2827</v>
      </c>
      <c r="G111" s="6"/>
      <c r="H111" s="6"/>
      <c r="I111" s="6"/>
      <c r="J111" s="6"/>
      <c r="K111" s="6"/>
      <c r="L111" s="6"/>
      <c r="M111" s="6"/>
    </row>
    <row r="112" spans="1:13" x14ac:dyDescent="0.2">
      <c r="A112" s="6">
        <v>68</v>
      </c>
      <c r="B112" s="6"/>
      <c r="C112" s="38" t="s">
        <v>2928</v>
      </c>
      <c r="D112" s="92">
        <v>10.24</v>
      </c>
      <c r="E112" s="93">
        <v>170</v>
      </c>
      <c r="F112" s="6" t="s">
        <v>2827</v>
      </c>
      <c r="G112" s="6"/>
      <c r="H112" s="6"/>
      <c r="I112" s="6"/>
      <c r="J112" s="6"/>
      <c r="K112" s="6"/>
      <c r="L112" s="6"/>
      <c r="M112" s="6"/>
    </row>
    <row r="113" spans="1:13" x14ac:dyDescent="0.2">
      <c r="A113" s="6">
        <v>69</v>
      </c>
      <c r="B113" s="6"/>
      <c r="C113" s="38" t="s">
        <v>2929</v>
      </c>
      <c r="D113" s="92">
        <v>15.21</v>
      </c>
      <c r="E113" s="93">
        <v>252</v>
      </c>
      <c r="F113" s="6" t="s">
        <v>2827</v>
      </c>
      <c r="G113" s="6"/>
      <c r="H113" s="6"/>
      <c r="I113" s="6"/>
      <c r="J113" s="6"/>
      <c r="K113" s="6"/>
      <c r="L113" s="6"/>
      <c r="M113" s="6"/>
    </row>
    <row r="114" spans="1:13" x14ac:dyDescent="0.2">
      <c r="A114" s="6">
        <v>70</v>
      </c>
      <c r="B114" s="6"/>
      <c r="C114" s="38" t="s">
        <v>2930</v>
      </c>
      <c r="D114" s="92">
        <v>8.02</v>
      </c>
      <c r="E114" s="93">
        <v>133</v>
      </c>
      <c r="F114" s="6" t="s">
        <v>2827</v>
      </c>
      <c r="G114" s="6"/>
      <c r="H114" s="6"/>
      <c r="I114" s="6"/>
      <c r="J114" s="6"/>
      <c r="K114" s="6"/>
      <c r="L114" s="6"/>
      <c r="M114" s="6"/>
    </row>
    <row r="115" spans="1:13" x14ac:dyDescent="0.2">
      <c r="A115" s="6">
        <v>71</v>
      </c>
      <c r="B115" s="6"/>
      <c r="C115" s="38" t="s">
        <v>2931</v>
      </c>
      <c r="D115" s="92">
        <v>7.39</v>
      </c>
      <c r="E115" s="93">
        <v>122</v>
      </c>
      <c r="F115" s="6" t="s">
        <v>2827</v>
      </c>
      <c r="G115" s="6"/>
      <c r="H115" s="6"/>
      <c r="I115" s="6"/>
      <c r="J115" s="6"/>
      <c r="K115" s="6"/>
      <c r="L115" s="6"/>
      <c r="M115" s="6"/>
    </row>
    <row r="116" spans="1:13" x14ac:dyDescent="0.2">
      <c r="A116" s="6">
        <v>72</v>
      </c>
      <c r="B116" s="6"/>
      <c r="C116" s="38" t="s">
        <v>2932</v>
      </c>
      <c r="D116" s="92">
        <v>12.29</v>
      </c>
      <c r="E116" s="93">
        <v>203</v>
      </c>
      <c r="F116" s="6" t="s">
        <v>2827</v>
      </c>
      <c r="G116" s="6"/>
      <c r="H116" s="6"/>
      <c r="I116" s="6"/>
      <c r="J116" s="6"/>
      <c r="K116" s="6"/>
      <c r="L116" s="6"/>
      <c r="M116" s="6"/>
    </row>
    <row r="117" spans="1:13" x14ac:dyDescent="0.2">
      <c r="A117" s="6">
        <v>73</v>
      </c>
      <c r="B117" s="6"/>
      <c r="C117" s="38" t="s">
        <v>2933</v>
      </c>
      <c r="D117" s="92">
        <v>8.02</v>
      </c>
      <c r="E117" s="93">
        <v>133</v>
      </c>
      <c r="F117" s="6" t="s">
        <v>2827</v>
      </c>
      <c r="G117" s="6"/>
      <c r="H117" s="6"/>
      <c r="I117" s="6"/>
      <c r="J117" s="6"/>
      <c r="K117" s="6"/>
      <c r="L117" s="6"/>
      <c r="M117" s="6"/>
    </row>
    <row r="118" spans="1:13" x14ac:dyDescent="0.2">
      <c r="A118" s="6">
        <v>74</v>
      </c>
      <c r="B118" s="6"/>
      <c r="C118" s="38" t="s">
        <v>2934</v>
      </c>
      <c r="D118" s="92">
        <v>15.3</v>
      </c>
      <c r="E118" s="93">
        <v>253</v>
      </c>
      <c r="F118" s="6" t="s">
        <v>2827</v>
      </c>
      <c r="G118" s="6"/>
      <c r="H118" s="6"/>
      <c r="I118" s="6"/>
      <c r="J118" s="6"/>
      <c r="K118" s="6"/>
      <c r="L118" s="6"/>
      <c r="M118" s="6"/>
    </row>
    <row r="119" spans="1:13" x14ac:dyDescent="0.2">
      <c r="A119" s="6">
        <v>75</v>
      </c>
      <c r="B119" s="6"/>
      <c r="C119" s="38" t="s">
        <v>2935</v>
      </c>
      <c r="D119" s="92">
        <v>15.178000000000001</v>
      </c>
      <c r="E119" s="93">
        <v>251</v>
      </c>
      <c r="F119" s="6" t="s">
        <v>2827</v>
      </c>
      <c r="G119" s="6"/>
      <c r="H119" s="6"/>
      <c r="I119" s="6"/>
      <c r="J119" s="6"/>
      <c r="K119" s="6"/>
      <c r="L119" s="6"/>
      <c r="M119" s="6"/>
    </row>
    <row r="120" spans="1:13" x14ac:dyDescent="0.2">
      <c r="A120" s="6">
        <v>76</v>
      </c>
      <c r="B120" s="6"/>
      <c r="C120" s="38" t="s">
        <v>2936</v>
      </c>
      <c r="D120" s="92">
        <v>8.0500000000000007</v>
      </c>
      <c r="E120" s="93">
        <v>133</v>
      </c>
      <c r="F120" s="6" t="s">
        <v>2827</v>
      </c>
      <c r="G120" s="6"/>
      <c r="H120" s="6"/>
      <c r="I120" s="6"/>
      <c r="J120" s="6"/>
      <c r="K120" s="6"/>
      <c r="L120" s="6"/>
      <c r="M120" s="6"/>
    </row>
    <row r="121" spans="1:13" x14ac:dyDescent="0.2">
      <c r="A121" s="6">
        <v>77</v>
      </c>
      <c r="B121" s="6"/>
      <c r="C121" s="38" t="s">
        <v>2937</v>
      </c>
      <c r="D121" s="92">
        <v>7.2</v>
      </c>
      <c r="E121" s="93">
        <v>119</v>
      </c>
      <c r="F121" s="6" t="s">
        <v>2827</v>
      </c>
      <c r="G121" s="6"/>
      <c r="H121" s="6"/>
      <c r="I121" s="6"/>
      <c r="J121" s="6"/>
      <c r="K121" s="6"/>
      <c r="L121" s="6"/>
      <c r="M121" s="6"/>
    </row>
    <row r="122" spans="1:13" x14ac:dyDescent="0.2">
      <c r="A122" s="6">
        <v>78</v>
      </c>
      <c r="B122" s="6"/>
      <c r="C122" s="38" t="s">
        <v>2938</v>
      </c>
      <c r="D122" s="92">
        <v>14.43</v>
      </c>
      <c r="E122" s="93">
        <v>239</v>
      </c>
      <c r="F122" s="6" t="s">
        <v>2827</v>
      </c>
      <c r="G122" s="6"/>
      <c r="H122" s="6"/>
      <c r="I122" s="6"/>
      <c r="J122" s="6"/>
      <c r="K122" s="6"/>
      <c r="L122" s="6"/>
      <c r="M122" s="6"/>
    </row>
    <row r="123" spans="1:13" x14ac:dyDescent="0.2">
      <c r="A123" s="6">
        <v>79</v>
      </c>
      <c r="B123" s="6"/>
      <c r="C123" s="38" t="s">
        <v>2939</v>
      </c>
      <c r="D123" s="92">
        <v>15.21</v>
      </c>
      <c r="E123" s="93">
        <v>252</v>
      </c>
      <c r="F123" s="6" t="s">
        <v>2827</v>
      </c>
      <c r="G123" s="6"/>
      <c r="H123" s="6"/>
      <c r="I123" s="6"/>
      <c r="J123" s="6"/>
      <c r="K123" s="6"/>
      <c r="L123" s="6"/>
      <c r="M123" s="6"/>
    </row>
    <row r="124" spans="1:13" x14ac:dyDescent="0.2">
      <c r="A124" s="6">
        <v>80</v>
      </c>
      <c r="B124" s="6"/>
      <c r="C124" s="38" t="s">
        <v>2940</v>
      </c>
      <c r="D124" s="92">
        <v>8.02</v>
      </c>
      <c r="E124" s="93">
        <v>133</v>
      </c>
      <c r="F124" s="6" t="s">
        <v>2827</v>
      </c>
      <c r="G124" s="6"/>
      <c r="H124" s="6"/>
      <c r="I124" s="6"/>
      <c r="J124" s="6"/>
      <c r="K124" s="6"/>
      <c r="L124" s="6"/>
      <c r="M124" s="6"/>
    </row>
    <row r="125" spans="1:13" x14ac:dyDescent="0.2">
      <c r="A125" s="6">
        <v>81</v>
      </c>
      <c r="B125" s="6"/>
      <c r="C125" s="38" t="s">
        <v>2941</v>
      </c>
      <c r="D125" s="92">
        <v>12.29</v>
      </c>
      <c r="E125" s="93">
        <v>203</v>
      </c>
      <c r="F125" s="6" t="s">
        <v>2827</v>
      </c>
      <c r="G125" s="6"/>
      <c r="H125" s="6"/>
      <c r="I125" s="6"/>
      <c r="J125" s="6"/>
      <c r="K125" s="6"/>
      <c r="L125" s="6"/>
      <c r="M125" s="6"/>
    </row>
    <row r="126" spans="1:13" x14ac:dyDescent="0.2">
      <c r="A126" s="6">
        <v>82</v>
      </c>
      <c r="B126" s="6"/>
      <c r="C126" s="38" t="s">
        <v>2942</v>
      </c>
      <c r="D126" s="92">
        <v>8.02</v>
      </c>
      <c r="E126" s="93">
        <v>133</v>
      </c>
      <c r="F126" s="6" t="s">
        <v>2827</v>
      </c>
      <c r="G126" s="6"/>
      <c r="H126" s="6"/>
      <c r="I126" s="6"/>
      <c r="J126" s="6"/>
      <c r="K126" s="6"/>
      <c r="L126" s="6"/>
      <c r="M126" s="6"/>
    </row>
    <row r="127" spans="1:13" x14ac:dyDescent="0.2">
      <c r="A127" s="6">
        <v>83</v>
      </c>
      <c r="B127" s="6"/>
      <c r="C127" s="38" t="s">
        <v>2943</v>
      </c>
      <c r="D127" s="92">
        <v>15.3</v>
      </c>
      <c r="E127" s="93">
        <v>253</v>
      </c>
      <c r="F127" s="6" t="s">
        <v>2827</v>
      </c>
      <c r="G127" s="6"/>
      <c r="H127" s="6"/>
      <c r="I127" s="6"/>
      <c r="J127" s="6"/>
      <c r="K127" s="6"/>
      <c r="L127" s="6"/>
      <c r="M127" s="6"/>
    </row>
    <row r="128" spans="1:13" x14ac:dyDescent="0.2">
      <c r="A128" s="6">
        <v>84</v>
      </c>
      <c r="B128" s="6"/>
      <c r="C128" s="38" t="s">
        <v>2944</v>
      </c>
      <c r="D128" s="92">
        <v>7.05</v>
      </c>
      <c r="E128" s="93">
        <v>117</v>
      </c>
      <c r="F128" s="6" t="s">
        <v>2827</v>
      </c>
      <c r="G128" s="6"/>
      <c r="H128" s="6"/>
      <c r="I128" s="6"/>
      <c r="J128" s="6"/>
      <c r="K128" s="6"/>
      <c r="L128" s="6"/>
      <c r="M128" s="6"/>
    </row>
    <row r="129" spans="1:13" x14ac:dyDescent="0.2">
      <c r="A129" s="6">
        <v>85</v>
      </c>
      <c r="B129" s="6"/>
      <c r="C129" s="38" t="s">
        <v>2945</v>
      </c>
      <c r="D129" s="92">
        <v>14.43</v>
      </c>
      <c r="E129" s="93">
        <v>239</v>
      </c>
      <c r="F129" s="6" t="s">
        <v>2827</v>
      </c>
      <c r="G129" s="6"/>
      <c r="H129" s="6"/>
      <c r="I129" s="6"/>
      <c r="J129" s="6"/>
      <c r="K129" s="6"/>
      <c r="L129" s="6"/>
      <c r="M129" s="6"/>
    </row>
    <row r="130" spans="1:13" x14ac:dyDescent="0.2">
      <c r="A130" s="6">
        <v>86</v>
      </c>
      <c r="B130" s="6"/>
      <c r="C130" s="38" t="s">
        <v>2946</v>
      </c>
      <c r="D130" s="92">
        <v>15.21</v>
      </c>
      <c r="E130" s="93">
        <v>252</v>
      </c>
      <c r="F130" s="6" t="s">
        <v>2827</v>
      </c>
      <c r="G130" s="6"/>
      <c r="H130" s="6"/>
      <c r="I130" s="6"/>
      <c r="J130" s="6"/>
      <c r="K130" s="6"/>
      <c r="L130" s="6"/>
      <c r="M130" s="6"/>
    </row>
    <row r="131" spans="1:13" x14ac:dyDescent="0.2">
      <c r="A131" s="6">
        <v>87</v>
      </c>
      <c r="B131" s="6"/>
      <c r="C131" s="38" t="s">
        <v>2947</v>
      </c>
      <c r="D131" s="92">
        <v>10.24</v>
      </c>
      <c r="E131" s="93">
        <v>170</v>
      </c>
      <c r="F131" s="6" t="s">
        <v>2827</v>
      </c>
      <c r="G131" s="6"/>
      <c r="H131" s="6"/>
      <c r="I131" s="6"/>
      <c r="J131" s="6"/>
      <c r="K131" s="6"/>
      <c r="L131" s="6"/>
      <c r="M131" s="6"/>
    </row>
    <row r="132" spans="1:13" x14ac:dyDescent="0.2">
      <c r="A132" s="6">
        <v>88</v>
      </c>
      <c r="B132" s="6"/>
      <c r="C132" s="38" t="s">
        <v>2948</v>
      </c>
      <c r="D132" s="92">
        <v>15.178000000000001</v>
      </c>
      <c r="E132" s="93">
        <v>251</v>
      </c>
      <c r="F132" s="6" t="s">
        <v>2827</v>
      </c>
      <c r="G132" s="6"/>
      <c r="H132" s="6"/>
      <c r="I132" s="6"/>
      <c r="J132" s="6"/>
      <c r="K132" s="6"/>
      <c r="L132" s="6"/>
      <c r="M132" s="6"/>
    </row>
    <row r="133" spans="1:13" x14ac:dyDescent="0.2">
      <c r="A133" s="6">
        <v>89</v>
      </c>
      <c r="B133" s="6"/>
      <c r="C133" s="38" t="s">
        <v>2949</v>
      </c>
      <c r="D133" s="92">
        <v>12.29</v>
      </c>
      <c r="E133" s="93">
        <v>203</v>
      </c>
      <c r="F133" s="6" t="s">
        <v>2827</v>
      </c>
      <c r="G133" s="6"/>
      <c r="H133" s="6"/>
      <c r="I133" s="6"/>
      <c r="J133" s="6"/>
      <c r="K133" s="6"/>
      <c r="L133" s="6"/>
      <c r="M133" s="6"/>
    </row>
    <row r="134" spans="1:13" x14ac:dyDescent="0.2">
      <c r="A134" s="6">
        <v>90</v>
      </c>
      <c r="B134" s="6"/>
      <c r="C134" s="38" t="s">
        <v>2950</v>
      </c>
      <c r="D134" s="92">
        <v>8.02</v>
      </c>
      <c r="E134" s="93">
        <v>133</v>
      </c>
      <c r="F134" s="6" t="s">
        <v>2827</v>
      </c>
      <c r="G134" s="6"/>
      <c r="H134" s="6"/>
      <c r="I134" s="6"/>
      <c r="J134" s="6"/>
      <c r="K134" s="6"/>
      <c r="L134" s="6"/>
      <c r="M134" s="6"/>
    </row>
    <row r="135" spans="1:13" x14ac:dyDescent="0.2">
      <c r="A135" s="6">
        <v>91</v>
      </c>
      <c r="B135" s="6"/>
      <c r="C135" s="38" t="s">
        <v>2951</v>
      </c>
      <c r="D135" s="92">
        <v>15.3</v>
      </c>
      <c r="E135" s="93">
        <v>253</v>
      </c>
      <c r="F135" s="6" t="s">
        <v>2827</v>
      </c>
      <c r="G135" s="6"/>
      <c r="H135" s="6"/>
      <c r="I135" s="6"/>
      <c r="J135" s="6"/>
      <c r="K135" s="6"/>
      <c r="L135" s="6"/>
      <c r="M135" s="6"/>
    </row>
    <row r="136" spans="1:13" x14ac:dyDescent="0.2">
      <c r="A136" s="6">
        <v>92</v>
      </c>
      <c r="B136" s="6"/>
      <c r="C136" s="38" t="s">
        <v>2952</v>
      </c>
      <c r="D136" s="92">
        <v>7.05</v>
      </c>
      <c r="E136" s="93">
        <v>117</v>
      </c>
      <c r="F136" s="6" t="s">
        <v>2827</v>
      </c>
      <c r="G136" s="6"/>
      <c r="H136" s="6"/>
      <c r="I136" s="6"/>
      <c r="J136" s="6"/>
      <c r="K136" s="6"/>
      <c r="L136" s="6"/>
      <c r="M136" s="6"/>
    </row>
    <row r="137" spans="1:13" x14ac:dyDescent="0.2">
      <c r="A137" s="6">
        <v>93</v>
      </c>
      <c r="B137" s="6"/>
      <c r="C137" s="38" t="s">
        <v>2953</v>
      </c>
      <c r="D137" s="92">
        <v>14.43</v>
      </c>
      <c r="E137" s="93">
        <v>239</v>
      </c>
      <c r="F137" s="6" t="s">
        <v>2827</v>
      </c>
      <c r="G137" s="6"/>
      <c r="H137" s="6"/>
      <c r="I137" s="6"/>
      <c r="J137" s="6"/>
      <c r="K137" s="6"/>
      <c r="L137" s="6"/>
      <c r="M137" s="6"/>
    </row>
    <row r="138" spans="1:13" x14ac:dyDescent="0.2">
      <c r="A138" s="6">
        <v>94</v>
      </c>
      <c r="B138" s="6"/>
      <c r="C138" s="38" t="s">
        <v>2954</v>
      </c>
      <c r="D138" s="92">
        <v>15.21</v>
      </c>
      <c r="E138" s="93">
        <v>252</v>
      </c>
      <c r="F138" s="6" t="s">
        <v>2827</v>
      </c>
      <c r="G138" s="6"/>
      <c r="H138" s="6"/>
      <c r="I138" s="6"/>
      <c r="J138" s="6"/>
      <c r="K138" s="6"/>
      <c r="L138" s="6"/>
      <c r="M138" s="6"/>
    </row>
    <row r="139" spans="1:13" x14ac:dyDescent="0.2">
      <c r="A139" s="6">
        <v>95</v>
      </c>
      <c r="B139" s="6"/>
      <c r="C139" s="38" t="s">
        <v>2955</v>
      </c>
      <c r="D139" s="92">
        <v>10.24</v>
      </c>
      <c r="E139" s="93">
        <v>170</v>
      </c>
      <c r="F139" s="6" t="s">
        <v>2827</v>
      </c>
      <c r="G139" s="6"/>
      <c r="H139" s="6"/>
      <c r="I139" s="6"/>
      <c r="J139" s="6"/>
      <c r="K139" s="6"/>
      <c r="L139" s="6"/>
      <c r="M139" s="6"/>
    </row>
    <row r="140" spans="1:13" x14ac:dyDescent="0.2">
      <c r="A140" s="6">
        <v>96</v>
      </c>
      <c r="B140" s="6"/>
      <c r="C140" s="38" t="s">
        <v>2956</v>
      </c>
      <c r="D140" s="92">
        <v>15.178000000000001</v>
      </c>
      <c r="E140" s="93">
        <v>251</v>
      </c>
      <c r="F140" s="6" t="s">
        <v>2827</v>
      </c>
      <c r="G140" s="6"/>
      <c r="H140" s="6"/>
      <c r="I140" s="6"/>
      <c r="J140" s="6"/>
      <c r="K140" s="6"/>
      <c r="L140" s="6"/>
      <c r="M140" s="6"/>
    </row>
    <row r="141" spans="1:13" x14ac:dyDescent="0.2">
      <c r="A141" s="6">
        <v>97</v>
      </c>
      <c r="B141" s="6"/>
      <c r="C141" s="38" t="s">
        <v>2957</v>
      </c>
      <c r="D141" s="92">
        <v>8.0500000000000007</v>
      </c>
      <c r="E141" s="93">
        <v>133</v>
      </c>
      <c r="F141" s="6" t="s">
        <v>2827</v>
      </c>
      <c r="G141" s="6"/>
      <c r="H141" s="6"/>
      <c r="I141" s="6"/>
      <c r="J141" s="6"/>
      <c r="K141" s="6"/>
      <c r="L141" s="6"/>
      <c r="M141" s="6"/>
    </row>
    <row r="142" spans="1:13" x14ac:dyDescent="0.2">
      <c r="A142" s="6">
        <v>98</v>
      </c>
      <c r="B142" s="6"/>
      <c r="C142" s="38" t="s">
        <v>2958</v>
      </c>
      <c r="D142" s="92">
        <v>7.2</v>
      </c>
      <c r="E142" s="93">
        <v>119</v>
      </c>
      <c r="F142" s="6" t="s">
        <v>2827</v>
      </c>
      <c r="G142" s="6"/>
      <c r="H142" s="6"/>
      <c r="I142" s="6"/>
      <c r="J142" s="6"/>
      <c r="K142" s="6"/>
      <c r="L142" s="6"/>
      <c r="M142" s="6"/>
    </row>
    <row r="143" spans="1:13" x14ac:dyDescent="0.2">
      <c r="A143" s="6">
        <v>99</v>
      </c>
      <c r="B143" s="6"/>
      <c r="C143" s="38" t="s">
        <v>2959</v>
      </c>
      <c r="D143" s="92">
        <v>14.43</v>
      </c>
      <c r="E143" s="93">
        <v>239</v>
      </c>
      <c r="F143" s="6" t="s">
        <v>2827</v>
      </c>
      <c r="G143" s="6"/>
      <c r="H143" s="6"/>
      <c r="I143" s="6"/>
      <c r="J143" s="6"/>
      <c r="K143" s="6"/>
      <c r="L143" s="6"/>
      <c r="M143" s="6"/>
    </row>
    <row r="144" spans="1:13" x14ac:dyDescent="0.2">
      <c r="A144" s="6">
        <v>100</v>
      </c>
      <c r="B144" s="6"/>
      <c r="C144" s="38" t="s">
        <v>2960</v>
      </c>
      <c r="D144" s="92">
        <v>15.21</v>
      </c>
      <c r="E144" s="93">
        <v>252</v>
      </c>
      <c r="F144" s="6" t="s">
        <v>2827</v>
      </c>
      <c r="G144" s="6"/>
      <c r="H144" s="6"/>
      <c r="I144" s="6"/>
      <c r="J144" s="6"/>
      <c r="K144" s="6"/>
      <c r="L144" s="6"/>
      <c r="M144" s="6"/>
    </row>
    <row r="145" spans="1:13" x14ac:dyDescent="0.2">
      <c r="A145" s="6">
        <v>101</v>
      </c>
      <c r="B145" s="6"/>
      <c r="C145" s="38" t="s">
        <v>2961</v>
      </c>
      <c r="D145" s="92">
        <v>8.02</v>
      </c>
      <c r="E145" s="93">
        <v>133</v>
      </c>
      <c r="F145" s="6" t="s">
        <v>2827</v>
      </c>
      <c r="G145" s="6"/>
      <c r="H145" s="6"/>
      <c r="I145" s="6"/>
      <c r="J145" s="6"/>
      <c r="K145" s="6"/>
      <c r="L145" s="6"/>
      <c r="M145" s="6"/>
    </row>
    <row r="146" spans="1:13" x14ac:dyDescent="0.2">
      <c r="A146" s="6">
        <v>102</v>
      </c>
      <c r="B146" s="6"/>
      <c r="C146" s="38" t="s">
        <v>2962</v>
      </c>
      <c r="D146" s="92">
        <v>12.29</v>
      </c>
      <c r="E146" s="93">
        <v>203</v>
      </c>
      <c r="F146" s="6" t="s">
        <v>2827</v>
      </c>
      <c r="G146" s="6"/>
      <c r="H146" s="6"/>
      <c r="I146" s="6"/>
      <c r="J146" s="6"/>
      <c r="K146" s="6"/>
      <c r="L146" s="6"/>
      <c r="M146" s="6"/>
    </row>
    <row r="147" spans="1:13" x14ac:dyDescent="0.2">
      <c r="A147" s="6">
        <v>103</v>
      </c>
      <c r="B147" s="6"/>
      <c r="C147" s="38" t="s">
        <v>2963</v>
      </c>
      <c r="D147" s="92">
        <v>8.02</v>
      </c>
      <c r="E147" s="93">
        <v>133</v>
      </c>
      <c r="F147" s="6" t="s">
        <v>2827</v>
      </c>
      <c r="G147" s="6"/>
      <c r="H147" s="6"/>
      <c r="I147" s="6"/>
      <c r="J147" s="6"/>
      <c r="K147" s="6"/>
      <c r="L147" s="6"/>
      <c r="M147" s="6"/>
    </row>
    <row r="148" spans="1:13" x14ac:dyDescent="0.2">
      <c r="A148" s="6">
        <v>104</v>
      </c>
      <c r="B148" s="6"/>
      <c r="C148" s="38" t="s">
        <v>2964</v>
      </c>
      <c r="D148" s="92">
        <v>15.3</v>
      </c>
      <c r="E148" s="93">
        <v>253</v>
      </c>
      <c r="F148" s="6" t="s">
        <v>2827</v>
      </c>
      <c r="G148" s="6"/>
      <c r="H148" s="6"/>
      <c r="I148" s="6"/>
      <c r="J148" s="6"/>
      <c r="K148" s="6"/>
      <c r="L148" s="6"/>
      <c r="M148" s="6"/>
    </row>
    <row r="149" spans="1:13" x14ac:dyDescent="0.2">
      <c r="A149" s="6">
        <v>105</v>
      </c>
      <c r="B149" s="6"/>
      <c r="C149" s="38" t="s">
        <v>2965</v>
      </c>
      <c r="D149" s="92">
        <v>7.05</v>
      </c>
      <c r="E149" s="93">
        <v>117</v>
      </c>
      <c r="F149" s="6" t="s">
        <v>2827</v>
      </c>
      <c r="G149" s="6"/>
      <c r="H149" s="6"/>
      <c r="I149" s="6"/>
      <c r="J149" s="6"/>
      <c r="K149" s="6"/>
      <c r="L149" s="6"/>
      <c r="M149" s="6"/>
    </row>
    <row r="150" spans="1:13" x14ac:dyDescent="0.2">
      <c r="A150" s="6">
        <v>106</v>
      </c>
      <c r="B150" s="6"/>
      <c r="C150" s="38" t="s">
        <v>2966</v>
      </c>
      <c r="D150" s="92">
        <v>14.43</v>
      </c>
      <c r="E150" s="93">
        <v>239</v>
      </c>
      <c r="F150" s="6" t="s">
        <v>2827</v>
      </c>
      <c r="G150" s="6"/>
      <c r="H150" s="6"/>
      <c r="I150" s="6"/>
      <c r="J150" s="6"/>
      <c r="K150" s="6"/>
      <c r="L150" s="6"/>
      <c r="M150" s="6"/>
    </row>
    <row r="151" spans="1:13" x14ac:dyDescent="0.2">
      <c r="A151" s="6">
        <v>107</v>
      </c>
      <c r="B151" s="6"/>
      <c r="C151" s="38" t="s">
        <v>2967</v>
      </c>
      <c r="D151" s="92">
        <v>15.21</v>
      </c>
      <c r="E151" s="93">
        <v>252</v>
      </c>
      <c r="F151" s="6" t="s">
        <v>2827</v>
      </c>
      <c r="G151" s="6"/>
      <c r="H151" s="6"/>
      <c r="I151" s="6"/>
      <c r="J151" s="6"/>
      <c r="K151" s="6"/>
      <c r="L151" s="6"/>
      <c r="M151" s="6"/>
    </row>
    <row r="152" spans="1:13" x14ac:dyDescent="0.2">
      <c r="A152" s="6">
        <v>108</v>
      </c>
      <c r="B152" s="6"/>
      <c r="C152" s="38" t="s">
        <v>2968</v>
      </c>
      <c r="D152" s="92">
        <v>10.24</v>
      </c>
      <c r="E152" s="93">
        <v>170</v>
      </c>
      <c r="F152" s="6" t="s">
        <v>2827</v>
      </c>
      <c r="G152" s="6"/>
      <c r="H152" s="6"/>
      <c r="I152" s="6"/>
      <c r="J152" s="6"/>
      <c r="K152" s="6"/>
      <c r="L152" s="6"/>
      <c r="M152" s="6"/>
    </row>
    <row r="153" spans="1:13" x14ac:dyDescent="0.2">
      <c r="A153" s="6">
        <v>109</v>
      </c>
      <c r="B153" s="6"/>
      <c r="C153" s="38" t="s">
        <v>2969</v>
      </c>
      <c r="D153" s="92">
        <v>15.178000000000001</v>
      </c>
      <c r="E153" s="93">
        <v>251</v>
      </c>
      <c r="F153" s="6" t="s">
        <v>2827</v>
      </c>
      <c r="G153" s="6"/>
      <c r="H153" s="6"/>
      <c r="I153" s="6"/>
      <c r="J153" s="6"/>
      <c r="K153" s="6"/>
      <c r="L153" s="6"/>
      <c r="M153" s="6"/>
    </row>
    <row r="154" spans="1:13" x14ac:dyDescent="0.2">
      <c r="A154" s="6">
        <v>110</v>
      </c>
      <c r="B154" s="6"/>
      <c r="C154" s="38" t="s">
        <v>2970</v>
      </c>
      <c r="D154" s="92">
        <v>8.0500000000000007</v>
      </c>
      <c r="E154" s="93">
        <v>133</v>
      </c>
      <c r="F154" s="6" t="s">
        <v>2827</v>
      </c>
      <c r="G154" s="6"/>
      <c r="H154" s="6"/>
      <c r="I154" s="6"/>
      <c r="J154" s="6"/>
      <c r="K154" s="6"/>
      <c r="L154" s="6"/>
      <c r="M154" s="6"/>
    </row>
    <row r="155" spans="1:13" x14ac:dyDescent="0.2">
      <c r="A155" s="6">
        <v>111</v>
      </c>
      <c r="B155" s="6"/>
      <c r="C155" s="38" t="s">
        <v>2971</v>
      </c>
      <c r="D155" s="92">
        <v>7.2</v>
      </c>
      <c r="E155" s="93">
        <v>119</v>
      </c>
      <c r="F155" s="6" t="s">
        <v>2827</v>
      </c>
      <c r="G155" s="6"/>
      <c r="H155" s="6"/>
      <c r="I155" s="6"/>
      <c r="J155" s="6"/>
      <c r="K155" s="6"/>
      <c r="L155" s="6"/>
      <c r="M155" s="6"/>
    </row>
    <row r="156" spans="1:13" x14ac:dyDescent="0.2">
      <c r="A156" s="6">
        <v>112</v>
      </c>
      <c r="B156" s="6"/>
      <c r="C156" s="38" t="s">
        <v>2972</v>
      </c>
      <c r="D156" s="92">
        <v>14.43</v>
      </c>
      <c r="E156" s="93">
        <v>239</v>
      </c>
      <c r="F156" s="6" t="s">
        <v>2827</v>
      </c>
      <c r="G156" s="6"/>
      <c r="H156" s="6"/>
      <c r="I156" s="6"/>
      <c r="J156" s="6"/>
      <c r="K156" s="6"/>
      <c r="L156" s="6"/>
      <c r="M156" s="6"/>
    </row>
    <row r="157" spans="1:13" x14ac:dyDescent="0.2">
      <c r="A157" s="6">
        <v>113</v>
      </c>
      <c r="B157" s="6"/>
      <c r="C157" s="38" t="s">
        <v>2973</v>
      </c>
      <c r="D157" s="92">
        <v>15.21</v>
      </c>
      <c r="E157" s="93">
        <v>252</v>
      </c>
      <c r="F157" s="6" t="s">
        <v>2827</v>
      </c>
      <c r="G157" s="6"/>
      <c r="H157" s="6"/>
      <c r="I157" s="6"/>
      <c r="J157" s="6"/>
      <c r="K157" s="6"/>
      <c r="L157" s="6"/>
      <c r="M157" s="6"/>
    </row>
    <row r="158" spans="1:13" x14ac:dyDescent="0.2">
      <c r="A158" s="6">
        <v>114</v>
      </c>
      <c r="B158" s="6"/>
      <c r="C158" s="38" t="s">
        <v>2974</v>
      </c>
      <c r="D158" s="92">
        <v>8.02</v>
      </c>
      <c r="E158" s="93">
        <v>133</v>
      </c>
      <c r="F158" s="6" t="s">
        <v>2827</v>
      </c>
      <c r="G158" s="6"/>
      <c r="H158" s="6"/>
      <c r="I158" s="6"/>
      <c r="J158" s="6"/>
      <c r="K158" s="6"/>
      <c r="L158" s="6"/>
      <c r="M158" s="6"/>
    </row>
    <row r="159" spans="1:13" x14ac:dyDescent="0.2">
      <c r="A159" s="6">
        <v>115</v>
      </c>
      <c r="B159" s="6"/>
      <c r="C159" s="38" t="s">
        <v>2975</v>
      </c>
      <c r="D159" s="92">
        <v>7.05</v>
      </c>
      <c r="E159" s="93">
        <v>117</v>
      </c>
      <c r="F159" s="6" t="s">
        <v>2827</v>
      </c>
      <c r="G159" s="6"/>
      <c r="H159" s="6"/>
      <c r="I159" s="6"/>
      <c r="J159" s="6"/>
      <c r="K159" s="6"/>
      <c r="L159" s="6"/>
      <c r="M159" s="6"/>
    </row>
  </sheetData>
  <mergeCells count="2">
    <mergeCell ref="A8:M8"/>
    <mergeCell ref="A43:M43"/>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3:I25"/>
  <sheetViews>
    <sheetView workbookViewId="0">
      <selection activeCell="F26" sqref="F26"/>
    </sheetView>
  </sheetViews>
  <sheetFormatPr defaultRowHeight="15" x14ac:dyDescent="0.25"/>
  <cols>
    <col min="2" max="2" width="11.5703125" bestFit="1" customWidth="1"/>
    <col min="4" max="4" width="15.7109375" customWidth="1"/>
    <col min="5" max="5" width="11.5703125" bestFit="1" customWidth="1"/>
    <col min="6" max="6" width="16.85546875" bestFit="1" customWidth="1"/>
    <col min="7" max="7" width="22.28515625" bestFit="1" customWidth="1"/>
    <col min="8" max="8" width="19" bestFit="1" customWidth="1"/>
    <col min="9" max="9" width="20.7109375" bestFit="1" customWidth="1"/>
  </cols>
  <sheetData>
    <row r="3" spans="4:9" ht="15.75" x14ac:dyDescent="0.25">
      <c r="D3" s="193" t="s">
        <v>3056</v>
      </c>
      <c r="E3" s="193"/>
      <c r="F3" s="193"/>
      <c r="G3" s="193"/>
      <c r="H3" s="193"/>
      <c r="I3" s="193"/>
    </row>
    <row r="4" spans="4:9" ht="27.75" x14ac:dyDescent="0.25">
      <c r="D4" s="124" t="s">
        <v>887</v>
      </c>
      <c r="E4" s="124" t="s">
        <v>888</v>
      </c>
      <c r="F4" s="124" t="s">
        <v>3057</v>
      </c>
      <c r="G4" s="124" t="s">
        <v>889</v>
      </c>
      <c r="H4" s="124" t="s">
        <v>890</v>
      </c>
      <c r="I4" s="124" t="s">
        <v>891</v>
      </c>
    </row>
    <row r="5" spans="4:9" x14ac:dyDescent="0.25">
      <c r="D5" s="194" t="s">
        <v>2795</v>
      </c>
      <c r="E5" s="194"/>
      <c r="F5" s="194"/>
      <c r="G5" s="194"/>
      <c r="H5" s="194"/>
      <c r="I5" s="194"/>
    </row>
    <row r="6" spans="4:9" ht="15.75" x14ac:dyDescent="0.25">
      <c r="D6" s="130" t="s">
        <v>32</v>
      </c>
      <c r="E6" s="15">
        <f>'Inventory Details'!$D$7</f>
        <v>413</v>
      </c>
      <c r="F6" s="130">
        <f>'Inventory Details'!$G$7</f>
        <v>308700</v>
      </c>
      <c r="G6" s="97">
        <f>'Data Provided(Inventory list-I)'!$M$443</f>
        <v>671485468</v>
      </c>
      <c r="H6" s="19">
        <f>I6-G6</f>
        <v>25363016</v>
      </c>
      <c r="I6" s="97">
        <f>'Data Provided(Inventory list-I)'!$L$443</f>
        <v>696848484</v>
      </c>
    </row>
    <row r="7" spans="4:9" ht="15.75" x14ac:dyDescent="0.25">
      <c r="D7" s="130" t="s">
        <v>892</v>
      </c>
      <c r="E7" s="15">
        <f>'Inventory Details'!$E$7</f>
        <v>27</v>
      </c>
      <c r="F7" s="15">
        <f>'Inventory Details'!$H$7</f>
        <v>20800</v>
      </c>
      <c r="G7" s="17">
        <v>0</v>
      </c>
      <c r="H7" s="17">
        <v>0</v>
      </c>
      <c r="I7" s="17">
        <v>0</v>
      </c>
    </row>
    <row r="8" spans="4:9" x14ac:dyDescent="0.25">
      <c r="D8" s="131" t="s">
        <v>881</v>
      </c>
      <c r="E8" s="131">
        <f>'Inventory Details'!$F$7</f>
        <v>440</v>
      </c>
      <c r="F8" s="131">
        <f>'Inventory Details'!$I$7</f>
        <v>329500</v>
      </c>
      <c r="G8" s="144">
        <f>SUM(G6:G7)</f>
        <v>671485468</v>
      </c>
      <c r="H8" s="144">
        <f t="shared" ref="H8:I8" si="0">SUM(H6:H7)</f>
        <v>25363016</v>
      </c>
      <c r="I8" s="144">
        <f t="shared" si="0"/>
        <v>696848484</v>
      </c>
    </row>
    <row r="9" spans="4:9" x14ac:dyDescent="0.25">
      <c r="D9" s="194" t="s">
        <v>904</v>
      </c>
      <c r="E9" s="194"/>
      <c r="F9" s="194"/>
      <c r="G9" s="194"/>
      <c r="H9" s="194"/>
      <c r="I9" s="194"/>
    </row>
    <row r="10" spans="4:9" ht="15.75" x14ac:dyDescent="0.25">
      <c r="D10" s="65" t="s">
        <v>32</v>
      </c>
      <c r="E10" s="15">
        <f>'Inventory Details'!$D$11</f>
        <v>648</v>
      </c>
      <c r="F10" s="15">
        <f>'Inventory Details'!$G$11</f>
        <v>600760</v>
      </c>
      <c r="G10" s="70">
        <f>'Inventory list-Phase 2'!$M$814</f>
        <v>1358504837.27</v>
      </c>
      <c r="H10" s="70">
        <v>190004779.73000002</v>
      </c>
      <c r="I10" s="70">
        <f>'Inventory list-Phase 2'!$L$814</f>
        <v>1548509617</v>
      </c>
    </row>
    <row r="11" spans="4:9" ht="15.75" x14ac:dyDescent="0.25">
      <c r="D11" s="65" t="s">
        <v>892</v>
      </c>
      <c r="E11" s="15">
        <f>'Inventory Details'!$E$11</f>
        <v>162</v>
      </c>
      <c r="F11" s="66">
        <f>'Inventory Details'!$H$11</f>
        <v>153810</v>
      </c>
      <c r="G11" s="19">
        <v>0</v>
      </c>
      <c r="H11" s="19">
        <v>0</v>
      </c>
      <c r="I11" s="19">
        <v>0</v>
      </c>
    </row>
    <row r="12" spans="4:9" ht="15.75" x14ac:dyDescent="0.25">
      <c r="D12" s="131" t="s">
        <v>881</v>
      </c>
      <c r="E12" s="131">
        <f>'Inventory Details'!$F$11</f>
        <v>810</v>
      </c>
      <c r="F12" s="129">
        <f>'Inventory Details'!$I$11</f>
        <v>754570</v>
      </c>
      <c r="G12" s="144">
        <f>SUM(G10:G11)</f>
        <v>1358504837.27</v>
      </c>
      <c r="H12" s="144">
        <f t="shared" ref="H12:I12" si="1">SUM(H10:H11)</f>
        <v>190004779.73000002</v>
      </c>
      <c r="I12" s="144">
        <f t="shared" si="1"/>
        <v>1548509617</v>
      </c>
    </row>
    <row r="13" spans="4:9" x14ac:dyDescent="0.25">
      <c r="D13" s="194" t="s">
        <v>2323</v>
      </c>
      <c r="E13" s="194"/>
      <c r="F13" s="194"/>
      <c r="G13" s="194"/>
      <c r="H13" s="194"/>
      <c r="I13" s="194"/>
    </row>
    <row r="14" spans="4:9" ht="15.75" x14ac:dyDescent="0.25">
      <c r="D14" s="65" t="s">
        <v>32</v>
      </c>
      <c r="E14" s="67">
        <f>'Inventory Details'!$D$16</f>
        <v>49</v>
      </c>
      <c r="F14" s="67">
        <f>'Inventory Details'!$G$16</f>
        <v>40670</v>
      </c>
      <c r="G14" s="98">
        <f>'Inventory list-Phase 3'!$M$434</f>
        <v>20640653</v>
      </c>
      <c r="H14" s="98">
        <f>I14-G14</f>
        <v>110318679</v>
      </c>
      <c r="I14" s="98">
        <f>'Inventory list-Phase 3'!$L$434</f>
        <v>130959332</v>
      </c>
    </row>
    <row r="15" spans="4:9" ht="15.75" x14ac:dyDescent="0.25">
      <c r="D15" s="65" t="s">
        <v>892</v>
      </c>
      <c r="E15" s="67">
        <f>'Inventory Details'!$E$16</f>
        <v>381</v>
      </c>
      <c r="F15" s="67">
        <f>'Inventory Details'!$H$16</f>
        <v>332500</v>
      </c>
      <c r="G15" s="19">
        <v>0</v>
      </c>
      <c r="H15" s="19">
        <v>0</v>
      </c>
      <c r="I15" s="19">
        <v>0</v>
      </c>
    </row>
    <row r="16" spans="4:9" ht="15.75" x14ac:dyDescent="0.25">
      <c r="D16" s="131" t="s">
        <v>881</v>
      </c>
      <c r="E16" s="129">
        <f>'Inventory Details'!$F$16</f>
        <v>430</v>
      </c>
      <c r="F16" s="129">
        <f>'Inventory Details'!$I$16</f>
        <v>373170</v>
      </c>
      <c r="G16" s="144">
        <f>SUM(G14:G15)</f>
        <v>20640653</v>
      </c>
      <c r="H16" s="144">
        <f t="shared" ref="H16:I16" si="2">SUM(H14:H15)</f>
        <v>110318679</v>
      </c>
      <c r="I16" s="144">
        <f t="shared" si="2"/>
        <v>130959332</v>
      </c>
    </row>
    <row r="17" spans="4:9" x14ac:dyDescent="0.25">
      <c r="D17" s="194" t="s">
        <v>3059</v>
      </c>
      <c r="E17" s="194"/>
      <c r="F17" s="194"/>
      <c r="G17" s="194"/>
      <c r="H17" s="194"/>
      <c r="I17" s="194"/>
    </row>
    <row r="18" spans="4:9" ht="15.75" x14ac:dyDescent="0.25">
      <c r="D18" s="65" t="s">
        <v>32</v>
      </c>
      <c r="E18" s="67">
        <f>'Inventory Details'!$D$20</f>
        <v>0</v>
      </c>
      <c r="F18" s="67">
        <f>'Inventory Details'!$G$20</f>
        <v>0</v>
      </c>
      <c r="G18" s="19">
        <v>0</v>
      </c>
      <c r="H18" s="19">
        <v>0</v>
      </c>
      <c r="I18" s="19">
        <v>0</v>
      </c>
    </row>
    <row r="19" spans="4:9" ht="15.75" x14ac:dyDescent="0.25">
      <c r="D19" s="65" t="s">
        <v>892</v>
      </c>
      <c r="E19" s="67">
        <f>'Inventory Details'!$E$20</f>
        <v>146</v>
      </c>
      <c r="F19" s="99">
        <f>'Inventory Details'!$H$20</f>
        <v>38903</v>
      </c>
      <c r="G19" s="19">
        <v>0</v>
      </c>
      <c r="H19" s="19">
        <v>0</v>
      </c>
      <c r="I19" s="19">
        <v>0</v>
      </c>
    </row>
    <row r="20" spans="4:9" ht="15.75" x14ac:dyDescent="0.25">
      <c r="D20" s="131" t="s">
        <v>881</v>
      </c>
      <c r="E20" s="129">
        <f>'Inventory Details'!$F$20</f>
        <v>146</v>
      </c>
      <c r="F20" s="145">
        <f>'Inventory Details'!$I$20</f>
        <v>38903</v>
      </c>
      <c r="G20" s="144">
        <f>SUM(G18:G19)</f>
        <v>0</v>
      </c>
      <c r="H20" s="144">
        <f t="shared" ref="H20:I20" si="3">SUM(H18:H19)</f>
        <v>0</v>
      </c>
      <c r="I20" s="144">
        <f t="shared" si="3"/>
        <v>0</v>
      </c>
    </row>
    <row r="21" spans="4:9" x14ac:dyDescent="0.25">
      <c r="D21" s="195"/>
      <c r="E21" s="196"/>
      <c r="F21" s="196"/>
      <c r="G21" s="196"/>
      <c r="H21" s="196"/>
      <c r="I21" s="197"/>
    </row>
    <row r="22" spans="4:9" ht="15.75" x14ac:dyDescent="0.25">
      <c r="D22" s="192" t="s">
        <v>3052</v>
      </c>
      <c r="E22" s="192"/>
      <c r="F22" s="192"/>
      <c r="G22" s="146">
        <f>G8+G12+G16+G20</f>
        <v>2050630958.27</v>
      </c>
      <c r="H22" s="146">
        <f t="shared" ref="H22:I22" si="4">H8+H12+H16+H20</f>
        <v>325686474.73000002</v>
      </c>
      <c r="I22" s="146">
        <f t="shared" si="4"/>
        <v>2376317433</v>
      </c>
    </row>
    <row r="25" spans="4:9" x14ac:dyDescent="0.25">
      <c r="E25">
        <f>SUM(E16+E12+E8)</f>
        <v>1680</v>
      </c>
      <c r="F25">
        <f>SUM(E11+E7+E15)</f>
        <v>570</v>
      </c>
      <c r="G25">
        <f>SUM(E10+E6+E14)</f>
        <v>1110</v>
      </c>
    </row>
  </sheetData>
  <mergeCells count="7">
    <mergeCell ref="D3:I3"/>
    <mergeCell ref="D5:I5"/>
    <mergeCell ref="D22:F22"/>
    <mergeCell ref="D21:I21"/>
    <mergeCell ref="D9:I9"/>
    <mergeCell ref="D13:I13"/>
    <mergeCell ref="D17:I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17"/>
  <sheetViews>
    <sheetView workbookViewId="0">
      <selection activeCell="B3" sqref="B3:E17"/>
    </sheetView>
  </sheetViews>
  <sheetFormatPr defaultRowHeight="15" x14ac:dyDescent="0.25"/>
  <cols>
    <col min="2" max="2" width="13.140625" customWidth="1"/>
    <col min="3" max="3" width="13.28515625" customWidth="1"/>
    <col min="4" max="4" width="12.28515625" bestFit="1" customWidth="1"/>
    <col min="5" max="5" width="20.140625" bestFit="1" customWidth="1"/>
    <col min="6" max="11" width="9.140625" customWidth="1"/>
  </cols>
  <sheetData>
    <row r="3" spans="2:5" ht="42" customHeight="1" x14ac:dyDescent="0.25">
      <c r="B3" s="210" t="s">
        <v>3060</v>
      </c>
      <c r="C3" s="210"/>
      <c r="D3" s="210"/>
      <c r="E3" s="210"/>
    </row>
    <row r="4" spans="2:5" x14ac:dyDescent="0.25">
      <c r="B4" s="147" t="s">
        <v>897</v>
      </c>
      <c r="C4" s="147" t="s">
        <v>893</v>
      </c>
      <c r="D4" s="147" t="s">
        <v>894</v>
      </c>
      <c r="E4" s="147" t="s">
        <v>895</v>
      </c>
    </row>
    <row r="5" spans="2:5" x14ac:dyDescent="0.25">
      <c r="B5" s="211" t="s">
        <v>880</v>
      </c>
      <c r="C5" s="22" t="s">
        <v>191</v>
      </c>
      <c r="D5" s="22" t="s">
        <v>2979</v>
      </c>
      <c r="E5" s="107" t="s">
        <v>898</v>
      </c>
    </row>
    <row r="6" spans="2:5" x14ac:dyDescent="0.25">
      <c r="B6" s="211"/>
      <c r="C6" s="22" t="s">
        <v>24</v>
      </c>
      <c r="D6" s="22" t="s">
        <v>2978</v>
      </c>
      <c r="E6" s="107" t="s">
        <v>898</v>
      </c>
    </row>
    <row r="7" spans="2:5" x14ac:dyDescent="0.25">
      <c r="B7" s="211" t="s">
        <v>904</v>
      </c>
      <c r="C7" s="22" t="s">
        <v>2796</v>
      </c>
      <c r="D7" s="22" t="s">
        <v>2980</v>
      </c>
      <c r="E7" s="107" t="s">
        <v>2797</v>
      </c>
    </row>
    <row r="8" spans="2:5" x14ac:dyDescent="0.25">
      <c r="B8" s="211"/>
      <c r="C8" s="22" t="s">
        <v>903</v>
      </c>
      <c r="D8" s="22" t="s">
        <v>2980</v>
      </c>
      <c r="E8" s="107" t="s">
        <v>2797</v>
      </c>
    </row>
    <row r="9" spans="2:5" x14ac:dyDescent="0.25">
      <c r="B9" s="211" t="s">
        <v>2323</v>
      </c>
      <c r="C9" s="22" t="s">
        <v>2324</v>
      </c>
      <c r="D9" s="22" t="s">
        <v>2981</v>
      </c>
      <c r="E9" s="107" t="s">
        <v>2798</v>
      </c>
    </row>
    <row r="10" spans="2:5" x14ac:dyDescent="0.25">
      <c r="B10" s="211"/>
      <c r="C10" s="22" t="s">
        <v>2325</v>
      </c>
      <c r="D10" s="22" t="s">
        <v>2982</v>
      </c>
      <c r="E10" s="107" t="s">
        <v>2798</v>
      </c>
    </row>
    <row r="11" spans="2:5" x14ac:dyDescent="0.25">
      <c r="B11" s="211"/>
      <c r="C11" s="22" t="s">
        <v>2326</v>
      </c>
      <c r="D11" s="22" t="s">
        <v>2980</v>
      </c>
      <c r="E11" s="107" t="s">
        <v>2798</v>
      </c>
    </row>
    <row r="12" spans="2:5" x14ac:dyDescent="0.25">
      <c r="B12" s="212" t="s">
        <v>2976</v>
      </c>
      <c r="C12" s="22" t="s">
        <v>2977</v>
      </c>
      <c r="D12" s="22" t="s">
        <v>8</v>
      </c>
      <c r="E12" s="107" t="s">
        <v>2984</v>
      </c>
    </row>
    <row r="13" spans="2:5" x14ac:dyDescent="0.25">
      <c r="B13" s="212"/>
      <c r="C13" s="22" t="s">
        <v>2859</v>
      </c>
      <c r="D13" s="22" t="s">
        <v>2859</v>
      </c>
      <c r="E13" s="107" t="s">
        <v>2984</v>
      </c>
    </row>
    <row r="14" spans="2:5" ht="15" customHeight="1" x14ac:dyDescent="0.25">
      <c r="B14" s="204" t="s">
        <v>896</v>
      </c>
      <c r="C14" s="205"/>
      <c r="D14" s="205"/>
      <c r="E14" s="206"/>
    </row>
    <row r="15" spans="2:5" ht="31.5" customHeight="1" x14ac:dyDescent="0.25">
      <c r="B15" s="207" t="s">
        <v>3098</v>
      </c>
      <c r="C15" s="208"/>
      <c r="D15" s="208"/>
      <c r="E15" s="209"/>
    </row>
    <row r="16" spans="2:5" ht="15" customHeight="1" x14ac:dyDescent="0.25">
      <c r="B16" s="198" t="s">
        <v>3109</v>
      </c>
      <c r="C16" s="199"/>
      <c r="D16" s="199"/>
      <c r="E16" s="200"/>
    </row>
    <row r="17" spans="2:5" ht="15" customHeight="1" x14ac:dyDescent="0.25">
      <c r="B17" s="201"/>
      <c r="C17" s="202"/>
      <c r="D17" s="202"/>
      <c r="E17" s="203"/>
    </row>
  </sheetData>
  <mergeCells count="8">
    <mergeCell ref="B16:E17"/>
    <mergeCell ref="B14:E14"/>
    <mergeCell ref="B15:E15"/>
    <mergeCell ref="B3:E3"/>
    <mergeCell ref="B5:B6"/>
    <mergeCell ref="B7:B8"/>
    <mergeCell ref="B9:B11"/>
    <mergeCell ref="B12:B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AF10"/>
  <sheetViews>
    <sheetView workbookViewId="0">
      <selection activeCell="G17" sqref="G17"/>
    </sheetView>
  </sheetViews>
  <sheetFormatPr defaultRowHeight="15" x14ac:dyDescent="0.25"/>
  <cols>
    <col min="3" max="3" width="23.140625" customWidth="1"/>
    <col min="4" max="4" width="9" customWidth="1"/>
    <col min="5" max="5" width="9.5703125" customWidth="1"/>
    <col min="6" max="6" width="9.42578125" customWidth="1"/>
    <col min="7" max="10" width="9.28515625" customWidth="1"/>
    <col min="11" max="11" width="9.7109375" customWidth="1"/>
  </cols>
  <sheetData>
    <row r="3" spans="3:32" ht="39.75" customHeight="1" x14ac:dyDescent="0.25">
      <c r="C3" s="213" t="s">
        <v>3061</v>
      </c>
      <c r="D3" s="214"/>
      <c r="E3" s="214"/>
      <c r="F3" s="214"/>
      <c r="G3" s="214"/>
      <c r="H3" s="214"/>
      <c r="I3" s="214"/>
      <c r="J3" s="214"/>
      <c r="K3" s="215"/>
    </row>
    <row r="4" spans="3:32" x14ac:dyDescent="0.25">
      <c r="C4" s="216" t="s">
        <v>899</v>
      </c>
      <c r="D4" s="222" t="s">
        <v>900</v>
      </c>
      <c r="E4" s="223"/>
      <c r="F4" s="223"/>
      <c r="G4" s="223"/>
      <c r="H4" s="223"/>
      <c r="I4" s="223"/>
      <c r="J4" s="224"/>
      <c r="K4" s="219" t="s">
        <v>881</v>
      </c>
    </row>
    <row r="5" spans="3:32" x14ac:dyDescent="0.25">
      <c r="C5" s="217"/>
      <c r="D5" s="148">
        <v>44460</v>
      </c>
      <c r="E5" s="148">
        <f>EDATE(D5,12)</f>
        <v>44825</v>
      </c>
      <c r="F5" s="148">
        <f>EDATE(E5,12)</f>
        <v>45190</v>
      </c>
      <c r="G5" s="148">
        <f>EDATE(F5,12)</f>
        <v>45556</v>
      </c>
      <c r="H5" s="148">
        <f t="shared" ref="H5:J5" si="0">EDATE(G5,12)</f>
        <v>45921</v>
      </c>
      <c r="I5" s="148">
        <f t="shared" si="0"/>
        <v>46286</v>
      </c>
      <c r="J5" s="148">
        <f t="shared" si="0"/>
        <v>46651</v>
      </c>
      <c r="K5" s="220"/>
    </row>
    <row r="6" spans="3:32" x14ac:dyDescent="0.25">
      <c r="C6" s="218"/>
      <c r="D6" s="148">
        <f>EDATE(D5,12)-1</f>
        <v>44824</v>
      </c>
      <c r="E6" s="148">
        <f>EDATE(E5,12)-1</f>
        <v>45189</v>
      </c>
      <c r="F6" s="148">
        <f>EDATE(F5,12)-1</f>
        <v>45555</v>
      </c>
      <c r="G6" s="148">
        <f>EDATE(G5,12)-1</f>
        <v>45920</v>
      </c>
      <c r="H6" s="148">
        <f t="shared" ref="H6:J6" si="1">EDATE(H5,12)-1</f>
        <v>46285</v>
      </c>
      <c r="I6" s="148">
        <f t="shared" si="1"/>
        <v>46650</v>
      </c>
      <c r="J6" s="148">
        <f t="shared" si="1"/>
        <v>47016</v>
      </c>
      <c r="K6" s="221"/>
    </row>
    <row r="7" spans="3:32" hidden="1" x14ac:dyDescent="0.25">
      <c r="C7" s="69" t="s">
        <v>880</v>
      </c>
      <c r="D7" s="23">
        <f>K7</f>
        <v>27</v>
      </c>
      <c r="E7" s="23">
        <v>0</v>
      </c>
      <c r="F7" s="23">
        <v>0</v>
      </c>
      <c r="G7" s="16">
        <v>0</v>
      </c>
      <c r="H7" s="157">
        <v>0</v>
      </c>
      <c r="I7" s="157">
        <v>0</v>
      </c>
      <c r="J7" s="157">
        <v>0</v>
      </c>
      <c r="K7" s="24">
        <f>'Inventory Details'!E7</f>
        <v>27</v>
      </c>
      <c r="AF7" t="s">
        <v>2799</v>
      </c>
    </row>
    <row r="8" spans="3:32" x14ac:dyDescent="0.25">
      <c r="C8" s="14" t="s">
        <v>904</v>
      </c>
      <c r="D8" s="24">
        <f>$K$8*25%</f>
        <v>40.5</v>
      </c>
      <c r="E8" s="24">
        <f>$K$8*30%</f>
        <v>48.6</v>
      </c>
      <c r="F8" s="24">
        <f>$K$8*30%</f>
        <v>48.6</v>
      </c>
      <c r="G8" s="24">
        <f>$K$8*15%</f>
        <v>24.3</v>
      </c>
      <c r="H8" s="157">
        <v>0</v>
      </c>
      <c r="I8" s="157">
        <v>0</v>
      </c>
      <c r="J8" s="157">
        <v>0</v>
      </c>
      <c r="K8" s="16">
        <f>'Inventory Details'!E11</f>
        <v>162</v>
      </c>
    </row>
    <row r="9" spans="3:32" x14ac:dyDescent="0.25">
      <c r="C9" s="16" t="s">
        <v>2323</v>
      </c>
      <c r="D9" s="24">
        <v>0</v>
      </c>
      <c r="E9" s="24">
        <f>$K$9*10%</f>
        <v>38.1</v>
      </c>
      <c r="F9" s="24">
        <f>$K$9*10%</f>
        <v>38.1</v>
      </c>
      <c r="G9" s="24">
        <f>$K$9*20%</f>
        <v>76.2</v>
      </c>
      <c r="H9" s="24">
        <f>$K$9*20%</f>
        <v>76.2</v>
      </c>
      <c r="I9" s="24">
        <f>$K$9*20%</f>
        <v>76.2</v>
      </c>
      <c r="J9" s="24">
        <f>$K$9*20%</f>
        <v>76.2</v>
      </c>
      <c r="K9" s="16">
        <f>'Inventory Details'!E16</f>
        <v>381</v>
      </c>
    </row>
    <row r="10" spans="3:32" x14ac:dyDescent="0.25">
      <c r="C10" s="16" t="s">
        <v>2976</v>
      </c>
      <c r="D10" s="24">
        <f>$K$10*25%</f>
        <v>36.5</v>
      </c>
      <c r="E10" s="24">
        <f>$K$10*25%</f>
        <v>36.5</v>
      </c>
      <c r="F10" s="24">
        <f>$K$10*25%</f>
        <v>36.5</v>
      </c>
      <c r="G10" s="24">
        <f>$K$10*25%</f>
        <v>36.5</v>
      </c>
      <c r="H10" s="24">
        <v>0</v>
      </c>
      <c r="I10" s="24">
        <v>0</v>
      </c>
      <c r="J10" s="24">
        <v>0</v>
      </c>
      <c r="K10" s="16">
        <f>'Inventory Details'!E20</f>
        <v>146</v>
      </c>
    </row>
  </sheetData>
  <mergeCells count="4">
    <mergeCell ref="C3:K3"/>
    <mergeCell ref="C4:C6"/>
    <mergeCell ref="K4:K6"/>
    <mergeCell ref="D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D2:O8"/>
  <sheetViews>
    <sheetView topLeftCell="C1" workbookViewId="0">
      <selection activeCell="H16" sqref="H16"/>
    </sheetView>
  </sheetViews>
  <sheetFormatPr defaultRowHeight="15" x14ac:dyDescent="0.25"/>
  <cols>
    <col min="4" max="4" width="5.7109375" bestFit="1" customWidth="1"/>
    <col min="5" max="5" width="11.85546875" customWidth="1"/>
    <col min="6" max="6" width="21" bestFit="1" customWidth="1"/>
    <col min="7" max="7" width="16.42578125" customWidth="1"/>
    <col min="8" max="8" width="13.140625" customWidth="1"/>
    <col min="9" max="9" width="21.140625" bestFit="1" customWidth="1"/>
    <col min="10" max="10" width="20.7109375" bestFit="1" customWidth="1"/>
    <col min="12" max="12" width="17.85546875" customWidth="1"/>
    <col min="13" max="14" width="18.28515625" customWidth="1"/>
    <col min="15" max="15" width="18.140625" bestFit="1" customWidth="1"/>
  </cols>
  <sheetData>
    <row r="2" spans="4:15" ht="15" customHeight="1" x14ac:dyDescent="0.25">
      <c r="D2" s="213" t="s">
        <v>3062</v>
      </c>
      <c r="E2" s="214"/>
      <c r="F2" s="214"/>
      <c r="G2" s="214"/>
      <c r="H2" s="214"/>
      <c r="I2" s="214"/>
      <c r="J2" s="214"/>
    </row>
    <row r="3" spans="4:15" ht="30" x14ac:dyDescent="0.25">
      <c r="D3" s="149" t="s">
        <v>2800</v>
      </c>
      <c r="E3" s="149" t="s">
        <v>897</v>
      </c>
      <c r="F3" s="149" t="s">
        <v>1</v>
      </c>
      <c r="G3" s="150" t="s">
        <v>2801</v>
      </c>
      <c r="H3" s="149" t="s">
        <v>886</v>
      </c>
      <c r="I3" s="149" t="s">
        <v>2802</v>
      </c>
      <c r="J3" s="149" t="s">
        <v>2803</v>
      </c>
    </row>
    <row r="4" spans="4:15" x14ac:dyDescent="0.25">
      <c r="D4" s="65">
        <v>1</v>
      </c>
      <c r="E4" s="65" t="s">
        <v>880</v>
      </c>
      <c r="F4" s="65" t="s">
        <v>2804</v>
      </c>
      <c r="G4" s="65">
        <f>'Inventory Details'!$E$7</f>
        <v>27</v>
      </c>
      <c r="H4" s="65">
        <f>'Inventory Details'!$H$7</f>
        <v>20800</v>
      </c>
      <c r="I4" s="65">
        <v>2700</v>
      </c>
      <c r="J4" s="101">
        <f>I4*H4</f>
        <v>56160000</v>
      </c>
      <c r="L4" s="71"/>
      <c r="M4" s="71"/>
      <c r="N4" s="71"/>
      <c r="O4" s="72"/>
    </row>
    <row r="5" spans="4:15" x14ac:dyDescent="0.25">
      <c r="D5" s="65">
        <v>2</v>
      </c>
      <c r="E5" s="65" t="s">
        <v>904</v>
      </c>
      <c r="F5" s="107" t="s">
        <v>3063</v>
      </c>
      <c r="G5" s="65">
        <f>'Inventory Details'!$E$11</f>
        <v>162</v>
      </c>
      <c r="H5" s="151">
        <f>'Inventory Details'!$H$11</f>
        <v>153810</v>
      </c>
      <c r="I5" s="65">
        <v>2700</v>
      </c>
      <c r="J5" s="101">
        <f>I5*H5</f>
        <v>415287000</v>
      </c>
      <c r="L5" s="71"/>
      <c r="M5" s="71"/>
      <c r="N5" s="71"/>
      <c r="O5" s="72"/>
    </row>
    <row r="6" spans="4:15" x14ac:dyDescent="0.25">
      <c r="D6" s="65">
        <v>3</v>
      </c>
      <c r="E6" s="65" t="s">
        <v>2323</v>
      </c>
      <c r="F6" s="65" t="s">
        <v>2805</v>
      </c>
      <c r="G6" s="65">
        <f>'Inventory Details'!$E$16</f>
        <v>381</v>
      </c>
      <c r="H6" s="65">
        <f>'Inventory Details'!$H$16</f>
        <v>332500</v>
      </c>
      <c r="I6" s="65">
        <v>2300</v>
      </c>
      <c r="J6" s="101">
        <f>I6*H6</f>
        <v>764750000</v>
      </c>
      <c r="L6" s="225"/>
      <c r="M6" s="225"/>
      <c r="N6" s="73"/>
      <c r="O6" s="74"/>
    </row>
    <row r="7" spans="4:15" x14ac:dyDescent="0.25">
      <c r="D7" s="65">
        <v>4</v>
      </c>
      <c r="E7" s="107" t="s">
        <v>3055</v>
      </c>
      <c r="F7" s="65" t="s">
        <v>2983</v>
      </c>
      <c r="G7" s="65">
        <f>'Inventory Details'!$E$20</f>
        <v>146</v>
      </c>
      <c r="H7" s="152">
        <f>'Inventory Details'!$H$20</f>
        <v>38903</v>
      </c>
      <c r="I7" s="65">
        <v>5800</v>
      </c>
      <c r="J7" s="101">
        <f>I7*H7</f>
        <v>225637400</v>
      </c>
      <c r="O7" s="18"/>
    </row>
    <row r="8" spans="4:15" ht="15.75" x14ac:dyDescent="0.25">
      <c r="D8" s="226" t="s">
        <v>881</v>
      </c>
      <c r="E8" s="227"/>
      <c r="F8" s="228"/>
      <c r="G8" s="129">
        <f>SUM(G4:G7)</f>
        <v>716</v>
      </c>
      <c r="H8" s="129">
        <f>SUM(H4:H7)</f>
        <v>546013</v>
      </c>
      <c r="I8" s="129"/>
      <c r="J8" s="153">
        <f>SUM(J4:J7)</f>
        <v>1461834400</v>
      </c>
    </row>
  </sheetData>
  <mergeCells count="3">
    <mergeCell ref="L6:M6"/>
    <mergeCell ref="D2:J2"/>
    <mergeCell ref="D8: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Provided(Inventory list-I)</vt:lpstr>
      <vt:lpstr>Inventory list-Phase 2</vt:lpstr>
      <vt:lpstr>Inventory list-Phase 3</vt:lpstr>
      <vt:lpstr> G+1 floor shop</vt:lpstr>
      <vt:lpstr>Recievables</vt:lpstr>
      <vt:lpstr>Tower Details</vt:lpstr>
      <vt:lpstr>Absorption Rate</vt:lpstr>
      <vt:lpstr>Residential &amp; Commercial Inflow</vt:lpstr>
      <vt:lpstr>Inflow</vt:lpstr>
      <vt:lpstr>Inventory Details</vt:lpstr>
      <vt:lpstr>Total Outflow</vt:lpstr>
      <vt:lpstr>DCF</vt:lpstr>
      <vt:lpstr>Consolidated Summary</vt:lpstr>
      <vt:lpstr>Ph-I Valuation</vt:lpstr>
      <vt:lpstr>Grand Summary</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Sharma</dc:creator>
  <cp:lastModifiedBy>Abhishek Sharma</cp:lastModifiedBy>
  <cp:lastPrinted>2021-09-24T13:26:03Z</cp:lastPrinted>
  <dcterms:created xsi:type="dcterms:W3CDTF">2021-09-20T06:16:23Z</dcterms:created>
  <dcterms:modified xsi:type="dcterms:W3CDTF">2021-09-29T11:41:20Z</dcterms:modified>
</cp:coreProperties>
</file>