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 iterate="1"/>
</workbook>
</file>

<file path=xl/calcChain.xml><?xml version="1.0" encoding="utf-8"?>
<calcChain xmlns="http://schemas.openxmlformats.org/spreadsheetml/2006/main">
  <c r="N29" i="1" l="1"/>
  <c r="P29" i="1"/>
  <c r="N27" i="1"/>
  <c r="N49" i="1"/>
  <c r="N73" i="1" l="1"/>
  <c r="Q49" i="1"/>
  <c r="S50" i="1"/>
  <c r="N69" i="1"/>
  <c r="N63" i="1"/>
  <c r="N64" i="1"/>
  <c r="N65" i="1"/>
  <c r="N66" i="1"/>
  <c r="N67" i="1"/>
  <c r="N68" i="1"/>
  <c r="N62" i="1"/>
  <c r="Q63" i="1"/>
  <c r="Q64" i="1"/>
  <c r="Q65" i="1"/>
  <c r="Q66" i="1"/>
  <c r="Q67" i="1"/>
  <c r="Q68" i="1"/>
  <c r="Q62" i="1"/>
  <c r="N59" i="1"/>
  <c r="N55" i="1"/>
  <c r="N56" i="1"/>
  <c r="N57" i="1"/>
  <c r="N58" i="1"/>
  <c r="Q55" i="1"/>
  <c r="Q56" i="1"/>
  <c r="Q57" i="1"/>
  <c r="Q58" i="1"/>
  <c r="Q54" i="1"/>
  <c r="N54" i="1" s="1"/>
  <c r="N50" i="1"/>
  <c r="N71" i="1" s="1"/>
  <c r="N48" i="1"/>
  <c r="Q48" i="1"/>
  <c r="N42" i="1"/>
  <c r="Q42" i="1"/>
  <c r="N41" i="1"/>
  <c r="N39" i="1"/>
  <c r="N38" i="1"/>
  <c r="Q38" i="1"/>
  <c r="N37" i="1"/>
  <c r="N34" i="1"/>
  <c r="N43" i="1" l="1"/>
  <c r="N25" i="1"/>
  <c r="P25" i="1"/>
  <c r="N17" i="1"/>
  <c r="N15" i="1"/>
  <c r="N13" i="1"/>
  <c r="N26" i="1" s="1"/>
  <c r="N45" i="1" s="1"/>
  <c r="N75" i="1" s="1"/>
  <c r="N12" i="1"/>
  <c r="L71" i="1" l="1"/>
  <c r="L69" i="1"/>
  <c r="L68" i="1"/>
  <c r="L67" i="1"/>
  <c r="L66" i="1"/>
  <c r="L65" i="1"/>
  <c r="L64" i="1"/>
  <c r="L63" i="1"/>
  <c r="L62" i="1"/>
  <c r="L59" i="1"/>
  <c r="L58" i="1"/>
  <c r="L57" i="1"/>
  <c r="L56" i="1"/>
  <c r="L55" i="1"/>
  <c r="L54" i="1"/>
  <c r="L50" i="1"/>
  <c r="L49" i="1"/>
  <c r="L48" i="1"/>
  <c r="L45" i="1"/>
  <c r="L41" i="1"/>
  <c r="L42" i="1"/>
  <c r="L40" i="1"/>
  <c r="L39" i="1"/>
  <c r="L38" i="1"/>
  <c r="L37" i="1"/>
  <c r="L43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26" i="1"/>
</calcChain>
</file>

<file path=xl/sharedStrings.xml><?xml version="1.0" encoding="utf-8"?>
<sst xmlns="http://schemas.openxmlformats.org/spreadsheetml/2006/main" count="82" uniqueCount="67">
  <si>
    <t>MAYUR PLY INDUSTRIES PRIVATE LIMITED</t>
  </si>
  <si>
    <t>NET ASSET VALUE (NAV)</t>
  </si>
  <si>
    <t xml:space="preserve">Value as on March 2021 </t>
  </si>
  <si>
    <t>Fair Market Value</t>
  </si>
  <si>
    <t>Assets:</t>
  </si>
  <si>
    <t>Non-Current Assets</t>
  </si>
  <si>
    <t>Fixed Assets</t>
  </si>
  <si>
    <t>Particular (Values in INR Crores)</t>
  </si>
  <si>
    <t>Assets Under Construction (Cwip)</t>
  </si>
  <si>
    <t>Computer Software</t>
  </si>
  <si>
    <t>Factory Shed and Building</t>
  </si>
  <si>
    <t>Furniture and fixtures</t>
  </si>
  <si>
    <t>IT Equipment and Accessories</t>
  </si>
  <si>
    <t xml:space="preserve">Land </t>
  </si>
  <si>
    <t>Office equipment and Accessosories</t>
  </si>
  <si>
    <t>Plant and Machinery</t>
  </si>
  <si>
    <t>Accumulated Depriciation-Computer Software</t>
  </si>
  <si>
    <t>Accumulated Depriciation-Factory Shed &amp; Building</t>
  </si>
  <si>
    <t>Accumulated Depriciation-Furniture &amp; Fixture</t>
  </si>
  <si>
    <t>Accumulated Depriciation-It Equipment &amp; Accessories</t>
  </si>
  <si>
    <t>Accumulated Depriciation-Office Equipment &amp; Accessories</t>
  </si>
  <si>
    <t>Accumulated Depriciation-Plant &amp; Machinery</t>
  </si>
  <si>
    <t>Accumulated Depriciation-Vehicle</t>
  </si>
  <si>
    <t>Vehicle</t>
  </si>
  <si>
    <t>Investments</t>
  </si>
  <si>
    <t>Investment in Quoted Shares A/c</t>
  </si>
  <si>
    <t>Investment -Others A/c</t>
  </si>
  <si>
    <t>Investments in Partnership A/c</t>
  </si>
  <si>
    <t>Amrit Supply Company Pvt Ltd (Investment)</t>
  </si>
  <si>
    <t>Arjun Ply &amp; Veneers Pvt Ltd (Investments)</t>
  </si>
  <si>
    <t>Assam Wood Products Pvt Ltd (Investment)</t>
  </si>
  <si>
    <t>Investment in NSC</t>
  </si>
  <si>
    <t xml:space="preserve">Investments </t>
  </si>
  <si>
    <t>Current Assets:</t>
  </si>
  <si>
    <t>Other Current Assests</t>
  </si>
  <si>
    <t>Cash-in-Hand 16c</t>
  </si>
  <si>
    <t>Closing Stock</t>
  </si>
  <si>
    <t>Loans &amp; Advances (Asset)</t>
  </si>
  <si>
    <t>Sundry Debtors</t>
  </si>
  <si>
    <t>Bank Accounts</t>
  </si>
  <si>
    <t>Total Current Assets</t>
  </si>
  <si>
    <t>Total Asset</t>
  </si>
  <si>
    <t>Equity and Liabilities</t>
  </si>
  <si>
    <t>Share Capital</t>
  </si>
  <si>
    <t>Reserve and Surplus</t>
  </si>
  <si>
    <t>Capital Account</t>
  </si>
  <si>
    <t>Liabilities:</t>
  </si>
  <si>
    <t>Non-Currentr Liabilities</t>
  </si>
  <si>
    <t>Bank OD A/c -7</t>
  </si>
  <si>
    <t>Unsecured Loans 4</t>
  </si>
  <si>
    <t>Bill Discounting</t>
  </si>
  <si>
    <t>Non Current Liabilities</t>
  </si>
  <si>
    <t>Secured Loans</t>
  </si>
  <si>
    <t>Total Long term Liabilities</t>
  </si>
  <si>
    <t>Current Liabilities</t>
  </si>
  <si>
    <t>Long Term Provision-6</t>
  </si>
  <si>
    <t>Other Current Liabilities 9c</t>
  </si>
  <si>
    <t>Short Term Provision (Income Tax) 10</t>
  </si>
  <si>
    <t>Scheme &amp; Carpenter</t>
  </si>
  <si>
    <t>Duties &amp; Taxes</t>
  </si>
  <si>
    <t>Sundry Creditors 8</t>
  </si>
  <si>
    <t>Provisions for Employee Benifits 9a</t>
  </si>
  <si>
    <t>Total Current Liabilities</t>
  </si>
  <si>
    <t>Total Equity And Liabilities</t>
  </si>
  <si>
    <t>NAV</t>
  </si>
  <si>
    <t>Operational Liabilities</t>
  </si>
  <si>
    <t>Crores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</si>
</sst>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/>
    <xf numFmtId="0" fontId="0" fillId="0" borderId="1" xfId="0" applyBorder="1"/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left" indent="2"/>
    </xf>
    <xf numFmtId="2" fontId="2" fillId="0" borderId="1" xfId="0" applyNumberFormat="1" applyFont="1" applyBorder="1" applyAlignment="1">
      <alignment horizontal="center"/>
    </xf>
    <xf numFmtId="9" fontId="0" fillId="0" borderId="0" xfId="0" applyNumberFormat="1"/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indent="2"/>
    </xf>
    <xf numFmtId="0" fontId="0" fillId="0" borderId="0" xfId="0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1" fillId="2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5"/>
  <sheetViews>
    <sheetView showGridLines="0" tabSelected="1" topLeftCell="A57" workbookViewId="0">
      <selection activeCell="N75" sqref="N75"/>
    </sheetView>
  </sheetViews>
  <sheetFormatPr defaultRowHeight="15" x14ac:dyDescent="0.25"/>
  <cols>
    <col min="1" max="1" width="3.7109375" customWidth="1"/>
    <col min="12" max="12" width="21.85546875" customWidth="1"/>
    <col min="13" max="13" width="3.7109375" customWidth="1"/>
    <col min="14" max="14" width="18.28515625" customWidth="1"/>
    <col min="15" max="15" width="8.85546875" customWidth="1"/>
  </cols>
  <sheetData>
    <row r="2" spans="2:16" ht="32.25" customHeight="1" x14ac:dyDescent="0.2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2:16" ht="21.75" customHeight="1" x14ac:dyDescent="0.25"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6" spans="2:16" ht="18" customHeight="1" x14ac:dyDescent="0.25">
      <c r="B6" s="2" t="s">
        <v>7</v>
      </c>
      <c r="C6" s="2"/>
      <c r="D6" s="2"/>
      <c r="E6" s="2"/>
      <c r="F6" s="2"/>
      <c r="G6" s="2"/>
      <c r="H6" s="2"/>
      <c r="I6" s="2"/>
      <c r="J6" s="2"/>
      <c r="K6" s="2"/>
      <c r="L6" s="3" t="s">
        <v>2</v>
      </c>
      <c r="M6" s="1"/>
      <c r="N6" s="3" t="s">
        <v>3</v>
      </c>
      <c r="O6" s="2"/>
    </row>
    <row r="8" spans="2:16" ht="20.25" customHeight="1" x14ac:dyDescent="0.3">
      <c r="B8" s="6" t="s">
        <v>4</v>
      </c>
    </row>
    <row r="9" spans="2:16" ht="22.5" customHeight="1" x14ac:dyDescent="0.25">
      <c r="B9" s="4" t="s">
        <v>5</v>
      </c>
    </row>
    <row r="10" spans="2:16" ht="20.25" customHeight="1" x14ac:dyDescent="0.25">
      <c r="B10" s="4" t="s">
        <v>8</v>
      </c>
    </row>
    <row r="11" spans="2:16" x14ac:dyDescent="0.25">
      <c r="B11" s="9" t="s">
        <v>9</v>
      </c>
      <c r="L11" s="10">
        <f>10731144.45/10^7</f>
        <v>1.0731144449999999</v>
      </c>
      <c r="N11" s="7">
        <v>0</v>
      </c>
    </row>
    <row r="12" spans="2:16" x14ac:dyDescent="0.25">
      <c r="B12" s="9" t="s">
        <v>10</v>
      </c>
      <c r="L12" s="10">
        <f>112701411.06/10^7</f>
        <v>11.270141106000001</v>
      </c>
      <c r="N12" s="7">
        <f>40027715/10^7</f>
        <v>4.0027714999999997</v>
      </c>
    </row>
    <row r="13" spans="2:16" x14ac:dyDescent="0.25">
      <c r="B13" s="9" t="s">
        <v>11</v>
      </c>
      <c r="L13" s="10">
        <f>10456911.65/10^7</f>
        <v>1.045691165</v>
      </c>
      <c r="N13" s="7">
        <f>L13*P13</f>
        <v>0.1045691165</v>
      </c>
      <c r="P13" s="22">
        <v>0.1</v>
      </c>
    </row>
    <row r="14" spans="2:16" x14ac:dyDescent="0.25">
      <c r="B14" s="9" t="s">
        <v>12</v>
      </c>
      <c r="L14" s="10">
        <f>3220598.59/10^7</f>
        <v>0.322059859</v>
      </c>
      <c r="N14" s="7">
        <v>0</v>
      </c>
    </row>
    <row r="15" spans="2:16" x14ac:dyDescent="0.25">
      <c r="B15" s="9" t="s">
        <v>13</v>
      </c>
      <c r="L15" s="10">
        <f>51522518.24/10^7</f>
        <v>5.1522518240000004</v>
      </c>
      <c r="N15" s="7">
        <f>281782380/10^7</f>
        <v>28.178238</v>
      </c>
    </row>
    <row r="16" spans="2:16" x14ac:dyDescent="0.25">
      <c r="B16" s="9" t="s">
        <v>14</v>
      </c>
      <c r="L16" s="10">
        <f>912182.74/10^7</f>
        <v>9.1218274000000002E-2</v>
      </c>
      <c r="N16" s="7">
        <v>0</v>
      </c>
    </row>
    <row r="17" spans="2:16" x14ac:dyDescent="0.25">
      <c r="B17" s="9" t="s">
        <v>15</v>
      </c>
      <c r="L17" s="10">
        <f>125449169.38/10^7</f>
        <v>12.544916938</v>
      </c>
      <c r="N17" s="7">
        <f>10675893/10^7</f>
        <v>1.0675893000000001</v>
      </c>
    </row>
    <row r="18" spans="2:16" x14ac:dyDescent="0.25">
      <c r="B18" s="9" t="s">
        <v>16</v>
      </c>
      <c r="L18" s="10">
        <f>-11058222/10^7</f>
        <v>-1.1058222</v>
      </c>
      <c r="N18" s="7">
        <v>0</v>
      </c>
    </row>
    <row r="19" spans="2:16" x14ac:dyDescent="0.25">
      <c r="B19" s="9" t="s">
        <v>17</v>
      </c>
      <c r="L19" s="10">
        <f>-44709382/10^7</f>
        <v>-4.4709382</v>
      </c>
      <c r="N19" s="7">
        <v>0</v>
      </c>
    </row>
    <row r="20" spans="2:16" x14ac:dyDescent="0.25">
      <c r="B20" s="9" t="s">
        <v>18</v>
      </c>
      <c r="L20" s="10">
        <f>-8346594.85/10^7</f>
        <v>-0.83465948499999998</v>
      </c>
      <c r="N20" s="7">
        <v>0</v>
      </c>
    </row>
    <row r="21" spans="2:16" x14ac:dyDescent="0.25">
      <c r="B21" s="9" t="s">
        <v>19</v>
      </c>
      <c r="L21" s="10">
        <f>-3051047.78/10^7</f>
        <v>-0.30510477799999997</v>
      </c>
      <c r="N21" s="7">
        <v>0</v>
      </c>
    </row>
    <row r="22" spans="2:16" x14ac:dyDescent="0.25">
      <c r="B22" s="9" t="s">
        <v>20</v>
      </c>
      <c r="L22" s="10">
        <f>-754907.35/10^7</f>
        <v>-7.5490735000000003E-2</v>
      </c>
      <c r="N22" s="7">
        <v>0</v>
      </c>
    </row>
    <row r="23" spans="2:16" x14ac:dyDescent="0.25">
      <c r="B23" s="9" t="s">
        <v>21</v>
      </c>
      <c r="L23" s="10">
        <f>-92787212.77/10^7</f>
        <v>-9.2787212769999989</v>
      </c>
      <c r="N23" s="7">
        <v>0</v>
      </c>
    </row>
    <row r="24" spans="2:16" x14ac:dyDescent="0.25">
      <c r="B24" s="9" t="s">
        <v>22</v>
      </c>
      <c r="L24" s="10">
        <f>-4641192.67/10^7</f>
        <v>-0.464119267</v>
      </c>
      <c r="N24" s="7">
        <v>0</v>
      </c>
    </row>
    <row r="25" spans="2:16" x14ac:dyDescent="0.25">
      <c r="B25" s="9" t="s">
        <v>23</v>
      </c>
      <c r="L25" s="10">
        <f>4919275.54/10^7</f>
        <v>0.49192755399999999</v>
      </c>
      <c r="N25" s="7">
        <f>L25*P25</f>
        <v>0.24596377699999999</v>
      </c>
      <c r="P25" s="22">
        <f>50%</f>
        <v>0.5</v>
      </c>
    </row>
    <row r="26" spans="2:16" ht="23.25" customHeight="1" x14ac:dyDescent="0.25">
      <c r="B26" s="12" t="s">
        <v>6</v>
      </c>
      <c r="C26" s="4"/>
      <c r="D26" s="4"/>
      <c r="E26" s="4"/>
      <c r="F26" s="4"/>
      <c r="G26" s="4"/>
      <c r="H26" s="4"/>
      <c r="I26" s="4"/>
      <c r="J26" s="4"/>
      <c r="K26" s="4"/>
      <c r="L26" s="13">
        <f>154564652.23/10^7</f>
        <v>15.456465222999999</v>
      </c>
      <c r="N26" s="24">
        <f>SUM(N11:N25)</f>
        <v>33.599131693500006</v>
      </c>
    </row>
    <row r="27" spans="2:16" ht="27" customHeight="1" x14ac:dyDescent="0.25">
      <c r="B27" t="s">
        <v>25</v>
      </c>
      <c r="L27" s="10">
        <f>260712/10^7</f>
        <v>2.6071199999999999E-2</v>
      </c>
      <c r="N27" s="7">
        <f>L27</f>
        <v>2.6071199999999999E-2</v>
      </c>
    </row>
    <row r="28" spans="2:16" x14ac:dyDescent="0.25">
      <c r="B28" t="s">
        <v>26</v>
      </c>
      <c r="L28" s="10">
        <f>10142000/10^7</f>
        <v>1.0142</v>
      </c>
      <c r="N28" s="7">
        <v>0</v>
      </c>
    </row>
    <row r="29" spans="2:16" x14ac:dyDescent="0.25">
      <c r="B29" t="s">
        <v>27</v>
      </c>
      <c r="L29" s="10">
        <f>59930328.82/10^7</f>
        <v>5.9930328819999996</v>
      </c>
      <c r="N29" s="7">
        <f>L29*P29</f>
        <v>0.59930328820000001</v>
      </c>
      <c r="P29" s="22">
        <f>10%</f>
        <v>0.1</v>
      </c>
    </row>
    <row r="30" spans="2:16" x14ac:dyDescent="0.25">
      <c r="B30" t="s">
        <v>28</v>
      </c>
      <c r="L30" s="10">
        <f>25799500/10^7</f>
        <v>2.5799500000000002</v>
      </c>
      <c r="N30" s="7">
        <v>0</v>
      </c>
    </row>
    <row r="31" spans="2:16" x14ac:dyDescent="0.25">
      <c r="B31" t="s">
        <v>29</v>
      </c>
      <c r="L31" s="10">
        <f>93360099/10^7</f>
        <v>9.3360099000000005</v>
      </c>
      <c r="N31" s="7">
        <v>0</v>
      </c>
    </row>
    <row r="32" spans="2:16" x14ac:dyDescent="0.25">
      <c r="B32" t="s">
        <v>30</v>
      </c>
      <c r="L32" s="10">
        <f>5093000/10^7</f>
        <v>0.50929999999999997</v>
      </c>
      <c r="N32" s="7">
        <v>0</v>
      </c>
    </row>
    <row r="33" spans="2:17" x14ac:dyDescent="0.25">
      <c r="B33" t="s">
        <v>31</v>
      </c>
      <c r="L33" s="10">
        <f>10000/10^7</f>
        <v>1E-3</v>
      </c>
      <c r="N33" s="7">
        <v>0</v>
      </c>
    </row>
    <row r="34" spans="2:17" ht="20.25" customHeight="1" x14ac:dyDescent="0.25">
      <c r="B34" s="14" t="s">
        <v>32</v>
      </c>
      <c r="L34" s="18">
        <f>194595639.82/10^7</f>
        <v>19.459563981999999</v>
      </c>
      <c r="N34" s="23">
        <f>SUM(N27:N33)</f>
        <v>0.62537448819999997</v>
      </c>
    </row>
    <row r="36" spans="2:17" ht="15.75" x14ac:dyDescent="0.25">
      <c r="B36" s="5" t="s">
        <v>33</v>
      </c>
    </row>
    <row r="37" spans="2:17" x14ac:dyDescent="0.25">
      <c r="B37" t="s">
        <v>34</v>
      </c>
      <c r="L37" s="10">
        <f>26126071.42/10^7</f>
        <v>2.6126071420000003</v>
      </c>
      <c r="N37" s="7">
        <f>L37*Q37</f>
        <v>0.26126071420000002</v>
      </c>
      <c r="Q37" s="22">
        <v>0.1</v>
      </c>
    </row>
    <row r="38" spans="2:17" x14ac:dyDescent="0.25">
      <c r="B38" t="s">
        <v>35</v>
      </c>
      <c r="L38" s="10">
        <f>348492/10^7</f>
        <v>3.4849199999999997E-2</v>
      </c>
      <c r="N38" s="7">
        <f>L38*Q38</f>
        <v>3.4849199999999997E-2</v>
      </c>
      <c r="Q38" s="22">
        <f>100%</f>
        <v>1</v>
      </c>
    </row>
    <row r="39" spans="2:17" x14ac:dyDescent="0.25">
      <c r="B39" t="s">
        <v>36</v>
      </c>
      <c r="L39" s="10">
        <f>26984174/10^7</f>
        <v>2.6984173999999999</v>
      </c>
      <c r="N39" s="7">
        <f>L39*Q39</f>
        <v>0.26984174</v>
      </c>
      <c r="Q39" s="22">
        <v>0.1</v>
      </c>
    </row>
    <row r="40" spans="2:17" x14ac:dyDescent="0.25">
      <c r="B40" t="s">
        <v>37</v>
      </c>
      <c r="L40" s="10">
        <f>71667740.34/10^7</f>
        <v>7.1667740340000003</v>
      </c>
      <c r="N40" s="7">
        <v>1.4</v>
      </c>
    </row>
    <row r="41" spans="2:17" x14ac:dyDescent="0.25">
      <c r="B41" t="s">
        <v>38</v>
      </c>
      <c r="L41" s="10">
        <f>117724923.77/10^7</f>
        <v>11.772492376999999</v>
      </c>
      <c r="N41" s="7">
        <f>L41*Q41</f>
        <v>0</v>
      </c>
      <c r="Q41" s="22">
        <v>0</v>
      </c>
    </row>
    <row r="42" spans="2:17" x14ac:dyDescent="0.25">
      <c r="B42" t="s">
        <v>39</v>
      </c>
      <c r="L42" s="10">
        <f>7333219.25/10^7</f>
        <v>0.73332192500000004</v>
      </c>
      <c r="N42" s="7">
        <f>L42*Q42</f>
        <v>0.73332192500000004</v>
      </c>
      <c r="Q42" s="22">
        <f>100%</f>
        <v>1</v>
      </c>
    </row>
    <row r="43" spans="2:17" ht="19.5" customHeight="1" x14ac:dyDescent="0.25">
      <c r="B43" s="4" t="s">
        <v>40</v>
      </c>
      <c r="C43" s="4"/>
      <c r="D43" s="4"/>
      <c r="E43" s="4"/>
      <c r="F43" s="4"/>
      <c r="G43" s="4"/>
      <c r="H43" s="4"/>
      <c r="I43" s="4"/>
      <c r="J43" s="4"/>
      <c r="K43" s="4"/>
      <c r="L43" s="13">
        <f>250184620.78/10^7</f>
        <v>25.018462077999999</v>
      </c>
      <c r="N43" s="24">
        <f>SUM(N37:N42)</f>
        <v>2.6992735791999998</v>
      </c>
    </row>
    <row r="45" spans="2:17" ht="21" customHeight="1" x14ac:dyDescent="0.25">
      <c r="B45" s="15" t="s">
        <v>41</v>
      </c>
      <c r="C45" s="16"/>
      <c r="D45" s="16"/>
      <c r="E45" s="16"/>
      <c r="F45" s="16"/>
      <c r="G45" s="16"/>
      <c r="H45" s="16"/>
      <c r="I45" s="16"/>
      <c r="J45" s="16"/>
      <c r="K45" s="16"/>
      <c r="L45" s="17">
        <f>599344912.83/10^7</f>
        <v>59.934491283000007</v>
      </c>
      <c r="M45" s="16"/>
      <c r="N45" s="26">
        <f>N26+N34+N43</f>
        <v>36.923779760900004</v>
      </c>
      <c r="O45" s="16"/>
    </row>
    <row r="47" spans="2:17" ht="18.75" customHeight="1" x14ac:dyDescent="0.25">
      <c r="B47" s="4" t="s">
        <v>42</v>
      </c>
    </row>
    <row r="48" spans="2:17" x14ac:dyDescent="0.25">
      <c r="B48" t="s">
        <v>43</v>
      </c>
      <c r="L48" s="8">
        <f>114689300/10^7</f>
        <v>11.46893</v>
      </c>
      <c r="N48" s="7">
        <f>L48*Q48</f>
        <v>11.46893</v>
      </c>
      <c r="Q48" s="22">
        <f>100%</f>
        <v>1</v>
      </c>
    </row>
    <row r="49" spans="2:19" x14ac:dyDescent="0.25">
      <c r="B49" t="s">
        <v>44</v>
      </c>
      <c r="L49" s="10">
        <f>-1325477538.9/10^7</f>
        <v>-132.54775389</v>
      </c>
      <c r="N49" s="7">
        <f>L49</f>
        <v>-132.54775389</v>
      </c>
      <c r="Q49" s="22">
        <f>100%</f>
        <v>1</v>
      </c>
    </row>
    <row r="50" spans="2:19" ht="18.75" customHeight="1" x14ac:dyDescent="0.25">
      <c r="B50" s="4" t="s">
        <v>45</v>
      </c>
      <c r="C50" s="4"/>
      <c r="D50" s="4"/>
      <c r="E50" s="4"/>
      <c r="F50" s="4"/>
      <c r="G50" s="4"/>
      <c r="H50" s="4"/>
      <c r="I50" s="4"/>
      <c r="J50" s="4"/>
      <c r="K50" s="4"/>
      <c r="L50" s="18">
        <f>-1210788238.9/10^7</f>
        <v>-121.07882389000001</v>
      </c>
      <c r="N50" s="23">
        <f>SUM(N48:N49)</f>
        <v>-121.07882389</v>
      </c>
      <c r="S50" s="7">
        <f>L50+L59+L69</f>
        <v>59.934491282999993</v>
      </c>
    </row>
    <row r="52" spans="2:19" ht="15.75" x14ac:dyDescent="0.25">
      <c r="B52" s="5" t="s">
        <v>46</v>
      </c>
    </row>
    <row r="53" spans="2:19" ht="18.75" customHeight="1" x14ac:dyDescent="0.25">
      <c r="B53" s="19" t="s">
        <v>47</v>
      </c>
    </row>
    <row r="54" spans="2:19" x14ac:dyDescent="0.25">
      <c r="B54" s="11" t="s">
        <v>48</v>
      </c>
      <c r="L54" s="10">
        <f>1311838812.29/10^7</f>
        <v>131.18388122900001</v>
      </c>
      <c r="N54" s="7">
        <f>L54*Q54</f>
        <v>131.18388122900001</v>
      </c>
      <c r="Q54" s="22">
        <f>100%</f>
        <v>1</v>
      </c>
    </row>
    <row r="55" spans="2:19" x14ac:dyDescent="0.25">
      <c r="B55" s="11" t="s">
        <v>49</v>
      </c>
      <c r="L55" s="10">
        <f>98152020/10^7</f>
        <v>9.8152019999999993</v>
      </c>
      <c r="N55" s="7">
        <f t="shared" ref="N55:N58" si="0">L55*Q55</f>
        <v>9.8152019999999993</v>
      </c>
      <c r="Q55" s="22">
        <f>100%</f>
        <v>1</v>
      </c>
    </row>
    <row r="56" spans="2:19" x14ac:dyDescent="0.25">
      <c r="B56" s="11" t="s">
        <v>50</v>
      </c>
      <c r="L56" s="10">
        <f>3999995/10^7</f>
        <v>0.39999950000000001</v>
      </c>
      <c r="N56" s="7">
        <f t="shared" si="0"/>
        <v>0.39999950000000001</v>
      </c>
      <c r="Q56" s="22">
        <f>100%</f>
        <v>1</v>
      </c>
    </row>
    <row r="57" spans="2:19" x14ac:dyDescent="0.25">
      <c r="B57" s="11" t="s">
        <v>51</v>
      </c>
      <c r="L57" s="10">
        <f>12000000/10^7</f>
        <v>1.2</v>
      </c>
      <c r="N57" s="7">
        <f t="shared" si="0"/>
        <v>1.2</v>
      </c>
      <c r="Q57" s="22">
        <f>100%</f>
        <v>1</v>
      </c>
    </row>
    <row r="58" spans="2:19" x14ac:dyDescent="0.25">
      <c r="B58" s="11" t="s">
        <v>52</v>
      </c>
      <c r="L58" s="10">
        <f>59591717.6/10^7</f>
        <v>5.9591717600000003</v>
      </c>
      <c r="N58" s="7">
        <f t="shared" si="0"/>
        <v>5.9591717600000003</v>
      </c>
      <c r="Q58" s="22">
        <f>100%</f>
        <v>1</v>
      </c>
    </row>
    <row r="59" spans="2:19" ht="20.25" customHeight="1" x14ac:dyDescent="0.25">
      <c r="B59" s="12" t="s">
        <v>53</v>
      </c>
      <c r="C59" s="4"/>
      <c r="D59" s="4"/>
      <c r="E59" s="4"/>
      <c r="F59" s="4"/>
      <c r="G59" s="4"/>
      <c r="H59" s="4"/>
      <c r="I59" s="4"/>
      <c r="J59" s="4"/>
      <c r="K59" s="4"/>
      <c r="L59" s="18">
        <f>1485582544.89/10^7</f>
        <v>148.55825448900001</v>
      </c>
      <c r="N59" s="23">
        <f>SUM(N54:N58)</f>
        <v>148.55825448900001</v>
      </c>
    </row>
    <row r="61" spans="2:19" x14ac:dyDescent="0.25">
      <c r="B61" s="19" t="s">
        <v>54</v>
      </c>
    </row>
    <row r="62" spans="2:19" x14ac:dyDescent="0.25">
      <c r="B62" s="11" t="s">
        <v>55</v>
      </c>
      <c r="L62" s="10">
        <f>5052857/10^7</f>
        <v>0.50528569999999995</v>
      </c>
      <c r="N62" s="7">
        <f>L62*Q62</f>
        <v>0.50528569999999995</v>
      </c>
      <c r="Q62" s="22">
        <f>100%</f>
        <v>1</v>
      </c>
    </row>
    <row r="63" spans="2:19" x14ac:dyDescent="0.25">
      <c r="B63" s="11" t="s">
        <v>56</v>
      </c>
      <c r="L63" s="10">
        <f>50931410.08/10^7</f>
        <v>5.0931410079999999</v>
      </c>
      <c r="N63" s="7">
        <f t="shared" ref="N63:N68" si="1">L63*Q63</f>
        <v>5.0931410079999999</v>
      </c>
      <c r="Q63" s="22">
        <f>100%</f>
        <v>1</v>
      </c>
    </row>
    <row r="64" spans="2:19" x14ac:dyDescent="0.25">
      <c r="B64" s="11" t="s">
        <v>57</v>
      </c>
      <c r="L64" s="10">
        <f>26918810.78/10^7</f>
        <v>2.6918810780000002</v>
      </c>
      <c r="N64" s="7">
        <f t="shared" si="1"/>
        <v>2.6918810780000002</v>
      </c>
      <c r="Q64" s="22">
        <f>100%</f>
        <v>1</v>
      </c>
    </row>
    <row r="65" spans="2:17" x14ac:dyDescent="0.25">
      <c r="B65" s="11" t="s">
        <v>58</v>
      </c>
      <c r="L65" s="10">
        <f>1156871/110^7</f>
        <v>5.9365774539567595E-9</v>
      </c>
      <c r="N65" s="7">
        <f t="shared" si="1"/>
        <v>5.9365774539567595E-9</v>
      </c>
      <c r="Q65" s="22">
        <f>100%</f>
        <v>1</v>
      </c>
    </row>
    <row r="66" spans="2:17" x14ac:dyDescent="0.25">
      <c r="B66" s="11" t="s">
        <v>59</v>
      </c>
      <c r="L66" s="10">
        <f>70626092.54/10^7</f>
        <v>7.0626092540000007</v>
      </c>
      <c r="N66" s="7">
        <f t="shared" si="1"/>
        <v>7.0626092540000007</v>
      </c>
      <c r="Q66" s="22">
        <f>100%</f>
        <v>1</v>
      </c>
    </row>
    <row r="67" spans="2:17" x14ac:dyDescent="0.25">
      <c r="B67" s="11" t="s">
        <v>60</v>
      </c>
      <c r="L67" s="10">
        <f>156954216.95/10^7</f>
        <v>15.695421694999999</v>
      </c>
      <c r="N67" s="7">
        <f t="shared" si="1"/>
        <v>15.695421694999999</v>
      </c>
      <c r="Q67" s="22">
        <f>100%</f>
        <v>1</v>
      </c>
    </row>
    <row r="68" spans="2:17" x14ac:dyDescent="0.25">
      <c r="B68" s="11" t="s">
        <v>61</v>
      </c>
      <c r="L68" s="10">
        <f>12910348.49/10^7</f>
        <v>1.2910348490000001</v>
      </c>
      <c r="N68" s="7">
        <f t="shared" si="1"/>
        <v>1.2910348490000001</v>
      </c>
      <c r="Q68" s="22">
        <f>100%</f>
        <v>1</v>
      </c>
    </row>
    <row r="69" spans="2:17" ht="21.75" customHeight="1" x14ac:dyDescent="0.25">
      <c r="B69" s="12" t="s">
        <v>62</v>
      </c>
      <c r="L69" s="18">
        <f>324550606.84/10^7</f>
        <v>32.455060683999996</v>
      </c>
      <c r="N69" s="23">
        <f>SUM(N62:N68)</f>
        <v>32.339373589936578</v>
      </c>
    </row>
    <row r="71" spans="2:17" x14ac:dyDescent="0.25">
      <c r="B71" s="20" t="s">
        <v>63</v>
      </c>
      <c r="C71" s="16"/>
      <c r="D71" s="16"/>
      <c r="E71" s="16"/>
      <c r="F71" s="16"/>
      <c r="G71" s="16"/>
      <c r="H71" s="16"/>
      <c r="I71" s="16"/>
      <c r="J71" s="16"/>
      <c r="K71" s="16"/>
      <c r="L71" s="21">
        <f>599344912.83/10^7</f>
        <v>59.934491283000007</v>
      </c>
      <c r="M71" s="16"/>
      <c r="N71" s="25">
        <f>N50+N59+N69</f>
        <v>59.818804188936589</v>
      </c>
      <c r="O71" s="16"/>
    </row>
    <row r="72" spans="2:17" x14ac:dyDescent="0.25"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9"/>
      <c r="M72" s="28"/>
      <c r="N72" s="30"/>
      <c r="O72" s="28"/>
    </row>
    <row r="73" spans="2:17" x14ac:dyDescent="0.25">
      <c r="B73" s="27" t="s">
        <v>65</v>
      </c>
      <c r="C73" s="28"/>
      <c r="D73" s="28"/>
      <c r="E73" s="28"/>
      <c r="F73" s="28"/>
      <c r="G73" s="28"/>
      <c r="H73" s="28"/>
      <c r="I73" s="28"/>
      <c r="J73" s="28"/>
      <c r="K73" s="28"/>
      <c r="L73" s="29"/>
      <c r="M73" s="28"/>
      <c r="N73" s="30">
        <f>N69</f>
        <v>32.339373589936578</v>
      </c>
      <c r="O73" s="28"/>
    </row>
    <row r="75" spans="2:17" ht="26.25" customHeight="1" x14ac:dyDescent="0.25">
      <c r="B75" s="3" t="s">
        <v>64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1">
        <f>N45-N73</f>
        <v>4.5844061709634261</v>
      </c>
      <c r="O75" s="3" t="s">
        <v>66</v>
      </c>
    </row>
  </sheetData>
  <mergeCells count="2">
    <mergeCell ref="B2:O2"/>
    <mergeCell ref="B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M20"/>
  <sheetViews>
    <sheetView workbookViewId="0">
      <selection activeCell="M19" sqref="M19"/>
    </sheetView>
  </sheetViews>
  <sheetFormatPr defaultRowHeight="15" x14ac:dyDescent="0.25"/>
  <cols>
    <col min="13" max="13" width="12.5703125" bestFit="1" customWidth="1"/>
  </cols>
  <sheetData>
    <row r="5" spans="5:13" x14ac:dyDescent="0.25">
      <c r="E5" t="s">
        <v>16</v>
      </c>
      <c r="M5" t="s">
        <v>24</v>
      </c>
    </row>
    <row r="6" spans="5:13" x14ac:dyDescent="0.25">
      <c r="E6">
        <v>-11058222</v>
      </c>
      <c r="M6" s="7">
        <v>194595639.81999999</v>
      </c>
    </row>
    <row r="7" spans="5:13" x14ac:dyDescent="0.25">
      <c r="E7" t="s">
        <v>17</v>
      </c>
      <c r="M7" t="s">
        <v>25</v>
      </c>
    </row>
    <row r="8" spans="5:13" x14ac:dyDescent="0.25">
      <c r="E8">
        <v>-44709382</v>
      </c>
      <c r="M8">
        <v>260712</v>
      </c>
    </row>
    <row r="9" spans="5:13" x14ac:dyDescent="0.25">
      <c r="E9" t="s">
        <v>18</v>
      </c>
      <c r="M9" t="s">
        <v>26</v>
      </c>
    </row>
    <row r="10" spans="5:13" x14ac:dyDescent="0.25">
      <c r="E10">
        <v>-8346594.8499999996</v>
      </c>
      <c r="M10">
        <v>10142000</v>
      </c>
    </row>
    <row r="11" spans="5:13" x14ac:dyDescent="0.25">
      <c r="E11" t="s">
        <v>19</v>
      </c>
      <c r="M11" t="s">
        <v>27</v>
      </c>
    </row>
    <row r="12" spans="5:13" x14ac:dyDescent="0.25">
      <c r="E12">
        <v>-3051047.78</v>
      </c>
      <c r="M12">
        <v>59930328.82</v>
      </c>
    </row>
    <row r="13" spans="5:13" x14ac:dyDescent="0.25">
      <c r="E13" t="s">
        <v>20</v>
      </c>
      <c r="M13" t="s">
        <v>28</v>
      </c>
    </row>
    <row r="14" spans="5:13" x14ac:dyDescent="0.25">
      <c r="E14">
        <v>-754907.35</v>
      </c>
      <c r="M14">
        <v>25799500</v>
      </c>
    </row>
    <row r="15" spans="5:13" x14ac:dyDescent="0.25">
      <c r="E15" t="s">
        <v>21</v>
      </c>
      <c r="M15" t="s">
        <v>29</v>
      </c>
    </row>
    <row r="16" spans="5:13" x14ac:dyDescent="0.25">
      <c r="E16">
        <v>-92787212.769999996</v>
      </c>
      <c r="M16">
        <v>93360099</v>
      </c>
    </row>
    <row r="17" spans="5:13" x14ac:dyDescent="0.25">
      <c r="E17" t="s">
        <v>22</v>
      </c>
      <c r="M17" t="s">
        <v>30</v>
      </c>
    </row>
    <row r="18" spans="5:13" x14ac:dyDescent="0.25">
      <c r="E18">
        <v>-4641192.67</v>
      </c>
      <c r="M18">
        <v>5093000</v>
      </c>
    </row>
    <row r="19" spans="5:13" x14ac:dyDescent="0.25">
      <c r="E19" t="s">
        <v>23</v>
      </c>
      <c r="M19" t="s">
        <v>31</v>
      </c>
    </row>
    <row r="20" spans="5:13" x14ac:dyDescent="0.25">
      <c r="E20">
        <v>4919275.54</v>
      </c>
      <c r="M20"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2021-10-26T12:52:44Z</dcterms:modified>
</cp:coreProperties>
</file>