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6" windowHeight="11160" activeTab="2"/>
  </bookViews>
  <sheets>
    <sheet name="Note 12 Fixed Assets 20-21" sheetId="4" r:id="rId1"/>
    <sheet name="DEP 2020-21" sheetId="7" r:id="rId2"/>
    <sheet name="DEP ADD 2020-21" sheetId="8" r:id="rId3"/>
    <sheet name="Dep additional for  Expansion" sheetId="10" r:id="rId4"/>
    <sheet name="Note 12 Fixed Assets 18-19 (2)" sheetId="9" state="hidden" r:id="rId5"/>
    <sheet name="DEP 2018-19" sheetId="5" state="hidden" r:id="rId6"/>
    <sheet name="DEP ADD 2018-19" sheetId="6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3" hidden="1">'Dep additional for  Expansion'!$A$4:$L$76</definedName>
    <definedName name="Excel_BuiltIn_Print_Area_7_1" localSheetId="5">#REF!</definedName>
    <definedName name="Excel_BuiltIn_Print_Area_7_1" localSheetId="1">#REF!</definedName>
    <definedName name="Excel_BuiltIn_Print_Area_7_1" localSheetId="3">#REF!</definedName>
    <definedName name="Excel_BuiltIn_Print_Area_7_1" localSheetId="4">#REF!</definedName>
    <definedName name="Excel_BuiltIn_Print_Area_7_1">#REF!</definedName>
    <definedName name="Excel_BuiltIn_Print_Area_7_1_1">"#REF!"</definedName>
    <definedName name="_xlnm.Print_Area" localSheetId="6">'DEP ADD 2018-19'!$A$1:$N$122</definedName>
    <definedName name="_xlnm.Print_Area" localSheetId="4">'Note 12 Fixed Assets 18-19 (2)'!$A$1:$N$28</definedName>
    <definedName name="_xlnm.Print_Area" localSheetId="0">'Note 12 Fixed Assets 20-21'!$A$1:$N$29</definedName>
    <definedName name="PRINT_AREA_MI" localSheetId="5">#REF!</definedName>
    <definedName name="PRINT_AREA_MI" localSheetId="1">#REF!</definedName>
    <definedName name="PRINT_AREA_MI" localSheetId="3">#REF!</definedName>
    <definedName name="PRINT_AREA_MI" localSheetId="4">#REF!</definedName>
    <definedName name="PRINT_AREA_MI">#REF!</definedName>
    <definedName name="PRINT_AREA_MI_1">"#REF!"</definedName>
  </definedNames>
  <calcPr calcId="124519"/>
  <fileRecoveryPr repairLoad="1"/>
</workbook>
</file>

<file path=xl/calcChain.xml><?xml version="1.0" encoding="utf-8"?>
<calcChain xmlns="http://schemas.openxmlformats.org/spreadsheetml/2006/main">
  <c r="J12" i="4"/>
  <c r="J14"/>
  <c r="J17"/>
  <c r="J18"/>
  <c r="J19"/>
  <c r="J20"/>
  <c r="G191" i="10"/>
  <c r="E189"/>
  <c r="H151" l="1"/>
  <c r="H152" s="1"/>
  <c r="E151"/>
  <c r="H153"/>
  <c r="F13" i="4"/>
  <c r="N16"/>
  <c r="G212" i="10"/>
  <c r="I212" s="1"/>
  <c r="G211"/>
  <c r="I211" s="1"/>
  <c r="J13" i="4" s="1"/>
  <c r="H212" i="10"/>
  <c r="J212" s="1"/>
  <c r="H211"/>
  <c r="J211" s="1"/>
  <c r="G208" l="1"/>
  <c r="G203"/>
  <c r="G182"/>
  <c r="H179"/>
  <c r="J177"/>
  <c r="G169"/>
  <c r="H169" s="1"/>
  <c r="G168"/>
  <c r="H168" s="1"/>
  <c r="H170" s="1"/>
  <c r="G167"/>
  <c r="I167" s="1"/>
  <c r="I170" s="1"/>
  <c r="G158"/>
  <c r="I158" s="1"/>
  <c r="F158"/>
  <c r="G152"/>
  <c r="F151"/>
  <c r="F152" s="1"/>
  <c r="E149"/>
  <c r="H148"/>
  <c r="I148" s="1"/>
  <c r="G147"/>
  <c r="I147" s="1"/>
  <c r="F147"/>
  <c r="H146"/>
  <c r="I146" s="1"/>
  <c r="E145"/>
  <c r="F144"/>
  <c r="F143"/>
  <c r="F142"/>
  <c r="H141"/>
  <c r="F141" s="1"/>
  <c r="F140"/>
  <c r="F139"/>
  <c r="F138"/>
  <c r="F137"/>
  <c r="F136"/>
  <c r="F135"/>
  <c r="F134"/>
  <c r="F133"/>
  <c r="E132"/>
  <c r="G131"/>
  <c r="I131" s="1"/>
  <c r="F131"/>
  <c r="G130"/>
  <c r="I130" s="1"/>
  <c r="F130"/>
  <c r="G129"/>
  <c r="I129" s="1"/>
  <c r="F129"/>
  <c r="H128"/>
  <c r="G128" s="1"/>
  <c r="I128" s="1"/>
  <c r="F128"/>
  <c r="H127"/>
  <c r="G127" s="1"/>
  <c r="I127" s="1"/>
  <c r="F127"/>
  <c r="I126"/>
  <c r="F126"/>
  <c r="A126"/>
  <c r="A127" s="1"/>
  <c r="A128" s="1"/>
  <c r="A129" s="1"/>
  <c r="A130" s="1"/>
  <c r="A131" s="1"/>
  <c r="E125"/>
  <c r="I124"/>
  <c r="F124"/>
  <c r="G123"/>
  <c r="I123" s="1"/>
  <c r="F123"/>
  <c r="G122"/>
  <c r="I122" s="1"/>
  <c r="F122"/>
  <c r="G121"/>
  <c r="I121" s="1"/>
  <c r="F121"/>
  <c r="E120"/>
  <c r="G119"/>
  <c r="I119" s="1"/>
  <c r="F119"/>
  <c r="H118"/>
  <c r="F118" s="1"/>
  <c r="I117"/>
  <c r="G117"/>
  <c r="F117"/>
  <c r="G116"/>
  <c r="I116" s="1"/>
  <c r="F116"/>
  <c r="G115"/>
  <c r="I115" s="1"/>
  <c r="F115"/>
  <c r="H114"/>
  <c r="G114" s="1"/>
  <c r="I114" s="1"/>
  <c r="G113"/>
  <c r="I113" s="1"/>
  <c r="F113"/>
  <c r="I112"/>
  <c r="F112"/>
  <c r="G111"/>
  <c r="I111" s="1"/>
  <c r="F111"/>
  <c r="G110"/>
  <c r="I110" s="1"/>
  <c r="F110"/>
  <c r="I109"/>
  <c r="F109"/>
  <c r="G108"/>
  <c r="I108" s="1"/>
  <c r="F108"/>
  <c r="H107"/>
  <c r="F107" s="1"/>
  <c r="A107"/>
  <c r="A108" s="1"/>
  <c r="A109" s="1"/>
  <c r="A110" s="1"/>
  <c r="A111" s="1"/>
  <c r="A112" s="1"/>
  <c r="A113" s="1"/>
  <c r="A114" s="1"/>
  <c r="A115" s="1"/>
  <c r="A116" s="1"/>
  <c r="A117" s="1"/>
  <c r="A118" s="1"/>
  <c r="A119" s="1"/>
  <c r="A121" s="1"/>
  <c r="A122" s="1"/>
  <c r="A123" s="1"/>
  <c r="A124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6" s="1"/>
  <c r="A147" s="1"/>
  <c r="G106"/>
  <c r="I106" s="1"/>
  <c r="F106"/>
  <c r="H105"/>
  <c r="G105"/>
  <c r="I105" s="1"/>
  <c r="G104"/>
  <c r="I104" s="1"/>
  <c r="F104"/>
  <c r="G103"/>
  <c r="I103" s="1"/>
  <c r="F103"/>
  <c r="E102"/>
  <c r="F101"/>
  <c r="E100"/>
  <c r="G99"/>
  <c r="I99" s="1"/>
  <c r="F99"/>
  <c r="H98"/>
  <c r="F98" s="1"/>
  <c r="H97"/>
  <c r="G97" s="1"/>
  <c r="I97" s="1"/>
  <c r="H96"/>
  <c r="G96" s="1"/>
  <c r="I96" s="1"/>
  <c r="E95"/>
  <c r="G94"/>
  <c r="I94" s="1"/>
  <c r="F94"/>
  <c r="E93"/>
  <c r="G92"/>
  <c r="I92" s="1"/>
  <c r="F92"/>
  <c r="G91"/>
  <c r="I91" s="1"/>
  <c r="F91"/>
  <c r="G90"/>
  <c r="I90" s="1"/>
  <c r="F90"/>
  <c r="H89"/>
  <c r="G89" s="1"/>
  <c r="I89" s="1"/>
  <c r="H88"/>
  <c r="G88" s="1"/>
  <c r="I88" s="1"/>
  <c r="H87"/>
  <c r="G87" s="1"/>
  <c r="I87" s="1"/>
  <c r="E86"/>
  <c r="H85"/>
  <c r="G85" s="1"/>
  <c r="I85" s="1"/>
  <c r="G84"/>
  <c r="I84" s="1"/>
  <c r="F84"/>
  <c r="G83"/>
  <c r="I83" s="1"/>
  <c r="F83"/>
  <c r="E82"/>
  <c r="H81"/>
  <c r="F81" s="1"/>
  <c r="G81"/>
  <c r="I81" s="1"/>
  <c r="A81"/>
  <c r="A83" s="1"/>
  <c r="A84" s="1"/>
  <c r="A85" s="1"/>
  <c r="A87" s="1"/>
  <c r="A88" s="1"/>
  <c r="A89" s="1"/>
  <c r="A90" s="1"/>
  <c r="A91" s="1"/>
  <c r="A92" s="1"/>
  <c r="A94" s="1"/>
  <c r="A96" s="1"/>
  <c r="A97" s="1"/>
  <c r="A98" s="1"/>
  <c r="A99" s="1"/>
  <c r="H80"/>
  <c r="E75"/>
  <c r="G74"/>
  <c r="I74" s="1"/>
  <c r="F74"/>
  <c r="H73"/>
  <c r="F73" s="1"/>
  <c r="G72"/>
  <c r="I72" s="1"/>
  <c r="F72"/>
  <c r="H71"/>
  <c r="G71" s="1"/>
  <c r="I71" s="1"/>
  <c r="H70"/>
  <c r="G70" s="1"/>
  <c r="I70" s="1"/>
  <c r="F70"/>
  <c r="H69"/>
  <c r="H176" s="1"/>
  <c r="A69"/>
  <c r="A70" s="1"/>
  <c r="A71" s="1"/>
  <c r="A72" s="1"/>
  <c r="A73" s="1"/>
  <c r="A74" s="1"/>
  <c r="H68"/>
  <c r="F68"/>
  <c r="E67"/>
  <c r="G66"/>
  <c r="I66" s="1"/>
  <c r="G65"/>
  <c r="I65" s="1"/>
  <c r="F65"/>
  <c r="G64"/>
  <c r="I64" s="1"/>
  <c r="F64"/>
  <c r="G63"/>
  <c r="I63" s="1"/>
  <c r="F63"/>
  <c r="G62"/>
  <c r="I62" s="1"/>
  <c r="F62"/>
  <c r="G61"/>
  <c r="I61" s="1"/>
  <c r="F61"/>
  <c r="G60"/>
  <c r="I60" s="1"/>
  <c r="F60"/>
  <c r="G59"/>
  <c r="I59" s="1"/>
  <c r="F59"/>
  <c r="G58"/>
  <c r="I58" s="1"/>
  <c r="F58"/>
  <c r="G57"/>
  <c r="I57" s="1"/>
  <c r="F57"/>
  <c r="G56"/>
  <c r="I56" s="1"/>
  <c r="F56"/>
  <c r="G55"/>
  <c r="I55" s="1"/>
  <c r="F55"/>
  <c r="G54"/>
  <c r="I54" s="1"/>
  <c r="F54"/>
  <c r="G53"/>
  <c r="I53" s="1"/>
  <c r="F53"/>
  <c r="I52"/>
  <c r="G52"/>
  <c r="F52"/>
  <c r="G51"/>
  <c r="I51" s="1"/>
  <c r="F51"/>
  <c r="H50"/>
  <c r="G50" s="1"/>
  <c r="I50" s="1"/>
  <c r="F50"/>
  <c r="G49"/>
  <c r="I49" s="1"/>
  <c r="F49"/>
  <c r="H48"/>
  <c r="G48"/>
  <c r="I48" s="1"/>
  <c r="F48"/>
  <c r="G47"/>
  <c r="I47" s="1"/>
  <c r="F47"/>
  <c r="G46"/>
  <c r="I46" s="1"/>
  <c r="F46"/>
  <c r="G45"/>
  <c r="I45" s="1"/>
  <c r="F45"/>
  <c r="H44"/>
  <c r="F44" s="1"/>
  <c r="G43"/>
  <c r="I43" s="1"/>
  <c r="F43"/>
  <c r="G42"/>
  <c r="I42" s="1"/>
  <c r="F42"/>
  <c r="G41"/>
  <c r="I41" s="1"/>
  <c r="F41"/>
  <c r="G40"/>
  <c r="I40" s="1"/>
  <c r="F40"/>
  <c r="H39"/>
  <c r="G39" s="1"/>
  <c r="I39" s="1"/>
  <c r="G38"/>
  <c r="I38" s="1"/>
  <c r="F38"/>
  <c r="G37"/>
  <c r="I37" s="1"/>
  <c r="F37"/>
  <c r="I36"/>
  <c r="G36"/>
  <c r="F36"/>
  <c r="G35"/>
  <c r="I35" s="1"/>
  <c r="F35"/>
  <c r="G34"/>
  <c r="I34" s="1"/>
  <c r="F34"/>
  <c r="G33"/>
  <c r="I33" s="1"/>
  <c r="F33"/>
  <c r="G32"/>
  <c r="I32" s="1"/>
  <c r="F32"/>
  <c r="H31"/>
  <c r="G31" s="1"/>
  <c r="I31" s="1"/>
  <c r="H30"/>
  <c r="F30" s="1"/>
  <c r="G30"/>
  <c r="I30" s="1"/>
  <c r="G29"/>
  <c r="I29" s="1"/>
  <c r="F29"/>
  <c r="G28"/>
  <c r="I28" s="1"/>
  <c r="F28"/>
  <c r="G27"/>
  <c r="I27" s="1"/>
  <c r="F27"/>
  <c r="G26"/>
  <c r="I26" s="1"/>
  <c r="F26"/>
  <c r="G25"/>
  <c r="I25" s="1"/>
  <c r="F25"/>
  <c r="G24"/>
  <c r="I24" s="1"/>
  <c r="F24"/>
  <c r="G23"/>
  <c r="I23" s="1"/>
  <c r="F23"/>
  <c r="G22"/>
  <c r="I22" s="1"/>
  <c r="F22"/>
  <c r="G21"/>
  <c r="I21" s="1"/>
  <c r="F21"/>
  <c r="G20"/>
  <c r="I20" s="1"/>
  <c r="F20"/>
  <c r="G19"/>
  <c r="I19" s="1"/>
  <c r="F19"/>
  <c r="G18"/>
  <c r="I18" s="1"/>
  <c r="F18"/>
  <c r="G17"/>
  <c r="I17" s="1"/>
  <c r="F17"/>
  <c r="G16"/>
  <c r="I16" s="1"/>
  <c r="F16"/>
  <c r="G15"/>
  <c r="I15" s="1"/>
  <c r="F15"/>
  <c r="G14"/>
  <c r="I14" s="1"/>
  <c r="F14"/>
  <c r="G13"/>
  <c r="I13" s="1"/>
  <c r="F13"/>
  <c r="G12"/>
  <c r="I12" s="1"/>
  <c r="F12"/>
  <c r="H11"/>
  <c r="F11" s="1"/>
  <c r="G10"/>
  <c r="I10" s="1"/>
  <c r="F10"/>
  <c r="G9"/>
  <c r="I9" s="1"/>
  <c r="F9"/>
  <c r="H8"/>
  <c r="G8" s="1"/>
  <c r="H7"/>
  <c r="I7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G6"/>
  <c r="I6" s="1"/>
  <c r="F6"/>
  <c r="Y15" i="7"/>
  <c r="S489"/>
  <c r="U12"/>
  <c r="H75" i="10" l="1"/>
  <c r="F96"/>
  <c r="F31"/>
  <c r="F87"/>
  <c r="H182"/>
  <c r="H195" s="1"/>
  <c r="E200" s="1"/>
  <c r="E185"/>
  <c r="G69"/>
  <c r="I69" s="1"/>
  <c r="F88"/>
  <c r="F105"/>
  <c r="F146"/>
  <c r="H67"/>
  <c r="H76" s="1"/>
  <c r="E76"/>
  <c r="F69"/>
  <c r="H150"/>
  <c r="E150"/>
  <c r="I8"/>
  <c r="G11"/>
  <c r="I11" s="1"/>
  <c r="G44"/>
  <c r="I44" s="1"/>
  <c r="G68"/>
  <c r="G73"/>
  <c r="I73" s="1"/>
  <c r="G80"/>
  <c r="G98"/>
  <c r="I98" s="1"/>
  <c r="G118"/>
  <c r="I118" s="1"/>
  <c r="F148"/>
  <c r="F7"/>
  <c r="F8"/>
  <c r="F39"/>
  <c r="F71"/>
  <c r="F75" s="1"/>
  <c r="F85"/>
  <c r="F89"/>
  <c r="F97"/>
  <c r="I107"/>
  <c r="F114"/>
  <c r="E152"/>
  <c r="G170"/>
  <c r="I176"/>
  <c r="I182" s="1"/>
  <c r="F185"/>
  <c r="F80"/>
  <c r="P19" i="4"/>
  <c r="H154" i="10" l="1"/>
  <c r="F150"/>
  <c r="E154"/>
  <c r="E160" s="1"/>
  <c r="E199" s="1"/>
  <c r="E201" s="1"/>
  <c r="I68"/>
  <c r="G75"/>
  <c r="G185"/>
  <c r="G192" s="1"/>
  <c r="J185"/>
  <c r="G150"/>
  <c r="I80"/>
  <c r="F67"/>
  <c r="F76" s="1"/>
  <c r="G67"/>
  <c r="G76" s="1"/>
  <c r="K66" i="8"/>
  <c r="B24"/>
  <c r="F18" i="4" s="1"/>
  <c r="G18" i="8"/>
  <c r="H18" s="1"/>
  <c r="I16"/>
  <c r="G15"/>
  <c r="H15" s="1"/>
  <c r="F11"/>
  <c r="G11" s="1"/>
  <c r="H11" s="1"/>
  <c r="D11"/>
  <c r="I11" s="1"/>
  <c r="F12"/>
  <c r="G12" s="1"/>
  <c r="H12" s="1"/>
  <c r="D12"/>
  <c r="I12" s="1"/>
  <c r="F13"/>
  <c r="G13" s="1"/>
  <c r="H13" s="1"/>
  <c r="D13"/>
  <c r="I13" s="1"/>
  <c r="F14"/>
  <c r="G14" s="1"/>
  <c r="H14" s="1"/>
  <c r="D14"/>
  <c r="I14" s="1"/>
  <c r="F15"/>
  <c r="D15"/>
  <c r="I15" s="1"/>
  <c r="F16"/>
  <c r="G16" s="1"/>
  <c r="H16" s="1"/>
  <c r="D16"/>
  <c r="F17"/>
  <c r="G17" s="1"/>
  <c r="H17" s="1"/>
  <c r="D17"/>
  <c r="I17" s="1"/>
  <c r="F18"/>
  <c r="D18"/>
  <c r="I18" s="1"/>
  <c r="B63"/>
  <c r="F20" i="4" s="1"/>
  <c r="K61" i="8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27"/>
  <c r="K26"/>
  <c r="G154" i="10" l="1"/>
  <c r="F154"/>
  <c r="F160" s="1"/>
  <c r="I192"/>
  <c r="I195" s="1"/>
  <c r="F200" s="1"/>
  <c r="G200" s="1"/>
  <c r="I200" s="1"/>
  <c r="J200" s="1"/>
  <c r="G195"/>
  <c r="E209"/>
  <c r="J18" i="8"/>
  <c r="J16"/>
  <c r="J15"/>
  <c r="J11"/>
  <c r="J17"/>
  <c r="J14"/>
  <c r="J12"/>
  <c r="J13"/>
  <c r="L17"/>
  <c r="L18"/>
  <c r="I209" i="10" l="1"/>
  <c r="F199"/>
  <c r="H209"/>
  <c r="F201"/>
  <c r="G199"/>
  <c r="L14" i="8"/>
  <c r="L13"/>
  <c r="L16"/>
  <c r="L15"/>
  <c r="L11"/>
  <c r="L12"/>
  <c r="E208" i="10" l="1"/>
  <c r="G201"/>
  <c r="D9" i="8"/>
  <c r="F9"/>
  <c r="G9" s="1"/>
  <c r="H9" s="1"/>
  <c r="D10"/>
  <c r="I10" s="1"/>
  <c r="F10"/>
  <c r="G10" s="1"/>
  <c r="H10" s="1"/>
  <c r="D19"/>
  <c r="F19"/>
  <c r="G19" s="1"/>
  <c r="H19" s="1"/>
  <c r="D20"/>
  <c r="I20" s="1"/>
  <c r="F20"/>
  <c r="G20" s="1"/>
  <c r="H20" s="1"/>
  <c r="D21"/>
  <c r="F21"/>
  <c r="G21" s="1"/>
  <c r="H21" s="1"/>
  <c r="D22"/>
  <c r="I22" s="1"/>
  <c r="F22"/>
  <c r="G22" s="1"/>
  <c r="H22" s="1"/>
  <c r="D23"/>
  <c r="F23"/>
  <c r="G23" s="1"/>
  <c r="H23" s="1"/>
  <c r="D8"/>
  <c r="I8" s="1"/>
  <c r="F8"/>
  <c r="G8" s="1"/>
  <c r="H8" s="1"/>
  <c r="F4"/>
  <c r="G4" s="1"/>
  <c r="H4" s="1"/>
  <c r="F5"/>
  <c r="N5"/>
  <c r="K5"/>
  <c r="K4"/>
  <c r="B6"/>
  <c r="D4"/>
  <c r="K83" l="1"/>
  <c r="M6"/>
  <c r="I23"/>
  <c r="I21"/>
  <c r="I19"/>
  <c r="I9"/>
  <c r="E210" i="10"/>
  <c r="H208"/>
  <c r="I208" s="1"/>
  <c r="J8" i="8"/>
  <c r="I4"/>
  <c r="G5"/>
  <c r="H5" s="1"/>
  <c r="S349" i="7"/>
  <c r="S348"/>
  <c r="N349"/>
  <c r="N348"/>
  <c r="K349"/>
  <c r="L349" s="1"/>
  <c r="O349" s="1"/>
  <c r="G349"/>
  <c r="L348"/>
  <c r="O348" s="1"/>
  <c r="K348"/>
  <c r="G348"/>
  <c r="P347"/>
  <c r="N347"/>
  <c r="K347"/>
  <c r="L347" s="1"/>
  <c r="O347" s="1"/>
  <c r="G347"/>
  <c r="N346"/>
  <c r="N345"/>
  <c r="N344"/>
  <c r="K346"/>
  <c r="L346" s="1"/>
  <c r="O346" s="1"/>
  <c r="G346"/>
  <c r="K345"/>
  <c r="L345" s="1"/>
  <c r="O345" s="1"/>
  <c r="G345"/>
  <c r="K344"/>
  <c r="L344" s="1"/>
  <c r="O344" s="1"/>
  <c r="G344"/>
  <c r="S343"/>
  <c r="N343"/>
  <c r="K343"/>
  <c r="L343" s="1"/>
  <c r="O343" s="1"/>
  <c r="G343"/>
  <c r="S342"/>
  <c r="N342"/>
  <c r="K342"/>
  <c r="L342" s="1"/>
  <c r="O342" s="1"/>
  <c r="G342"/>
  <c r="S341"/>
  <c r="N341"/>
  <c r="K341"/>
  <c r="L341" s="1"/>
  <c r="O341" s="1"/>
  <c r="G341"/>
  <c r="P341" s="1"/>
  <c r="C470"/>
  <c r="W365"/>
  <c r="W364"/>
  <c r="W363"/>
  <c r="W361"/>
  <c r="W357"/>
  <c r="W356"/>
  <c r="W355"/>
  <c r="S328"/>
  <c r="M312"/>
  <c r="M311"/>
  <c r="M310"/>
  <c r="M308"/>
  <c r="M307"/>
  <c r="S309"/>
  <c r="M309"/>
  <c r="M298"/>
  <c r="S340"/>
  <c r="S339"/>
  <c r="S338"/>
  <c r="N340"/>
  <c r="N339"/>
  <c r="N338"/>
  <c r="K340"/>
  <c r="L340" s="1"/>
  <c r="O340" s="1"/>
  <c r="G340"/>
  <c r="K339"/>
  <c r="L339" s="1"/>
  <c r="O339" s="1"/>
  <c r="G339"/>
  <c r="K338"/>
  <c r="L338" s="1"/>
  <c r="O338" s="1"/>
  <c r="G338"/>
  <c r="S337"/>
  <c r="M337"/>
  <c r="N337" s="1"/>
  <c r="K337"/>
  <c r="L337" s="1"/>
  <c r="O337" s="1"/>
  <c r="G337"/>
  <c r="S336"/>
  <c r="S335"/>
  <c r="S334"/>
  <c r="S333"/>
  <c r="S332"/>
  <c r="M336"/>
  <c r="M335"/>
  <c r="M334"/>
  <c r="M333"/>
  <c r="M332"/>
  <c r="M354"/>
  <c r="M355"/>
  <c r="S330"/>
  <c r="M330"/>
  <c r="S329"/>
  <c r="M329"/>
  <c r="M328"/>
  <c r="S331"/>
  <c r="S323"/>
  <c r="M323"/>
  <c r="S324"/>
  <c r="M324"/>
  <c r="S327"/>
  <c r="M327"/>
  <c r="S326"/>
  <c r="M326"/>
  <c r="S325"/>
  <c r="M325"/>
  <c r="S322"/>
  <c r="S321"/>
  <c r="S320"/>
  <c r="M320"/>
  <c r="S316"/>
  <c r="M316"/>
  <c r="S319"/>
  <c r="M319"/>
  <c r="S318"/>
  <c r="M318"/>
  <c r="S317"/>
  <c r="M317"/>
  <c r="M297"/>
  <c r="S315"/>
  <c r="S314"/>
  <c r="S313"/>
  <c r="M315"/>
  <c r="M314"/>
  <c r="M313"/>
  <c r="J4" i="8" l="1"/>
  <c r="P349" i="7"/>
  <c r="Q349" s="1"/>
  <c r="E214" i="10"/>
  <c r="P344" i="7"/>
  <c r="Q344" s="1"/>
  <c r="T344" s="1"/>
  <c r="P345"/>
  <c r="Q345" s="1"/>
  <c r="F15" i="4"/>
  <c r="H16"/>
  <c r="I210" i="10"/>
  <c r="H210"/>
  <c r="J210" s="1"/>
  <c r="H201"/>
  <c r="J19" i="8"/>
  <c r="L19"/>
  <c r="J10"/>
  <c r="L10"/>
  <c r="L9"/>
  <c r="J9"/>
  <c r="J21"/>
  <c r="L21"/>
  <c r="J23"/>
  <c r="L23"/>
  <c r="J22"/>
  <c r="L22"/>
  <c r="L20"/>
  <c r="J20"/>
  <c r="L4"/>
  <c r="P348" i="7"/>
  <c r="Q348" s="1"/>
  <c r="R348" s="1"/>
  <c r="R349"/>
  <c r="T349"/>
  <c r="Q347"/>
  <c r="T347" s="1"/>
  <c r="R347"/>
  <c r="P346"/>
  <c r="Q346" s="1"/>
  <c r="P342"/>
  <c r="Q342" s="1"/>
  <c r="P339"/>
  <c r="Q339" s="1"/>
  <c r="P343"/>
  <c r="Q343" s="1"/>
  <c r="T343" s="1"/>
  <c r="Q341"/>
  <c r="T341" s="1"/>
  <c r="P340"/>
  <c r="Q340" s="1"/>
  <c r="T340" s="1"/>
  <c r="P338"/>
  <c r="Q338" s="1"/>
  <c r="T338" s="1"/>
  <c r="P337"/>
  <c r="Q337" s="1"/>
  <c r="T337" s="1"/>
  <c r="M351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K258"/>
  <c r="L258" s="1"/>
  <c r="O258" s="1"/>
  <c r="G258"/>
  <c r="K257"/>
  <c r="L257" s="1"/>
  <c r="O257" s="1"/>
  <c r="G257"/>
  <c r="K256"/>
  <c r="L256" s="1"/>
  <c r="O256" s="1"/>
  <c r="G256"/>
  <c r="K255"/>
  <c r="L255" s="1"/>
  <c r="O255" s="1"/>
  <c r="G255"/>
  <c r="K254"/>
  <c r="L254" s="1"/>
  <c r="O254" s="1"/>
  <c r="G254"/>
  <c r="K253"/>
  <c r="L253" s="1"/>
  <c r="O253" s="1"/>
  <c r="G253"/>
  <c r="K252"/>
  <c r="L252" s="1"/>
  <c r="O252" s="1"/>
  <c r="G252"/>
  <c r="K251"/>
  <c r="L251" s="1"/>
  <c r="O251" s="1"/>
  <c r="G251"/>
  <c r="K250"/>
  <c r="L250" s="1"/>
  <c r="O250" s="1"/>
  <c r="G250"/>
  <c r="K249"/>
  <c r="L249" s="1"/>
  <c r="O249" s="1"/>
  <c r="G249"/>
  <c r="K248"/>
  <c r="L248" s="1"/>
  <c r="O248" s="1"/>
  <c r="G248"/>
  <c r="K247"/>
  <c r="L247" s="1"/>
  <c r="O247" s="1"/>
  <c r="G247"/>
  <c r="K246"/>
  <c r="L246" s="1"/>
  <c r="O246" s="1"/>
  <c r="G246"/>
  <c r="K245"/>
  <c r="L245" s="1"/>
  <c r="O245" s="1"/>
  <c r="G245"/>
  <c r="K244"/>
  <c r="L244" s="1"/>
  <c r="O244" s="1"/>
  <c r="G244"/>
  <c r="K243"/>
  <c r="L243" s="1"/>
  <c r="O243" s="1"/>
  <c r="G243"/>
  <c r="K242"/>
  <c r="L242" s="1"/>
  <c r="O242" s="1"/>
  <c r="G242"/>
  <c r="K241"/>
  <c r="L241" s="1"/>
  <c r="O241" s="1"/>
  <c r="G241"/>
  <c r="K240"/>
  <c r="L240" s="1"/>
  <c r="O240" s="1"/>
  <c r="G240"/>
  <c r="K239"/>
  <c r="L239" s="1"/>
  <c r="O239" s="1"/>
  <c r="G239"/>
  <c r="K238"/>
  <c r="L238" s="1"/>
  <c r="O238" s="1"/>
  <c r="G238"/>
  <c r="K237"/>
  <c r="L237" s="1"/>
  <c r="O237" s="1"/>
  <c r="G237"/>
  <c r="K236"/>
  <c r="L236" s="1"/>
  <c r="O236" s="1"/>
  <c r="G236"/>
  <c r="K235"/>
  <c r="L235" s="1"/>
  <c r="O235" s="1"/>
  <c r="G235"/>
  <c r="K234"/>
  <c r="L234" s="1"/>
  <c r="O234" s="1"/>
  <c r="G234"/>
  <c r="K233"/>
  <c r="L233" s="1"/>
  <c r="O233" s="1"/>
  <c r="G233"/>
  <c r="S72"/>
  <c r="I214" i="10" l="1"/>
  <c r="J214" s="1"/>
  <c r="J15" i="4"/>
  <c r="T345" i="7"/>
  <c r="R345"/>
  <c r="R346"/>
  <c r="T346"/>
  <c r="R344"/>
  <c r="L16" i="4"/>
  <c r="M16" s="1"/>
  <c r="R342" i="7"/>
  <c r="T342"/>
  <c r="R341"/>
  <c r="T339"/>
  <c r="R339"/>
  <c r="P233"/>
  <c r="Q233" s="1"/>
  <c r="T233" s="1"/>
  <c r="P237"/>
  <c r="P238"/>
  <c r="Q238" s="1"/>
  <c r="T238" s="1"/>
  <c r="P250"/>
  <c r="Q250" s="1"/>
  <c r="T250" s="1"/>
  <c r="P242"/>
  <c r="Q242" s="1"/>
  <c r="T242" s="1"/>
  <c r="P256"/>
  <c r="Q256" s="1"/>
  <c r="R343"/>
  <c r="L32" i="8"/>
  <c r="L31"/>
  <c r="R340" i="7"/>
  <c r="R338"/>
  <c r="P234"/>
  <c r="Q234" s="1"/>
  <c r="T234" s="1"/>
  <c r="P241"/>
  <c r="Q241" s="1"/>
  <c r="T241" s="1"/>
  <c r="P245"/>
  <c r="Q245" s="1"/>
  <c r="T245" s="1"/>
  <c r="P249"/>
  <c r="Q249" s="1"/>
  <c r="T249" s="1"/>
  <c r="P253"/>
  <c r="Q253" s="1"/>
  <c r="T253" s="1"/>
  <c r="P258"/>
  <c r="Q258" s="1"/>
  <c r="T258" s="1"/>
  <c r="Q237"/>
  <c r="T237" s="1"/>
  <c r="P246"/>
  <c r="Q246" s="1"/>
  <c r="T246" s="1"/>
  <c r="P254"/>
  <c r="Q254" s="1"/>
  <c r="T254" s="1"/>
  <c r="P257"/>
  <c r="Q257" s="1"/>
  <c r="T257" s="1"/>
  <c r="R337"/>
  <c r="P236"/>
  <c r="Q236" s="1"/>
  <c r="P240"/>
  <c r="Q240" s="1"/>
  <c r="P244"/>
  <c r="Q244" s="1"/>
  <c r="P248"/>
  <c r="Q248" s="1"/>
  <c r="P252"/>
  <c r="Q252" s="1"/>
  <c r="P235"/>
  <c r="Q235" s="1"/>
  <c r="T235" s="1"/>
  <c r="R237"/>
  <c r="P239"/>
  <c r="Q239" s="1"/>
  <c r="P243"/>
  <c r="Q243" s="1"/>
  <c r="P247"/>
  <c r="Q247" s="1"/>
  <c r="R249"/>
  <c r="P251"/>
  <c r="Q251" s="1"/>
  <c r="R253"/>
  <c r="P255"/>
  <c r="Q255" s="1"/>
  <c r="S120"/>
  <c r="R257" l="1"/>
  <c r="R254"/>
  <c r="R242"/>
  <c r="R241"/>
  <c r="R258"/>
  <c r="R234"/>
  <c r="T256"/>
  <c r="R256"/>
  <c r="R238"/>
  <c r="R245"/>
  <c r="R233"/>
  <c r="R250"/>
  <c r="R255"/>
  <c r="T255"/>
  <c r="R251"/>
  <c r="T251"/>
  <c r="R252"/>
  <c r="T252"/>
  <c r="R244"/>
  <c r="T244"/>
  <c r="R243"/>
  <c r="T243"/>
  <c r="R236"/>
  <c r="T236"/>
  <c r="R246"/>
  <c r="R239"/>
  <c r="T239"/>
  <c r="R248"/>
  <c r="T248"/>
  <c r="R240"/>
  <c r="T240"/>
  <c r="R247"/>
  <c r="T247"/>
  <c r="R235"/>
  <c r="G65"/>
  <c r="K65"/>
  <c r="L65" s="1"/>
  <c r="O65" s="1"/>
  <c r="M65"/>
  <c r="N65" s="1"/>
  <c r="S65"/>
  <c r="S57"/>
  <c r="M57"/>
  <c r="M259" s="1"/>
  <c r="C480"/>
  <c r="T479"/>
  <c r="S478"/>
  <c r="S477"/>
  <c r="S476"/>
  <c r="S475"/>
  <c r="S474"/>
  <c r="K478"/>
  <c r="L478" s="1"/>
  <c r="O478" s="1"/>
  <c r="K477"/>
  <c r="L477" s="1"/>
  <c r="O477" s="1"/>
  <c r="K476"/>
  <c r="L476" s="1"/>
  <c r="O476" s="1"/>
  <c r="K475"/>
  <c r="L475" s="1"/>
  <c r="O475" s="1"/>
  <c r="K474"/>
  <c r="L474" s="1"/>
  <c r="O474" s="1"/>
  <c r="N478"/>
  <c r="P478" s="1"/>
  <c r="N477"/>
  <c r="P477" s="1"/>
  <c r="N476"/>
  <c r="P476" s="1"/>
  <c r="N475"/>
  <c r="P475" s="1"/>
  <c r="N474"/>
  <c r="P474" s="1"/>
  <c r="S473"/>
  <c r="M473"/>
  <c r="S472"/>
  <c r="U480" s="1"/>
  <c r="M472"/>
  <c r="S469"/>
  <c r="S468"/>
  <c r="S467"/>
  <c r="S466"/>
  <c r="S465"/>
  <c r="S464"/>
  <c r="S463"/>
  <c r="S462"/>
  <c r="S461"/>
  <c r="S460"/>
  <c r="S459"/>
  <c r="S458"/>
  <c r="S457"/>
  <c r="S456"/>
  <c r="S455"/>
  <c r="S454"/>
  <c r="S453"/>
  <c r="S452"/>
  <c r="S451"/>
  <c r="S450"/>
  <c r="S449"/>
  <c r="S448"/>
  <c r="S447"/>
  <c r="S446"/>
  <c r="S445"/>
  <c r="S444"/>
  <c r="S443"/>
  <c r="S442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K469"/>
  <c r="L469" s="1"/>
  <c r="O469" s="1"/>
  <c r="G469"/>
  <c r="K468"/>
  <c r="L468" s="1"/>
  <c r="O468" s="1"/>
  <c r="G468"/>
  <c r="K467"/>
  <c r="L467" s="1"/>
  <c r="O467" s="1"/>
  <c r="G467"/>
  <c r="K466"/>
  <c r="L466" s="1"/>
  <c r="O466" s="1"/>
  <c r="G466"/>
  <c r="K465"/>
  <c r="L465" s="1"/>
  <c r="O465" s="1"/>
  <c r="G465"/>
  <c r="K464"/>
  <c r="L464" s="1"/>
  <c r="O464" s="1"/>
  <c r="G464"/>
  <c r="K463"/>
  <c r="L463" s="1"/>
  <c r="O463" s="1"/>
  <c r="G463"/>
  <c r="K462"/>
  <c r="L462" s="1"/>
  <c r="O462" s="1"/>
  <c r="G462"/>
  <c r="K461"/>
  <c r="L461" s="1"/>
  <c r="O461" s="1"/>
  <c r="G461"/>
  <c r="K460"/>
  <c r="L460" s="1"/>
  <c r="O460" s="1"/>
  <c r="G460"/>
  <c r="K459"/>
  <c r="L459" s="1"/>
  <c r="O459" s="1"/>
  <c r="G459"/>
  <c r="K458"/>
  <c r="L458" s="1"/>
  <c r="O458" s="1"/>
  <c r="G458"/>
  <c r="K457"/>
  <c r="L457" s="1"/>
  <c r="O457" s="1"/>
  <c r="G457"/>
  <c r="K456"/>
  <c r="L456" s="1"/>
  <c r="O456" s="1"/>
  <c r="G456"/>
  <c r="K455"/>
  <c r="L455" s="1"/>
  <c r="O455" s="1"/>
  <c r="G455"/>
  <c r="K454"/>
  <c r="L454" s="1"/>
  <c r="O454" s="1"/>
  <c r="G454"/>
  <c r="K453"/>
  <c r="L453" s="1"/>
  <c r="O453" s="1"/>
  <c r="G453"/>
  <c r="K452"/>
  <c r="L452" s="1"/>
  <c r="O452" s="1"/>
  <c r="G452"/>
  <c r="K451"/>
  <c r="L451" s="1"/>
  <c r="O451" s="1"/>
  <c r="G451"/>
  <c r="K450"/>
  <c r="L450" s="1"/>
  <c r="O450" s="1"/>
  <c r="G450"/>
  <c r="K449"/>
  <c r="L449" s="1"/>
  <c r="O449" s="1"/>
  <c r="G449"/>
  <c r="K448"/>
  <c r="L448" s="1"/>
  <c r="O448" s="1"/>
  <c r="G448"/>
  <c r="K447"/>
  <c r="L447" s="1"/>
  <c r="O447" s="1"/>
  <c r="G447"/>
  <c r="K446"/>
  <c r="L446" s="1"/>
  <c r="O446" s="1"/>
  <c r="G446"/>
  <c r="K445"/>
  <c r="L445" s="1"/>
  <c r="O445" s="1"/>
  <c r="G445"/>
  <c r="K444"/>
  <c r="L444" s="1"/>
  <c r="O444" s="1"/>
  <c r="G444"/>
  <c r="K443"/>
  <c r="L443" s="1"/>
  <c r="O443" s="1"/>
  <c r="G443"/>
  <c r="M442"/>
  <c r="S441"/>
  <c r="M441"/>
  <c r="S440"/>
  <c r="M440"/>
  <c r="S439"/>
  <c r="M439"/>
  <c r="S438"/>
  <c r="M438"/>
  <c r="M437"/>
  <c r="S437"/>
  <c r="S436"/>
  <c r="S435"/>
  <c r="S434"/>
  <c r="M434"/>
  <c r="P65" l="1"/>
  <c r="Q65" s="1"/>
  <c r="R65" s="1"/>
  <c r="P447"/>
  <c r="Q447" s="1"/>
  <c r="Q476"/>
  <c r="T476" s="1"/>
  <c r="P455"/>
  <c r="Q455" s="1"/>
  <c r="R455" s="1"/>
  <c r="P459"/>
  <c r="Q459" s="1"/>
  <c r="T459" s="1"/>
  <c r="P467"/>
  <c r="Q467" s="1"/>
  <c r="M480"/>
  <c r="P445"/>
  <c r="Q445" s="1"/>
  <c r="R445" s="1"/>
  <c r="P448"/>
  <c r="Q448" s="1"/>
  <c r="P452"/>
  <c r="P460"/>
  <c r="Q460" s="1"/>
  <c r="Q478"/>
  <c r="T478" s="1"/>
  <c r="Q474"/>
  <c r="T474" s="1"/>
  <c r="Q475"/>
  <c r="R475" s="1"/>
  <c r="Q477"/>
  <c r="R477" s="1"/>
  <c r="R478"/>
  <c r="M470"/>
  <c r="Q452"/>
  <c r="T452" s="1"/>
  <c r="P456"/>
  <c r="Q456" s="1"/>
  <c r="T456" s="1"/>
  <c r="P461"/>
  <c r="Q461" s="1"/>
  <c r="T461" s="1"/>
  <c r="P444"/>
  <c r="Q444" s="1"/>
  <c r="T444" s="1"/>
  <c r="P469"/>
  <c r="Q469" s="1"/>
  <c r="R469" s="1"/>
  <c r="P443"/>
  <c r="Q443" s="1"/>
  <c r="R443" s="1"/>
  <c r="P457"/>
  <c r="Q457" s="1"/>
  <c r="T457" s="1"/>
  <c r="P463"/>
  <c r="Q463" s="1"/>
  <c r="T463" s="1"/>
  <c r="P451"/>
  <c r="Q451" s="1"/>
  <c r="T451" s="1"/>
  <c r="P464"/>
  <c r="Q464" s="1"/>
  <c r="R464" s="1"/>
  <c r="P468"/>
  <c r="Q468" s="1"/>
  <c r="T468" s="1"/>
  <c r="R444"/>
  <c r="P446"/>
  <c r="Q446" s="1"/>
  <c r="R446" s="1"/>
  <c r="P450"/>
  <c r="Q450" s="1"/>
  <c r="R450" s="1"/>
  <c r="P454"/>
  <c r="Q454" s="1"/>
  <c r="R454" s="1"/>
  <c r="P458"/>
  <c r="Q458" s="1"/>
  <c r="R458" s="1"/>
  <c r="P462"/>
  <c r="Q462" s="1"/>
  <c r="R462" s="1"/>
  <c r="P466"/>
  <c r="Q466" s="1"/>
  <c r="R466" s="1"/>
  <c r="P449"/>
  <c r="Q449" s="1"/>
  <c r="R449" s="1"/>
  <c r="P453"/>
  <c r="Q453" s="1"/>
  <c r="R453" s="1"/>
  <c r="P465"/>
  <c r="Q465" s="1"/>
  <c r="R465" s="1"/>
  <c r="S381"/>
  <c r="M377"/>
  <c r="N387"/>
  <c r="N386"/>
  <c r="N385"/>
  <c r="N384"/>
  <c r="N383"/>
  <c r="K387"/>
  <c r="L387" s="1"/>
  <c r="O387" s="1"/>
  <c r="G387"/>
  <c r="K386"/>
  <c r="L386" s="1"/>
  <c r="O386" s="1"/>
  <c r="G386"/>
  <c r="K385"/>
  <c r="L385" s="1"/>
  <c r="O385" s="1"/>
  <c r="G385"/>
  <c r="K384"/>
  <c r="L384" s="1"/>
  <c r="O384" s="1"/>
  <c r="G384"/>
  <c r="K383"/>
  <c r="L383" s="1"/>
  <c r="O383" s="1"/>
  <c r="G383"/>
  <c r="M382"/>
  <c r="M381"/>
  <c r="M370"/>
  <c r="M369"/>
  <c r="S365"/>
  <c r="S364"/>
  <c r="S363"/>
  <c r="S362"/>
  <c r="S361"/>
  <c r="M365"/>
  <c r="M364"/>
  <c r="M363"/>
  <c r="M362"/>
  <c r="M361"/>
  <c r="S357"/>
  <c r="S356"/>
  <c r="S355"/>
  <c r="S354"/>
  <c r="M357"/>
  <c r="M356"/>
  <c r="C290"/>
  <c r="S289"/>
  <c r="S288"/>
  <c r="S287"/>
  <c r="N283"/>
  <c r="N282"/>
  <c r="N281"/>
  <c r="N280"/>
  <c r="N279"/>
  <c r="N278"/>
  <c r="N277"/>
  <c r="N276"/>
  <c r="N275"/>
  <c r="N274"/>
  <c r="N273"/>
  <c r="N272"/>
  <c r="K283"/>
  <c r="L283" s="1"/>
  <c r="O283" s="1"/>
  <c r="K282"/>
  <c r="L282" s="1"/>
  <c r="O282" s="1"/>
  <c r="K281"/>
  <c r="L281" s="1"/>
  <c r="O281" s="1"/>
  <c r="K280"/>
  <c r="L280" s="1"/>
  <c r="O280" s="1"/>
  <c r="K279"/>
  <c r="L279" s="1"/>
  <c r="O279" s="1"/>
  <c r="K278"/>
  <c r="L278" s="1"/>
  <c r="O278" s="1"/>
  <c r="K277"/>
  <c r="L277" s="1"/>
  <c r="O277" s="1"/>
  <c r="K276"/>
  <c r="L276" s="1"/>
  <c r="O276" s="1"/>
  <c r="K275"/>
  <c r="L275" s="1"/>
  <c r="O275" s="1"/>
  <c r="K274"/>
  <c r="L274" s="1"/>
  <c r="O274" s="1"/>
  <c r="K273"/>
  <c r="L273" s="1"/>
  <c r="O273" s="1"/>
  <c r="K272"/>
  <c r="L272" s="1"/>
  <c r="O272" s="1"/>
  <c r="G283"/>
  <c r="Q283" s="1"/>
  <c r="T283" s="1"/>
  <c r="G282"/>
  <c r="Q282" s="1"/>
  <c r="T282" s="1"/>
  <c r="G281"/>
  <c r="Q281" s="1"/>
  <c r="T281" s="1"/>
  <c r="G280"/>
  <c r="Q280" s="1"/>
  <c r="T280" s="1"/>
  <c r="G279"/>
  <c r="Q279" s="1"/>
  <c r="T279" s="1"/>
  <c r="G278"/>
  <c r="Q278" s="1"/>
  <c r="T278" s="1"/>
  <c r="G277"/>
  <c r="Q277" s="1"/>
  <c r="T277" s="1"/>
  <c r="G276"/>
  <c r="Q276" s="1"/>
  <c r="T276" s="1"/>
  <c r="G275"/>
  <c r="Q275" s="1"/>
  <c r="T275" s="1"/>
  <c r="G274"/>
  <c r="Q274" s="1"/>
  <c r="T274" s="1"/>
  <c r="G273"/>
  <c r="Q273" s="1"/>
  <c r="T273" s="1"/>
  <c r="G272"/>
  <c r="Q272" s="1"/>
  <c r="T272" s="1"/>
  <c r="M289"/>
  <c r="M288"/>
  <c r="M287"/>
  <c r="S286"/>
  <c r="M286"/>
  <c r="S285"/>
  <c r="S271"/>
  <c r="S270"/>
  <c r="S269"/>
  <c r="S268"/>
  <c r="K8"/>
  <c r="C12"/>
  <c r="M12"/>
  <c r="N11"/>
  <c r="N10"/>
  <c r="N9"/>
  <c r="K11"/>
  <c r="L11" s="1"/>
  <c r="O11" s="1"/>
  <c r="K10"/>
  <c r="L10" s="1"/>
  <c r="O10" s="1"/>
  <c r="K9"/>
  <c r="L9" s="1"/>
  <c r="O9" s="1"/>
  <c r="G11"/>
  <c r="G10"/>
  <c r="G9"/>
  <c r="R456" l="1"/>
  <c r="V9"/>
  <c r="W9"/>
  <c r="Y9" s="1"/>
  <c r="W10"/>
  <c r="Y10" s="1"/>
  <c r="V10"/>
  <c r="V11"/>
  <c r="W11"/>
  <c r="Y11" s="1"/>
  <c r="R452"/>
  <c r="T467"/>
  <c r="R467"/>
  <c r="T460"/>
  <c r="R460"/>
  <c r="T447"/>
  <c r="R447"/>
  <c r="R461"/>
  <c r="R476"/>
  <c r="R463"/>
  <c r="R457"/>
  <c r="R459"/>
  <c r="T475"/>
  <c r="T448"/>
  <c r="R448"/>
  <c r="R468"/>
  <c r="R451"/>
  <c r="R474"/>
  <c r="T465"/>
  <c r="T449"/>
  <c r="T466"/>
  <c r="T450"/>
  <c r="T443"/>
  <c r="T469"/>
  <c r="T453"/>
  <c r="T477"/>
  <c r="T454"/>
  <c r="T458"/>
  <c r="T464"/>
  <c r="T445"/>
  <c r="T462"/>
  <c r="T446"/>
  <c r="T455"/>
  <c r="P9"/>
  <c r="Q9" s="1"/>
  <c r="R274"/>
  <c r="P276"/>
  <c r="P11"/>
  <c r="Q11" s="1"/>
  <c r="R282"/>
  <c r="M389"/>
  <c r="P385"/>
  <c r="Q385" s="1"/>
  <c r="P387"/>
  <c r="Q387" s="1"/>
  <c r="R273"/>
  <c r="P280"/>
  <c r="P283"/>
  <c r="M366"/>
  <c r="P384"/>
  <c r="Q384" s="1"/>
  <c r="T384" s="1"/>
  <c r="R277"/>
  <c r="P272"/>
  <c r="P275"/>
  <c r="R278"/>
  <c r="R281"/>
  <c r="P282"/>
  <c r="P383"/>
  <c r="Q383" s="1"/>
  <c r="T383" s="1"/>
  <c r="P279"/>
  <c r="P386"/>
  <c r="Q386" s="1"/>
  <c r="M290"/>
  <c r="R272"/>
  <c r="P274"/>
  <c r="R276"/>
  <c r="P278"/>
  <c r="R280"/>
  <c r="P273"/>
  <c r="R275"/>
  <c r="P277"/>
  <c r="R279"/>
  <c r="P281"/>
  <c r="R283"/>
  <c r="P10"/>
  <c r="X11" l="1"/>
  <c r="T11"/>
  <c r="X9"/>
  <c r="T9"/>
  <c r="R11"/>
  <c r="R9"/>
  <c r="R383"/>
  <c r="T387"/>
  <c r="R387"/>
  <c r="R386"/>
  <c r="T386"/>
  <c r="R385"/>
  <c r="T385"/>
  <c r="R384"/>
  <c r="Q10"/>
  <c r="K4"/>
  <c r="L4" s="1"/>
  <c r="R10" l="1"/>
  <c r="T10"/>
  <c r="X10"/>
  <c r="N19" i="4"/>
  <c r="N20"/>
  <c r="I21"/>
  <c r="I24"/>
  <c r="I25" s="1"/>
  <c r="I28" s="1"/>
  <c r="E25"/>
  <c r="M80" i="8" l="1"/>
  <c r="M68"/>
  <c r="P23" i="4" s="1"/>
  <c r="M28" i="8" l="1"/>
  <c r="S393" i="7"/>
  <c r="F55" i="8" l="1"/>
  <c r="T393" i="7" l="1"/>
  <c r="T284"/>
  <c r="L79" i="8"/>
  <c r="L78"/>
  <c r="L77"/>
  <c r="L76"/>
  <c r="L75"/>
  <c r="M33" l="1"/>
  <c r="T309" i="7" l="1"/>
  <c r="T308"/>
  <c r="T312"/>
  <c r="T311"/>
  <c r="U358" l="1"/>
  <c r="M39" i="8"/>
  <c r="M63"/>
  <c r="M24"/>
  <c r="U351" i="7"/>
  <c r="U366"/>
  <c r="P14" i="4" s="1"/>
  <c r="M72" i="8"/>
  <c r="T307" i="7"/>
  <c r="S485"/>
  <c r="T293"/>
  <c r="S414"/>
  <c r="T414" s="1"/>
  <c r="S413"/>
  <c r="T413" s="1"/>
  <c r="S412"/>
  <c r="T412" s="1"/>
  <c r="S411"/>
  <c r="T411" s="1"/>
  <c r="S410"/>
  <c r="T410" s="1"/>
  <c r="S409"/>
  <c r="T409" s="1"/>
  <c r="S408"/>
  <c r="T408" s="1"/>
  <c r="S407"/>
  <c r="T407" s="1"/>
  <c r="S406"/>
  <c r="T406" s="1"/>
  <c r="S405"/>
  <c r="T405" s="1"/>
  <c r="S404"/>
  <c r="T404" s="1"/>
  <c r="S403"/>
  <c r="T403" s="1"/>
  <c r="S402"/>
  <c r="T402" s="1"/>
  <c r="S401"/>
  <c r="T401" s="1"/>
  <c r="S400"/>
  <c r="T400" s="1"/>
  <c r="S399"/>
  <c r="T399" s="1"/>
  <c r="S398"/>
  <c r="T398" s="1"/>
  <c r="S397"/>
  <c r="T397" s="1"/>
  <c r="S396"/>
  <c r="T396" s="1"/>
  <c r="S395"/>
  <c r="T395" s="1"/>
  <c r="S394"/>
  <c r="T260"/>
  <c r="T261"/>
  <c r="T291"/>
  <c r="T292"/>
  <c r="T294"/>
  <c r="T295"/>
  <c r="T296"/>
  <c r="T297"/>
  <c r="T350"/>
  <c r="T352"/>
  <c r="T353"/>
  <c r="T359"/>
  <c r="T360"/>
  <c r="T367"/>
  <c r="T368"/>
  <c r="T390"/>
  <c r="T391"/>
  <c r="T392"/>
  <c r="T471"/>
  <c r="T486"/>
  <c r="P18" i="4" l="1"/>
  <c r="L12"/>
  <c r="P12"/>
  <c r="T394" i="7"/>
  <c r="T262"/>
  <c r="U290"/>
  <c r="C366"/>
  <c r="F24" i="4"/>
  <c r="B72" i="8"/>
  <c r="B68"/>
  <c r="F23" i="4" s="1"/>
  <c r="B39" i="8"/>
  <c r="N25" i="9"/>
  <c r="L25"/>
  <c r="H25"/>
  <c r="M25" s="1"/>
  <c r="K23"/>
  <c r="I23"/>
  <c r="I24" s="1"/>
  <c r="G23"/>
  <c r="E23"/>
  <c r="N22"/>
  <c r="K20"/>
  <c r="I20"/>
  <c r="G20"/>
  <c r="N19"/>
  <c r="N17"/>
  <c r="N11"/>
  <c r="L11"/>
  <c r="H11"/>
  <c r="M358" i="7"/>
  <c r="N472"/>
  <c r="G24" i="9" l="1"/>
  <c r="K24"/>
  <c r="M11"/>
  <c r="N23"/>
  <c r="N267" i="7" l="1"/>
  <c r="K267"/>
  <c r="L267" s="1"/>
  <c r="O267" s="1"/>
  <c r="Q267" s="1"/>
  <c r="T267" s="1"/>
  <c r="N289"/>
  <c r="R267" l="1"/>
  <c r="N270" l="1"/>
  <c r="K270"/>
  <c r="L270" s="1"/>
  <c r="O270" s="1"/>
  <c r="G270"/>
  <c r="Q270" s="1"/>
  <c r="T270" s="1"/>
  <c r="R270" l="1"/>
  <c r="P270"/>
  <c r="F66" i="8" l="1"/>
  <c r="F61"/>
  <c r="G61" s="1"/>
  <c r="H61" s="1"/>
  <c r="F60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G55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27"/>
  <c r="G27" s="1"/>
  <c r="H27" s="1"/>
  <c r="F26"/>
  <c r="G26" s="1"/>
  <c r="H26" s="1"/>
  <c r="B33"/>
  <c r="I66" l="1"/>
  <c r="G66"/>
  <c r="H66" s="1"/>
  <c r="L36"/>
  <c r="L70"/>
  <c r="L37"/>
  <c r="I33"/>
  <c r="L66"/>
  <c r="L38"/>
  <c r="D49"/>
  <c r="D48"/>
  <c r="D47"/>
  <c r="D46"/>
  <c r="D45"/>
  <c r="D44"/>
  <c r="D43"/>
  <c r="D42"/>
  <c r="D57"/>
  <c r="D56"/>
  <c r="D55"/>
  <c r="I55" s="1"/>
  <c r="D54"/>
  <c r="I54" s="1"/>
  <c r="D53"/>
  <c r="D52"/>
  <c r="D51"/>
  <c r="D50"/>
  <c r="D61"/>
  <c r="D60"/>
  <c r="D59"/>
  <c r="D58"/>
  <c r="B28"/>
  <c r="F17" i="4" s="1"/>
  <c r="F21" s="1"/>
  <c r="D26" i="8"/>
  <c r="D27"/>
  <c r="L8"/>
  <c r="D5"/>
  <c r="N442" i="7"/>
  <c r="K442"/>
  <c r="L442" s="1"/>
  <c r="O442" s="1"/>
  <c r="G442"/>
  <c r="N336"/>
  <c r="K336"/>
  <c r="L336" s="1"/>
  <c r="O336" s="1"/>
  <c r="G336"/>
  <c r="N286"/>
  <c r="K286"/>
  <c r="L286" s="1"/>
  <c r="O286" s="1"/>
  <c r="G286"/>
  <c r="Q286" s="1"/>
  <c r="T286" s="1"/>
  <c r="N285"/>
  <c r="K285"/>
  <c r="L285" s="1"/>
  <c r="O285" s="1"/>
  <c r="G285"/>
  <c r="Q285" s="1"/>
  <c r="T285" s="1"/>
  <c r="N288"/>
  <c r="K288"/>
  <c r="L288" s="1"/>
  <c r="O288" s="1"/>
  <c r="G288"/>
  <c r="Q288" s="1"/>
  <c r="T288" s="1"/>
  <c r="N287"/>
  <c r="K287"/>
  <c r="L287" s="1"/>
  <c r="O287" s="1"/>
  <c r="G287"/>
  <c r="Q287" s="1"/>
  <c r="T287" s="1"/>
  <c r="K289"/>
  <c r="L289" s="1"/>
  <c r="O289" s="1"/>
  <c r="G289"/>
  <c r="Q289" s="1"/>
  <c r="T289" s="1"/>
  <c r="N271"/>
  <c r="K271"/>
  <c r="L271" s="1"/>
  <c r="O271" s="1"/>
  <c r="G271"/>
  <c r="Q271" s="1"/>
  <c r="T271" s="1"/>
  <c r="N269"/>
  <c r="K269"/>
  <c r="L269" s="1"/>
  <c r="O269" s="1"/>
  <c r="G269"/>
  <c r="Q269" s="1"/>
  <c r="T269" s="1"/>
  <c r="N268"/>
  <c r="K268"/>
  <c r="L268" s="1"/>
  <c r="O268" s="1"/>
  <c r="G268"/>
  <c r="Q268" s="1"/>
  <c r="T268" s="1"/>
  <c r="K472"/>
  <c r="L472" s="1"/>
  <c r="O472" s="1"/>
  <c r="N441"/>
  <c r="N440"/>
  <c r="N439"/>
  <c r="N438"/>
  <c r="N437"/>
  <c r="N436"/>
  <c r="N435"/>
  <c r="K435"/>
  <c r="L435" s="1"/>
  <c r="O435" s="1"/>
  <c r="K436"/>
  <c r="L436" s="1"/>
  <c r="O436" s="1"/>
  <c r="K437"/>
  <c r="L437" s="1"/>
  <c r="O437" s="1"/>
  <c r="K438"/>
  <c r="L438" s="1"/>
  <c r="O438" s="1"/>
  <c r="K439"/>
  <c r="L439" s="1"/>
  <c r="O439" s="1"/>
  <c r="K440"/>
  <c r="L440" s="1"/>
  <c r="O440" s="1"/>
  <c r="K441"/>
  <c r="L441" s="1"/>
  <c r="O441" s="1"/>
  <c r="G435"/>
  <c r="G436"/>
  <c r="G437"/>
  <c r="G438"/>
  <c r="G439"/>
  <c r="G440"/>
  <c r="G441"/>
  <c r="N434"/>
  <c r="K434"/>
  <c r="L434" s="1"/>
  <c r="O434" s="1"/>
  <c r="G434"/>
  <c r="N381"/>
  <c r="K381"/>
  <c r="L381" s="1"/>
  <c r="O381" s="1"/>
  <c r="G381"/>
  <c r="N333"/>
  <c r="N334"/>
  <c r="N335"/>
  <c r="K333"/>
  <c r="L333" s="1"/>
  <c r="O333" s="1"/>
  <c r="K334"/>
  <c r="L334" s="1"/>
  <c r="O334" s="1"/>
  <c r="K335"/>
  <c r="L335" s="1"/>
  <c r="O335" s="1"/>
  <c r="G333"/>
  <c r="G334"/>
  <c r="G335"/>
  <c r="N332"/>
  <c r="K332"/>
  <c r="L332" s="1"/>
  <c r="O332" s="1"/>
  <c r="G332"/>
  <c r="N111"/>
  <c r="N114"/>
  <c r="N117"/>
  <c r="N113"/>
  <c r="N112"/>
  <c r="N115"/>
  <c r="N109"/>
  <c r="N116"/>
  <c r="N118"/>
  <c r="N108"/>
  <c r="N119"/>
  <c r="N110"/>
  <c r="K111"/>
  <c r="L111" s="1"/>
  <c r="O111" s="1"/>
  <c r="K114"/>
  <c r="L114" s="1"/>
  <c r="O114" s="1"/>
  <c r="K117"/>
  <c r="L117" s="1"/>
  <c r="O117" s="1"/>
  <c r="K113"/>
  <c r="L113" s="1"/>
  <c r="O113" s="1"/>
  <c r="K112"/>
  <c r="L112" s="1"/>
  <c r="O112" s="1"/>
  <c r="K115"/>
  <c r="L115" s="1"/>
  <c r="O115" s="1"/>
  <c r="K109"/>
  <c r="L109" s="1"/>
  <c r="O109" s="1"/>
  <c r="K116"/>
  <c r="L116" s="1"/>
  <c r="O116" s="1"/>
  <c r="K118"/>
  <c r="L118" s="1"/>
  <c r="O118" s="1"/>
  <c r="K108"/>
  <c r="L108" s="1"/>
  <c r="O108" s="1"/>
  <c r="K119"/>
  <c r="L119" s="1"/>
  <c r="O119" s="1"/>
  <c r="K110"/>
  <c r="L110" s="1"/>
  <c r="O110" s="1"/>
  <c r="G111"/>
  <c r="G114"/>
  <c r="G117"/>
  <c r="G113"/>
  <c r="G112"/>
  <c r="G115"/>
  <c r="G109"/>
  <c r="G116"/>
  <c r="G118"/>
  <c r="G108"/>
  <c r="G119"/>
  <c r="G110"/>
  <c r="N473"/>
  <c r="N480" s="1"/>
  <c r="K473"/>
  <c r="L473" s="1"/>
  <c r="O473" s="1"/>
  <c r="N433"/>
  <c r="K433"/>
  <c r="L433" s="1"/>
  <c r="O433" s="1"/>
  <c r="G433"/>
  <c r="N432"/>
  <c r="K432"/>
  <c r="L432" s="1"/>
  <c r="O432" s="1"/>
  <c r="G432"/>
  <c r="N431"/>
  <c r="K431"/>
  <c r="L431" s="1"/>
  <c r="O431" s="1"/>
  <c r="G431"/>
  <c r="N430"/>
  <c r="K430"/>
  <c r="L430" s="1"/>
  <c r="O430" s="1"/>
  <c r="G430"/>
  <c r="N429"/>
  <c r="K429"/>
  <c r="L429" s="1"/>
  <c r="O429" s="1"/>
  <c r="G429"/>
  <c r="N428"/>
  <c r="K428"/>
  <c r="L428" s="1"/>
  <c r="O428" s="1"/>
  <c r="G428"/>
  <c r="N427"/>
  <c r="K427"/>
  <c r="L427" s="1"/>
  <c r="O427" s="1"/>
  <c r="G427"/>
  <c r="N426"/>
  <c r="K426"/>
  <c r="L426" s="1"/>
  <c r="O426" s="1"/>
  <c r="G426"/>
  <c r="N425"/>
  <c r="K425"/>
  <c r="L425" s="1"/>
  <c r="O425" s="1"/>
  <c r="G425"/>
  <c r="N424"/>
  <c r="K424"/>
  <c r="L424" s="1"/>
  <c r="O424" s="1"/>
  <c r="G424"/>
  <c r="N423"/>
  <c r="K423"/>
  <c r="L423" s="1"/>
  <c r="O423" s="1"/>
  <c r="G423"/>
  <c r="N422"/>
  <c r="K422"/>
  <c r="L422" s="1"/>
  <c r="O422" s="1"/>
  <c r="Q422" s="1"/>
  <c r="T422" s="1"/>
  <c r="G422"/>
  <c r="N421"/>
  <c r="K421"/>
  <c r="L421" s="1"/>
  <c r="O421" s="1"/>
  <c r="Q421" s="1"/>
  <c r="T421" s="1"/>
  <c r="G421"/>
  <c r="N420"/>
  <c r="K420"/>
  <c r="L420" s="1"/>
  <c r="O420" s="1"/>
  <c r="G420"/>
  <c r="N419"/>
  <c r="K419"/>
  <c r="L419" s="1"/>
  <c r="O419" s="1"/>
  <c r="G419"/>
  <c r="N418"/>
  <c r="K418"/>
  <c r="L418" s="1"/>
  <c r="O418" s="1"/>
  <c r="G418"/>
  <c r="N417"/>
  <c r="K417"/>
  <c r="L417" s="1"/>
  <c r="O417" s="1"/>
  <c r="G417"/>
  <c r="N416"/>
  <c r="K416"/>
  <c r="L416" s="1"/>
  <c r="O416" s="1"/>
  <c r="G416"/>
  <c r="N415"/>
  <c r="K415"/>
  <c r="L415" s="1"/>
  <c r="O415" s="1"/>
  <c r="G415"/>
  <c r="N414"/>
  <c r="K414"/>
  <c r="L414" s="1"/>
  <c r="O414" s="1"/>
  <c r="G414"/>
  <c r="R414" s="1"/>
  <c r="N413"/>
  <c r="K413"/>
  <c r="L413" s="1"/>
  <c r="O413" s="1"/>
  <c r="G413"/>
  <c r="R413" s="1"/>
  <c r="N412"/>
  <c r="K412"/>
  <c r="L412" s="1"/>
  <c r="O412" s="1"/>
  <c r="G412"/>
  <c r="R412" s="1"/>
  <c r="N411"/>
  <c r="K411"/>
  <c r="L411" s="1"/>
  <c r="O411" s="1"/>
  <c r="G411"/>
  <c r="R411" s="1"/>
  <c r="N410"/>
  <c r="K410"/>
  <c r="L410" s="1"/>
  <c r="O410" s="1"/>
  <c r="G410"/>
  <c r="R410" s="1"/>
  <c r="N409"/>
  <c r="K409"/>
  <c r="L409" s="1"/>
  <c r="O409" s="1"/>
  <c r="G409"/>
  <c r="R409" s="1"/>
  <c r="N408"/>
  <c r="K408"/>
  <c r="L408" s="1"/>
  <c r="O408" s="1"/>
  <c r="G408"/>
  <c r="R408" s="1"/>
  <c r="N407"/>
  <c r="K407"/>
  <c r="L407" s="1"/>
  <c r="O407" s="1"/>
  <c r="G407"/>
  <c r="R407" s="1"/>
  <c r="N406"/>
  <c r="K406"/>
  <c r="L406" s="1"/>
  <c r="O406" s="1"/>
  <c r="G406"/>
  <c r="R406" s="1"/>
  <c r="N405"/>
  <c r="K405"/>
  <c r="L405" s="1"/>
  <c r="O405" s="1"/>
  <c r="G405"/>
  <c r="R405" s="1"/>
  <c r="N404"/>
  <c r="K404"/>
  <c r="L404" s="1"/>
  <c r="O404" s="1"/>
  <c r="G404"/>
  <c r="R404" s="1"/>
  <c r="N403"/>
  <c r="K403"/>
  <c r="L403" s="1"/>
  <c r="O403" s="1"/>
  <c r="G403"/>
  <c r="R403" s="1"/>
  <c r="N402"/>
  <c r="K402"/>
  <c r="L402" s="1"/>
  <c r="O402" s="1"/>
  <c r="G402"/>
  <c r="R402" s="1"/>
  <c r="N401"/>
  <c r="K401"/>
  <c r="L401" s="1"/>
  <c r="O401" s="1"/>
  <c r="G401"/>
  <c r="R401" s="1"/>
  <c r="N400"/>
  <c r="K400"/>
  <c r="L400" s="1"/>
  <c r="O400" s="1"/>
  <c r="G400"/>
  <c r="R400" s="1"/>
  <c r="N399"/>
  <c r="K399"/>
  <c r="L399" s="1"/>
  <c r="O399" s="1"/>
  <c r="G399"/>
  <c r="R399" s="1"/>
  <c r="N398"/>
  <c r="K398"/>
  <c r="L398" s="1"/>
  <c r="O398" s="1"/>
  <c r="G398"/>
  <c r="R398" s="1"/>
  <c r="N397"/>
  <c r="K397"/>
  <c r="L397" s="1"/>
  <c r="O397" s="1"/>
  <c r="G397"/>
  <c r="R397" s="1"/>
  <c r="N396"/>
  <c r="K396"/>
  <c r="L396" s="1"/>
  <c r="O396" s="1"/>
  <c r="G396"/>
  <c r="R396" s="1"/>
  <c r="N395"/>
  <c r="K395"/>
  <c r="L395" s="1"/>
  <c r="O395" s="1"/>
  <c r="G395"/>
  <c r="R395" s="1"/>
  <c r="N394"/>
  <c r="K394"/>
  <c r="L394" s="1"/>
  <c r="O394" s="1"/>
  <c r="G394"/>
  <c r="R394" s="1"/>
  <c r="N393"/>
  <c r="K393"/>
  <c r="L393" s="1"/>
  <c r="O393" s="1"/>
  <c r="G393"/>
  <c r="R393" s="1"/>
  <c r="N392"/>
  <c r="K392"/>
  <c r="L392" s="1"/>
  <c r="O392" s="1"/>
  <c r="G392"/>
  <c r="R392" s="1"/>
  <c r="N382"/>
  <c r="K382"/>
  <c r="L382" s="1"/>
  <c r="O382" s="1"/>
  <c r="G382"/>
  <c r="N380"/>
  <c r="K380"/>
  <c r="L380" s="1"/>
  <c r="O380" s="1"/>
  <c r="G380"/>
  <c r="N379"/>
  <c r="K379"/>
  <c r="L379" s="1"/>
  <c r="O379" s="1"/>
  <c r="G379"/>
  <c r="N378"/>
  <c r="K378"/>
  <c r="L378" s="1"/>
  <c r="O378" s="1"/>
  <c r="G378"/>
  <c r="K377"/>
  <c r="L377" s="1"/>
  <c r="O377" s="1"/>
  <c r="C377"/>
  <c r="C389" s="1"/>
  <c r="N376"/>
  <c r="K376"/>
  <c r="L376" s="1"/>
  <c r="O376" s="1"/>
  <c r="G376"/>
  <c r="N375"/>
  <c r="K375"/>
  <c r="L375" s="1"/>
  <c r="O375" s="1"/>
  <c r="G375"/>
  <c r="N374"/>
  <c r="K374"/>
  <c r="L374" s="1"/>
  <c r="O374" s="1"/>
  <c r="G374"/>
  <c r="N373"/>
  <c r="K373"/>
  <c r="L373" s="1"/>
  <c r="O373" s="1"/>
  <c r="G373"/>
  <c r="N372"/>
  <c r="K372"/>
  <c r="L372" s="1"/>
  <c r="O372" s="1"/>
  <c r="G372"/>
  <c r="N371"/>
  <c r="K371"/>
  <c r="L371" s="1"/>
  <c r="O371" s="1"/>
  <c r="G371"/>
  <c r="N370"/>
  <c r="K370"/>
  <c r="L370" s="1"/>
  <c r="O370" s="1"/>
  <c r="G370"/>
  <c r="N369"/>
  <c r="K369"/>
  <c r="L369" s="1"/>
  <c r="O369" s="1"/>
  <c r="Q369" s="1"/>
  <c r="T369" s="1"/>
  <c r="G369"/>
  <c r="N365"/>
  <c r="K365"/>
  <c r="L365" s="1"/>
  <c r="O365" s="1"/>
  <c r="G365"/>
  <c r="N364"/>
  <c r="K364"/>
  <c r="L364" s="1"/>
  <c r="O364" s="1"/>
  <c r="G364"/>
  <c r="V364" s="1"/>
  <c r="N363"/>
  <c r="K363"/>
  <c r="L363" s="1"/>
  <c r="O363" s="1"/>
  <c r="G363"/>
  <c r="N362"/>
  <c r="K362"/>
  <c r="L362" s="1"/>
  <c r="O362" s="1"/>
  <c r="G362"/>
  <c r="V362" s="1"/>
  <c r="N361"/>
  <c r="K361"/>
  <c r="L361" s="1"/>
  <c r="O361" s="1"/>
  <c r="G361"/>
  <c r="C358"/>
  <c r="N357"/>
  <c r="K357"/>
  <c r="L357" s="1"/>
  <c r="O357" s="1"/>
  <c r="G357"/>
  <c r="N356"/>
  <c r="K356"/>
  <c r="L356" s="1"/>
  <c r="O356" s="1"/>
  <c r="G356"/>
  <c r="V356" s="1"/>
  <c r="N355"/>
  <c r="K355"/>
  <c r="L355" s="1"/>
  <c r="O355" s="1"/>
  <c r="G355"/>
  <c r="N354"/>
  <c r="K354"/>
  <c r="L354" s="1"/>
  <c r="O354" s="1"/>
  <c r="G354"/>
  <c r="N331"/>
  <c r="K331"/>
  <c r="L331" s="1"/>
  <c r="O331" s="1"/>
  <c r="G331"/>
  <c r="N330"/>
  <c r="K330"/>
  <c r="L330" s="1"/>
  <c r="O330" s="1"/>
  <c r="G330"/>
  <c r="N329"/>
  <c r="K329"/>
  <c r="L329" s="1"/>
  <c r="O329" s="1"/>
  <c r="G329"/>
  <c r="N328"/>
  <c r="K328"/>
  <c r="L328" s="1"/>
  <c r="O328" s="1"/>
  <c r="G328"/>
  <c r="N327"/>
  <c r="K327"/>
  <c r="L327" s="1"/>
  <c r="O327" s="1"/>
  <c r="G327"/>
  <c r="N326"/>
  <c r="K326"/>
  <c r="L326" s="1"/>
  <c r="O326" s="1"/>
  <c r="G326"/>
  <c r="K325"/>
  <c r="L325" s="1"/>
  <c r="O325" s="1"/>
  <c r="C325"/>
  <c r="G325" s="1"/>
  <c r="N324"/>
  <c r="K324"/>
  <c r="L324" s="1"/>
  <c r="O324" s="1"/>
  <c r="G324"/>
  <c r="N323"/>
  <c r="K323"/>
  <c r="L323" s="1"/>
  <c r="O323" s="1"/>
  <c r="G323"/>
  <c r="N322"/>
  <c r="K322"/>
  <c r="L322" s="1"/>
  <c r="O322" s="1"/>
  <c r="G322"/>
  <c r="N321"/>
  <c r="K321"/>
  <c r="L321" s="1"/>
  <c r="O321" s="1"/>
  <c r="G321"/>
  <c r="N320"/>
  <c r="K320"/>
  <c r="L320" s="1"/>
  <c r="O320" s="1"/>
  <c r="G320"/>
  <c r="N319"/>
  <c r="K319"/>
  <c r="L319" s="1"/>
  <c r="O319" s="1"/>
  <c r="G319"/>
  <c r="N318"/>
  <c r="K318"/>
  <c r="L318" s="1"/>
  <c r="O318" s="1"/>
  <c r="G318"/>
  <c r="N317"/>
  <c r="K317"/>
  <c r="L317" s="1"/>
  <c r="O317" s="1"/>
  <c r="G317"/>
  <c r="N316"/>
  <c r="K316"/>
  <c r="L316" s="1"/>
  <c r="O316" s="1"/>
  <c r="G316"/>
  <c r="N315"/>
  <c r="K315"/>
  <c r="L315" s="1"/>
  <c r="O315" s="1"/>
  <c r="G315"/>
  <c r="N314"/>
  <c r="K314"/>
  <c r="L314" s="1"/>
  <c r="O314" s="1"/>
  <c r="G314"/>
  <c r="N313"/>
  <c r="K313"/>
  <c r="L313" s="1"/>
  <c r="O313" s="1"/>
  <c r="G313"/>
  <c r="N312"/>
  <c r="K312"/>
  <c r="L312" s="1"/>
  <c r="O312" s="1"/>
  <c r="G312"/>
  <c r="N311"/>
  <c r="K311"/>
  <c r="L311" s="1"/>
  <c r="O311" s="1"/>
  <c r="G311"/>
  <c r="N310"/>
  <c r="K310"/>
  <c r="L310" s="1"/>
  <c r="O310" s="1"/>
  <c r="G310"/>
  <c r="N309"/>
  <c r="K309"/>
  <c r="L309" s="1"/>
  <c r="O309" s="1"/>
  <c r="G309"/>
  <c r="K308"/>
  <c r="L308" s="1"/>
  <c r="O308" s="1"/>
  <c r="C308"/>
  <c r="N308" s="1"/>
  <c r="K307"/>
  <c r="L307" s="1"/>
  <c r="O307" s="1"/>
  <c r="C307"/>
  <c r="N306"/>
  <c r="K306"/>
  <c r="L306" s="1"/>
  <c r="O306" s="1"/>
  <c r="G306"/>
  <c r="N305"/>
  <c r="K305"/>
  <c r="L305" s="1"/>
  <c r="O305" s="1"/>
  <c r="G305"/>
  <c r="N304"/>
  <c r="K304"/>
  <c r="L304" s="1"/>
  <c r="O304" s="1"/>
  <c r="G304"/>
  <c r="N303"/>
  <c r="K303"/>
  <c r="L303" s="1"/>
  <c r="O303" s="1"/>
  <c r="G303"/>
  <c r="N302"/>
  <c r="K302"/>
  <c r="L302" s="1"/>
  <c r="O302" s="1"/>
  <c r="G302"/>
  <c r="N301"/>
  <c r="K301"/>
  <c r="L301" s="1"/>
  <c r="O301" s="1"/>
  <c r="G301"/>
  <c r="N300"/>
  <c r="K300"/>
  <c r="L300" s="1"/>
  <c r="O300" s="1"/>
  <c r="G300"/>
  <c r="N299"/>
  <c r="K299"/>
  <c r="L299" s="1"/>
  <c r="O299" s="1"/>
  <c r="G299"/>
  <c r="N298"/>
  <c r="K298"/>
  <c r="L298" s="1"/>
  <c r="O298" s="1"/>
  <c r="G298"/>
  <c r="N297"/>
  <c r="K297"/>
  <c r="L297" s="1"/>
  <c r="O297" s="1"/>
  <c r="G297"/>
  <c r="R297" s="1"/>
  <c r="N296"/>
  <c r="K296"/>
  <c r="L296" s="1"/>
  <c r="O296" s="1"/>
  <c r="G296"/>
  <c r="R296" s="1"/>
  <c r="N295"/>
  <c r="K295"/>
  <c r="L295" s="1"/>
  <c r="O295" s="1"/>
  <c r="G295"/>
  <c r="R295" s="1"/>
  <c r="N294"/>
  <c r="K294"/>
  <c r="L294" s="1"/>
  <c r="O294" s="1"/>
  <c r="G294"/>
  <c r="R294" s="1"/>
  <c r="N293"/>
  <c r="K293"/>
  <c r="L293" s="1"/>
  <c r="O293" s="1"/>
  <c r="G293"/>
  <c r="N266"/>
  <c r="K266"/>
  <c r="L266" s="1"/>
  <c r="O266" s="1"/>
  <c r="Q266" s="1"/>
  <c r="T266" s="1"/>
  <c r="G266"/>
  <c r="N265"/>
  <c r="K265"/>
  <c r="L265" s="1"/>
  <c r="O265" s="1"/>
  <c r="Q265" s="1"/>
  <c r="T265" s="1"/>
  <c r="G265"/>
  <c r="N264"/>
  <c r="K264"/>
  <c r="L264" s="1"/>
  <c r="O264" s="1"/>
  <c r="Q264" s="1"/>
  <c r="T264" s="1"/>
  <c r="G264"/>
  <c r="N263"/>
  <c r="K263"/>
  <c r="L263" s="1"/>
  <c r="O263" s="1"/>
  <c r="Q263" s="1"/>
  <c r="G263"/>
  <c r="K262"/>
  <c r="L262" s="1"/>
  <c r="O262" s="1"/>
  <c r="G262"/>
  <c r="N232"/>
  <c r="K232"/>
  <c r="L232" s="1"/>
  <c r="O232" s="1"/>
  <c r="G232"/>
  <c r="N231"/>
  <c r="K231"/>
  <c r="L231" s="1"/>
  <c r="O231" s="1"/>
  <c r="G231"/>
  <c r="N230"/>
  <c r="K230"/>
  <c r="L230" s="1"/>
  <c r="O230" s="1"/>
  <c r="G230"/>
  <c r="N229"/>
  <c r="K229"/>
  <c r="L229" s="1"/>
  <c r="O229" s="1"/>
  <c r="G229"/>
  <c r="N228"/>
  <c r="K228"/>
  <c r="L228" s="1"/>
  <c r="O228" s="1"/>
  <c r="G228"/>
  <c r="N227"/>
  <c r="K227"/>
  <c r="L227" s="1"/>
  <c r="O227" s="1"/>
  <c r="G227"/>
  <c r="N226"/>
  <c r="K226"/>
  <c r="L226" s="1"/>
  <c r="O226" s="1"/>
  <c r="G226"/>
  <c r="N225"/>
  <c r="K225"/>
  <c r="L225" s="1"/>
  <c r="O225" s="1"/>
  <c r="G225"/>
  <c r="N224"/>
  <c r="K224"/>
  <c r="L224" s="1"/>
  <c r="O224" s="1"/>
  <c r="G224"/>
  <c r="N223"/>
  <c r="K223"/>
  <c r="L223" s="1"/>
  <c r="O223" s="1"/>
  <c r="G223"/>
  <c r="N222"/>
  <c r="K222"/>
  <c r="L222" s="1"/>
  <c r="O222" s="1"/>
  <c r="G222"/>
  <c r="K221"/>
  <c r="L221" s="1"/>
  <c r="O221" s="1"/>
  <c r="C221"/>
  <c r="N221" s="1"/>
  <c r="N220"/>
  <c r="K220"/>
  <c r="L220" s="1"/>
  <c r="O220" s="1"/>
  <c r="G220"/>
  <c r="N105"/>
  <c r="K105"/>
  <c r="L105" s="1"/>
  <c r="O105" s="1"/>
  <c r="G105"/>
  <c r="N102"/>
  <c r="K102"/>
  <c r="L102" s="1"/>
  <c r="O102" s="1"/>
  <c r="G102"/>
  <c r="N106"/>
  <c r="K106"/>
  <c r="L106" s="1"/>
  <c r="O106" s="1"/>
  <c r="G106"/>
  <c r="N103"/>
  <c r="K103"/>
  <c r="L103" s="1"/>
  <c r="O103" s="1"/>
  <c r="G103"/>
  <c r="N104"/>
  <c r="K104"/>
  <c r="L104" s="1"/>
  <c r="O104" s="1"/>
  <c r="G104"/>
  <c r="N101"/>
  <c r="K101"/>
  <c r="L101" s="1"/>
  <c r="O101" s="1"/>
  <c r="G101"/>
  <c r="N107"/>
  <c r="K107"/>
  <c r="L107" s="1"/>
  <c r="O107" s="1"/>
  <c r="G107"/>
  <c r="N90"/>
  <c r="K90"/>
  <c r="L90" s="1"/>
  <c r="O90" s="1"/>
  <c r="G90"/>
  <c r="N93"/>
  <c r="K93"/>
  <c r="L93" s="1"/>
  <c r="O93" s="1"/>
  <c r="G93"/>
  <c r="N80"/>
  <c r="K80"/>
  <c r="L80" s="1"/>
  <c r="O80" s="1"/>
  <c r="G80"/>
  <c r="N219"/>
  <c r="K219"/>
  <c r="L219" s="1"/>
  <c r="O219" s="1"/>
  <c r="G219"/>
  <c r="N218"/>
  <c r="K218"/>
  <c r="L218" s="1"/>
  <c r="O218" s="1"/>
  <c r="G218"/>
  <c r="N217"/>
  <c r="K217"/>
  <c r="L217" s="1"/>
  <c r="O217" s="1"/>
  <c r="G217"/>
  <c r="N216"/>
  <c r="K216"/>
  <c r="L216" s="1"/>
  <c r="O216" s="1"/>
  <c r="G216"/>
  <c r="N215"/>
  <c r="K215"/>
  <c r="L215" s="1"/>
  <c r="O215" s="1"/>
  <c r="G215"/>
  <c r="N214"/>
  <c r="K214"/>
  <c r="L214" s="1"/>
  <c r="O214" s="1"/>
  <c r="G214"/>
  <c r="N213"/>
  <c r="K213"/>
  <c r="L213" s="1"/>
  <c r="O213" s="1"/>
  <c r="G213"/>
  <c r="N212"/>
  <c r="K212"/>
  <c r="L212" s="1"/>
  <c r="O212" s="1"/>
  <c r="G212"/>
  <c r="N211"/>
  <c r="K211"/>
  <c r="L211" s="1"/>
  <c r="O211" s="1"/>
  <c r="G211"/>
  <c r="N210"/>
  <c r="K210"/>
  <c r="L210" s="1"/>
  <c r="O210" s="1"/>
  <c r="G210"/>
  <c r="N209"/>
  <c r="K209"/>
  <c r="L209" s="1"/>
  <c r="O209" s="1"/>
  <c r="G209"/>
  <c r="N208"/>
  <c r="K208"/>
  <c r="L208" s="1"/>
  <c r="O208" s="1"/>
  <c r="G208"/>
  <c r="N207"/>
  <c r="K207"/>
  <c r="L207" s="1"/>
  <c r="O207" s="1"/>
  <c r="G207"/>
  <c r="N206"/>
  <c r="K206"/>
  <c r="L206" s="1"/>
  <c r="O206" s="1"/>
  <c r="G206"/>
  <c r="N205"/>
  <c r="K205"/>
  <c r="L205" s="1"/>
  <c r="O205" s="1"/>
  <c r="G205"/>
  <c r="N204"/>
  <c r="K204"/>
  <c r="L204" s="1"/>
  <c r="O204" s="1"/>
  <c r="G204"/>
  <c r="N203"/>
  <c r="K203"/>
  <c r="L203" s="1"/>
  <c r="O203" s="1"/>
  <c r="G203"/>
  <c r="N202"/>
  <c r="K202"/>
  <c r="L202" s="1"/>
  <c r="O202" s="1"/>
  <c r="G202"/>
  <c r="N99"/>
  <c r="K99"/>
  <c r="L99" s="1"/>
  <c r="O99" s="1"/>
  <c r="G99"/>
  <c r="N201"/>
  <c r="K201"/>
  <c r="L201" s="1"/>
  <c r="O201" s="1"/>
  <c r="G201"/>
  <c r="N200"/>
  <c r="K200"/>
  <c r="L200" s="1"/>
  <c r="O200" s="1"/>
  <c r="G200"/>
  <c r="N199"/>
  <c r="K199"/>
  <c r="L199" s="1"/>
  <c r="O199" s="1"/>
  <c r="G199"/>
  <c r="N198"/>
  <c r="K198"/>
  <c r="L198" s="1"/>
  <c r="O198" s="1"/>
  <c r="G198"/>
  <c r="N197"/>
  <c r="K197"/>
  <c r="L197" s="1"/>
  <c r="O197" s="1"/>
  <c r="G197"/>
  <c r="N196"/>
  <c r="K196"/>
  <c r="L196" s="1"/>
  <c r="O196" s="1"/>
  <c r="G196"/>
  <c r="N195"/>
  <c r="K195"/>
  <c r="L195" s="1"/>
  <c r="O195" s="1"/>
  <c r="G195"/>
  <c r="N194"/>
  <c r="K194"/>
  <c r="L194" s="1"/>
  <c r="O194" s="1"/>
  <c r="G194"/>
  <c r="N193"/>
  <c r="K193"/>
  <c r="L193" s="1"/>
  <c r="O193" s="1"/>
  <c r="G193"/>
  <c r="N192"/>
  <c r="K192"/>
  <c r="L192" s="1"/>
  <c r="O192" s="1"/>
  <c r="G192"/>
  <c r="N191"/>
  <c r="K191"/>
  <c r="L191" s="1"/>
  <c r="O191" s="1"/>
  <c r="G191"/>
  <c r="N190"/>
  <c r="K190"/>
  <c r="L190" s="1"/>
  <c r="O190" s="1"/>
  <c r="G190"/>
  <c r="N189"/>
  <c r="K189"/>
  <c r="L189" s="1"/>
  <c r="O189" s="1"/>
  <c r="G189"/>
  <c r="N188"/>
  <c r="K188"/>
  <c r="L188" s="1"/>
  <c r="O188" s="1"/>
  <c r="G188"/>
  <c r="N187"/>
  <c r="K187"/>
  <c r="L187" s="1"/>
  <c r="O187" s="1"/>
  <c r="G187"/>
  <c r="N186"/>
  <c r="K186"/>
  <c r="L186" s="1"/>
  <c r="O186" s="1"/>
  <c r="G186"/>
  <c r="N185"/>
  <c r="K185"/>
  <c r="L185" s="1"/>
  <c r="O185" s="1"/>
  <c r="G185"/>
  <c r="N184"/>
  <c r="K184"/>
  <c r="L184" s="1"/>
  <c r="O184" s="1"/>
  <c r="G184"/>
  <c r="N183"/>
  <c r="K183"/>
  <c r="L183" s="1"/>
  <c r="O183" s="1"/>
  <c r="G183"/>
  <c r="N182"/>
  <c r="K182"/>
  <c r="L182" s="1"/>
  <c r="O182" s="1"/>
  <c r="G182"/>
  <c r="N181"/>
  <c r="K181"/>
  <c r="L181" s="1"/>
  <c r="O181" s="1"/>
  <c r="G181"/>
  <c r="N180"/>
  <c r="K180"/>
  <c r="L180" s="1"/>
  <c r="O180" s="1"/>
  <c r="G180"/>
  <c r="N179"/>
  <c r="K179"/>
  <c r="L179" s="1"/>
  <c r="O179" s="1"/>
  <c r="G179"/>
  <c r="N178"/>
  <c r="K178"/>
  <c r="L178" s="1"/>
  <c r="O178" s="1"/>
  <c r="G178"/>
  <c r="N177"/>
  <c r="K177"/>
  <c r="L177" s="1"/>
  <c r="O177" s="1"/>
  <c r="G177"/>
  <c r="N176"/>
  <c r="K176"/>
  <c r="L176" s="1"/>
  <c r="O176" s="1"/>
  <c r="G176"/>
  <c r="N175"/>
  <c r="K175"/>
  <c r="L175" s="1"/>
  <c r="O175" s="1"/>
  <c r="G175"/>
  <c r="N174"/>
  <c r="K174"/>
  <c r="L174" s="1"/>
  <c r="O174" s="1"/>
  <c r="G174"/>
  <c r="N173"/>
  <c r="K173"/>
  <c r="L173" s="1"/>
  <c r="O173" s="1"/>
  <c r="G173"/>
  <c r="N172"/>
  <c r="K172"/>
  <c r="L172" s="1"/>
  <c r="O172" s="1"/>
  <c r="G172"/>
  <c r="N171"/>
  <c r="K171"/>
  <c r="L171" s="1"/>
  <c r="O171" s="1"/>
  <c r="G171"/>
  <c r="N170"/>
  <c r="K170"/>
  <c r="L170" s="1"/>
  <c r="O170" s="1"/>
  <c r="G170"/>
  <c r="N169"/>
  <c r="K169"/>
  <c r="L169" s="1"/>
  <c r="O169" s="1"/>
  <c r="G169"/>
  <c r="N168"/>
  <c r="K168"/>
  <c r="L168" s="1"/>
  <c r="O168" s="1"/>
  <c r="G168"/>
  <c r="N167"/>
  <c r="K167"/>
  <c r="L167" s="1"/>
  <c r="O167" s="1"/>
  <c r="G167"/>
  <c r="N166"/>
  <c r="K166"/>
  <c r="L166" s="1"/>
  <c r="O166" s="1"/>
  <c r="G166"/>
  <c r="N165"/>
  <c r="K165"/>
  <c r="L165" s="1"/>
  <c r="O165" s="1"/>
  <c r="G165"/>
  <c r="N164"/>
  <c r="K164"/>
  <c r="L164" s="1"/>
  <c r="O164" s="1"/>
  <c r="G164"/>
  <c r="N163"/>
  <c r="K163"/>
  <c r="L163" s="1"/>
  <c r="O163" s="1"/>
  <c r="G163"/>
  <c r="N162"/>
  <c r="K162"/>
  <c r="L162" s="1"/>
  <c r="O162" s="1"/>
  <c r="G162"/>
  <c r="N161"/>
  <c r="K161"/>
  <c r="L161" s="1"/>
  <c r="O161" s="1"/>
  <c r="G161"/>
  <c r="N160"/>
  <c r="K160"/>
  <c r="L160" s="1"/>
  <c r="O160" s="1"/>
  <c r="G160"/>
  <c r="N159"/>
  <c r="K159"/>
  <c r="L159" s="1"/>
  <c r="O159" s="1"/>
  <c r="G159"/>
  <c r="N158"/>
  <c r="K158"/>
  <c r="L158" s="1"/>
  <c r="O158" s="1"/>
  <c r="G158"/>
  <c r="N157"/>
  <c r="K157"/>
  <c r="L157" s="1"/>
  <c r="O157" s="1"/>
  <c r="G157"/>
  <c r="N156"/>
  <c r="K156"/>
  <c r="L156" s="1"/>
  <c r="O156" s="1"/>
  <c r="G156"/>
  <c r="N155"/>
  <c r="K155"/>
  <c r="L155" s="1"/>
  <c r="O155" s="1"/>
  <c r="G155"/>
  <c r="N154"/>
  <c r="K154"/>
  <c r="L154" s="1"/>
  <c r="O154" s="1"/>
  <c r="G154"/>
  <c r="N153"/>
  <c r="K153"/>
  <c r="L153" s="1"/>
  <c r="O153" s="1"/>
  <c r="G153"/>
  <c r="N152"/>
  <c r="K152"/>
  <c r="L152" s="1"/>
  <c r="O152" s="1"/>
  <c r="G152"/>
  <c r="N151"/>
  <c r="K151"/>
  <c r="L151" s="1"/>
  <c r="O151" s="1"/>
  <c r="G151"/>
  <c r="N150"/>
  <c r="K150"/>
  <c r="L150" s="1"/>
  <c r="O150" s="1"/>
  <c r="G150"/>
  <c r="N149"/>
  <c r="K149"/>
  <c r="L149" s="1"/>
  <c r="O149" s="1"/>
  <c r="G149"/>
  <c r="N148"/>
  <c r="K148"/>
  <c r="L148" s="1"/>
  <c r="O148" s="1"/>
  <c r="G148"/>
  <c r="N147"/>
  <c r="K147"/>
  <c r="L147" s="1"/>
  <c r="O147" s="1"/>
  <c r="G147"/>
  <c r="N146"/>
  <c r="K146"/>
  <c r="L146" s="1"/>
  <c r="O146" s="1"/>
  <c r="G146"/>
  <c r="N145"/>
  <c r="K145"/>
  <c r="L145" s="1"/>
  <c r="O145" s="1"/>
  <c r="G145"/>
  <c r="N144"/>
  <c r="K144"/>
  <c r="L144" s="1"/>
  <c r="O144" s="1"/>
  <c r="G144"/>
  <c r="N143"/>
  <c r="K143"/>
  <c r="L143" s="1"/>
  <c r="O143" s="1"/>
  <c r="G143"/>
  <c r="N87"/>
  <c r="K87"/>
  <c r="L87" s="1"/>
  <c r="O87" s="1"/>
  <c r="G87"/>
  <c r="N142"/>
  <c r="K142"/>
  <c r="L142" s="1"/>
  <c r="O142" s="1"/>
  <c r="G142"/>
  <c r="N141"/>
  <c r="K141"/>
  <c r="L141" s="1"/>
  <c r="O141" s="1"/>
  <c r="G141"/>
  <c r="N140"/>
  <c r="K140"/>
  <c r="L140" s="1"/>
  <c r="O140" s="1"/>
  <c r="G140"/>
  <c r="N139"/>
  <c r="K139"/>
  <c r="L139" s="1"/>
  <c r="O139" s="1"/>
  <c r="G139"/>
  <c r="N138"/>
  <c r="K138"/>
  <c r="L138" s="1"/>
  <c r="O138" s="1"/>
  <c r="G138"/>
  <c r="N137"/>
  <c r="K137"/>
  <c r="L137" s="1"/>
  <c r="O137" s="1"/>
  <c r="G137"/>
  <c r="N136"/>
  <c r="K136"/>
  <c r="L136" s="1"/>
  <c r="O136" s="1"/>
  <c r="G136"/>
  <c r="N135"/>
  <c r="K135"/>
  <c r="L135" s="1"/>
  <c r="O135" s="1"/>
  <c r="G135"/>
  <c r="N134"/>
  <c r="K134"/>
  <c r="L134" s="1"/>
  <c r="O134" s="1"/>
  <c r="G134"/>
  <c r="N133"/>
  <c r="K133"/>
  <c r="L133" s="1"/>
  <c r="O133" s="1"/>
  <c r="G133"/>
  <c r="N132"/>
  <c r="K132"/>
  <c r="L132" s="1"/>
  <c r="O132" s="1"/>
  <c r="G132"/>
  <c r="N131"/>
  <c r="K131"/>
  <c r="L131" s="1"/>
  <c r="O131" s="1"/>
  <c r="G131"/>
  <c r="N130"/>
  <c r="K130"/>
  <c r="L130" s="1"/>
  <c r="O130" s="1"/>
  <c r="G130"/>
  <c r="N84"/>
  <c r="K84"/>
  <c r="L84" s="1"/>
  <c r="O84" s="1"/>
  <c r="G84"/>
  <c r="N129"/>
  <c r="K129"/>
  <c r="L129" s="1"/>
  <c r="O129" s="1"/>
  <c r="G129"/>
  <c r="N128"/>
  <c r="K128"/>
  <c r="L128" s="1"/>
  <c r="O128" s="1"/>
  <c r="G128"/>
  <c r="N127"/>
  <c r="K127"/>
  <c r="L127" s="1"/>
  <c r="O127" s="1"/>
  <c r="G127"/>
  <c r="N126"/>
  <c r="K126"/>
  <c r="L126" s="1"/>
  <c r="O126" s="1"/>
  <c r="G126"/>
  <c r="N125"/>
  <c r="K125"/>
  <c r="L125" s="1"/>
  <c r="O125" s="1"/>
  <c r="G125"/>
  <c r="N124"/>
  <c r="K124"/>
  <c r="L124" s="1"/>
  <c r="O124" s="1"/>
  <c r="G124"/>
  <c r="N123"/>
  <c r="K123"/>
  <c r="L123" s="1"/>
  <c r="O123" s="1"/>
  <c r="G123"/>
  <c r="N122"/>
  <c r="K122"/>
  <c r="L122" s="1"/>
  <c r="O122" s="1"/>
  <c r="G122"/>
  <c r="N121"/>
  <c r="K121"/>
  <c r="L121" s="1"/>
  <c r="O121" s="1"/>
  <c r="G121"/>
  <c r="N120"/>
  <c r="K120"/>
  <c r="L120" s="1"/>
  <c r="O120" s="1"/>
  <c r="G120"/>
  <c r="N96"/>
  <c r="K96"/>
  <c r="L96" s="1"/>
  <c r="O96" s="1"/>
  <c r="G96"/>
  <c r="N91"/>
  <c r="K91"/>
  <c r="L91" s="1"/>
  <c r="O91" s="1"/>
  <c r="G91"/>
  <c r="N88"/>
  <c r="K88"/>
  <c r="L88" s="1"/>
  <c r="O88" s="1"/>
  <c r="G88"/>
  <c r="N86"/>
  <c r="K86"/>
  <c r="L86" s="1"/>
  <c r="O86" s="1"/>
  <c r="G86"/>
  <c r="N81"/>
  <c r="K81"/>
  <c r="L81" s="1"/>
  <c r="O81" s="1"/>
  <c r="G81"/>
  <c r="N95"/>
  <c r="K95"/>
  <c r="L95" s="1"/>
  <c r="O95" s="1"/>
  <c r="G95"/>
  <c r="N82"/>
  <c r="K82"/>
  <c r="L82" s="1"/>
  <c r="O82" s="1"/>
  <c r="G82"/>
  <c r="N98"/>
  <c r="K98"/>
  <c r="L98" s="1"/>
  <c r="O98" s="1"/>
  <c r="G98"/>
  <c r="N97"/>
  <c r="K97"/>
  <c r="L97" s="1"/>
  <c r="O97" s="1"/>
  <c r="G97"/>
  <c r="N92"/>
  <c r="K92"/>
  <c r="L92" s="1"/>
  <c r="O92" s="1"/>
  <c r="G92"/>
  <c r="N83"/>
  <c r="K83"/>
  <c r="L83" s="1"/>
  <c r="O83" s="1"/>
  <c r="G83"/>
  <c r="N79"/>
  <c r="K79"/>
  <c r="L79" s="1"/>
  <c r="O79" s="1"/>
  <c r="G79"/>
  <c r="N100"/>
  <c r="K100"/>
  <c r="L100" s="1"/>
  <c r="O100" s="1"/>
  <c r="G100"/>
  <c r="N85"/>
  <c r="K85"/>
  <c r="L85" s="1"/>
  <c r="O85" s="1"/>
  <c r="G85"/>
  <c r="N94"/>
  <c r="K94"/>
  <c r="L94" s="1"/>
  <c r="O94" s="1"/>
  <c r="G94"/>
  <c r="N89"/>
  <c r="K89"/>
  <c r="L89" s="1"/>
  <c r="O89" s="1"/>
  <c r="G89"/>
  <c r="N77"/>
  <c r="K77"/>
  <c r="L77" s="1"/>
  <c r="O77" s="1"/>
  <c r="G77"/>
  <c r="N75"/>
  <c r="K75"/>
  <c r="L75" s="1"/>
  <c r="O75" s="1"/>
  <c r="G75"/>
  <c r="N74"/>
  <c r="K74"/>
  <c r="L74" s="1"/>
  <c r="O74" s="1"/>
  <c r="G74"/>
  <c r="N73"/>
  <c r="K73"/>
  <c r="L73" s="1"/>
  <c r="O73" s="1"/>
  <c r="G73"/>
  <c r="N76"/>
  <c r="K76"/>
  <c r="L76" s="1"/>
  <c r="O76" s="1"/>
  <c r="G76"/>
  <c r="N78"/>
  <c r="K78"/>
  <c r="L78" s="1"/>
  <c r="O78" s="1"/>
  <c r="G78"/>
  <c r="N62"/>
  <c r="K62"/>
  <c r="L62" s="1"/>
  <c r="O62" s="1"/>
  <c r="G62"/>
  <c r="N63"/>
  <c r="K63"/>
  <c r="L63" s="1"/>
  <c r="O63" s="1"/>
  <c r="G63"/>
  <c r="N70"/>
  <c r="K70"/>
  <c r="L70" s="1"/>
  <c r="O70" s="1"/>
  <c r="G70"/>
  <c r="N72"/>
  <c r="K72"/>
  <c r="L72" s="1"/>
  <c r="O72" s="1"/>
  <c r="G72"/>
  <c r="N69"/>
  <c r="K69"/>
  <c r="L69" s="1"/>
  <c r="O69" s="1"/>
  <c r="G69"/>
  <c r="N67"/>
  <c r="K67"/>
  <c r="L67" s="1"/>
  <c r="O67" s="1"/>
  <c r="G67"/>
  <c r="N66"/>
  <c r="K66"/>
  <c r="L66" s="1"/>
  <c r="O66" s="1"/>
  <c r="G66"/>
  <c r="N64"/>
  <c r="K64"/>
  <c r="L64" s="1"/>
  <c r="O64" s="1"/>
  <c r="G64"/>
  <c r="N71"/>
  <c r="K71"/>
  <c r="L71" s="1"/>
  <c r="O71" s="1"/>
  <c r="G71"/>
  <c r="N61"/>
  <c r="K61"/>
  <c r="L61" s="1"/>
  <c r="O61" s="1"/>
  <c r="G61"/>
  <c r="N68"/>
  <c r="K68"/>
  <c r="L68" s="1"/>
  <c r="O68" s="1"/>
  <c r="G68"/>
  <c r="N60"/>
  <c r="K60"/>
  <c r="L60" s="1"/>
  <c r="O60" s="1"/>
  <c r="G60"/>
  <c r="N59"/>
  <c r="K59"/>
  <c r="L59" s="1"/>
  <c r="O59" s="1"/>
  <c r="G59"/>
  <c r="N58"/>
  <c r="K58"/>
  <c r="L58" s="1"/>
  <c r="O58" s="1"/>
  <c r="G58"/>
  <c r="N56"/>
  <c r="K56"/>
  <c r="L56" s="1"/>
  <c r="O56" s="1"/>
  <c r="G56"/>
  <c r="N55"/>
  <c r="K55"/>
  <c r="L55" s="1"/>
  <c r="O55" s="1"/>
  <c r="G55"/>
  <c r="N57"/>
  <c r="K57"/>
  <c r="L57" s="1"/>
  <c r="O57" s="1"/>
  <c r="G57"/>
  <c r="N54"/>
  <c r="K54"/>
  <c r="L54" s="1"/>
  <c r="O54" s="1"/>
  <c r="G54"/>
  <c r="N32"/>
  <c r="K32"/>
  <c r="L32" s="1"/>
  <c r="O32" s="1"/>
  <c r="G32"/>
  <c r="N53"/>
  <c r="K53"/>
  <c r="L53" s="1"/>
  <c r="O53" s="1"/>
  <c r="G53"/>
  <c r="N31"/>
  <c r="K31"/>
  <c r="L31" s="1"/>
  <c r="O31" s="1"/>
  <c r="G31"/>
  <c r="N52"/>
  <c r="K52"/>
  <c r="L52" s="1"/>
  <c r="O52" s="1"/>
  <c r="G52"/>
  <c r="N37"/>
  <c r="K37"/>
  <c r="L37" s="1"/>
  <c r="O37" s="1"/>
  <c r="G37"/>
  <c r="K36"/>
  <c r="L36" s="1"/>
  <c r="O36" s="1"/>
  <c r="C36"/>
  <c r="C259" s="1"/>
  <c r="N30"/>
  <c r="K30"/>
  <c r="L30" s="1"/>
  <c r="O30" s="1"/>
  <c r="G30"/>
  <c r="N28"/>
  <c r="K28"/>
  <c r="L28" s="1"/>
  <c r="O28" s="1"/>
  <c r="G28"/>
  <c r="N27"/>
  <c r="K27"/>
  <c r="L27" s="1"/>
  <c r="O27" s="1"/>
  <c r="G27"/>
  <c r="N51"/>
  <c r="K51"/>
  <c r="L51" s="1"/>
  <c r="O51" s="1"/>
  <c r="G51"/>
  <c r="N29"/>
  <c r="K29"/>
  <c r="L29" s="1"/>
  <c r="O29" s="1"/>
  <c r="G29"/>
  <c r="N50"/>
  <c r="K50"/>
  <c r="L50" s="1"/>
  <c r="O50" s="1"/>
  <c r="G50"/>
  <c r="N26"/>
  <c r="K26"/>
  <c r="L26" s="1"/>
  <c r="O26" s="1"/>
  <c r="G26"/>
  <c r="N49"/>
  <c r="K49"/>
  <c r="L49" s="1"/>
  <c r="O49" s="1"/>
  <c r="G49"/>
  <c r="N25"/>
  <c r="K25"/>
  <c r="L25" s="1"/>
  <c r="O25" s="1"/>
  <c r="G25"/>
  <c r="N48"/>
  <c r="K48"/>
  <c r="L48" s="1"/>
  <c r="O48" s="1"/>
  <c r="G48"/>
  <c r="N24"/>
  <c r="K24"/>
  <c r="L24" s="1"/>
  <c r="O24" s="1"/>
  <c r="J24"/>
  <c r="G24"/>
  <c r="N47"/>
  <c r="K47"/>
  <c r="L47" s="1"/>
  <c r="O47" s="1"/>
  <c r="G47"/>
  <c r="N23"/>
  <c r="K23"/>
  <c r="L23" s="1"/>
  <c r="O23" s="1"/>
  <c r="G23"/>
  <c r="N46"/>
  <c r="K46"/>
  <c r="L46" s="1"/>
  <c r="O46" s="1"/>
  <c r="G46"/>
  <c r="N22"/>
  <c r="K22"/>
  <c r="L22" s="1"/>
  <c r="O22" s="1"/>
  <c r="G22"/>
  <c r="N45"/>
  <c r="K45"/>
  <c r="L45" s="1"/>
  <c r="O45" s="1"/>
  <c r="G45"/>
  <c r="N35"/>
  <c r="K35"/>
  <c r="L35" s="1"/>
  <c r="O35" s="1"/>
  <c r="G35"/>
  <c r="N21"/>
  <c r="K21"/>
  <c r="L21" s="1"/>
  <c r="O21" s="1"/>
  <c r="G21"/>
  <c r="N44"/>
  <c r="K44"/>
  <c r="L44" s="1"/>
  <c r="O44" s="1"/>
  <c r="G44"/>
  <c r="N20"/>
  <c r="K20"/>
  <c r="L20" s="1"/>
  <c r="O20" s="1"/>
  <c r="G20"/>
  <c r="Q20" s="1"/>
  <c r="T20" s="1"/>
  <c r="N43"/>
  <c r="K43"/>
  <c r="L43" s="1"/>
  <c r="O43" s="1"/>
  <c r="G43"/>
  <c r="Q43" s="1"/>
  <c r="T43" s="1"/>
  <c r="N19"/>
  <c r="K19"/>
  <c r="L19" s="1"/>
  <c r="O19" s="1"/>
  <c r="G19"/>
  <c r="Q19" s="1"/>
  <c r="T19" s="1"/>
  <c r="N42"/>
  <c r="K42"/>
  <c r="L42" s="1"/>
  <c r="O42" s="1"/>
  <c r="G42"/>
  <c r="Q42" s="1"/>
  <c r="T42" s="1"/>
  <c r="N38"/>
  <c r="K38"/>
  <c r="L38" s="1"/>
  <c r="O38" s="1"/>
  <c r="G38"/>
  <c r="N18"/>
  <c r="K18"/>
  <c r="L18" s="1"/>
  <c r="O18" s="1"/>
  <c r="G18"/>
  <c r="N41"/>
  <c r="K41"/>
  <c r="L41" s="1"/>
  <c r="O41" s="1"/>
  <c r="G41"/>
  <c r="N33"/>
  <c r="K33"/>
  <c r="L33" s="1"/>
  <c r="O33" s="1"/>
  <c r="G33"/>
  <c r="N40"/>
  <c r="K40"/>
  <c r="L40" s="1"/>
  <c r="O40" s="1"/>
  <c r="G40"/>
  <c r="N17"/>
  <c r="K17"/>
  <c r="L17" s="1"/>
  <c r="O17" s="1"/>
  <c r="G17"/>
  <c r="N39"/>
  <c r="K39"/>
  <c r="L39" s="1"/>
  <c r="O39" s="1"/>
  <c r="G39"/>
  <c r="N16"/>
  <c r="K16"/>
  <c r="L16" s="1"/>
  <c r="O16" s="1"/>
  <c r="G16"/>
  <c r="Q16" s="1"/>
  <c r="T16" s="1"/>
  <c r="N34"/>
  <c r="K34"/>
  <c r="L34" s="1"/>
  <c r="O34" s="1"/>
  <c r="G34"/>
  <c r="N15"/>
  <c r="K15"/>
  <c r="L15" s="1"/>
  <c r="O15" s="1"/>
  <c r="G15"/>
  <c r="Q15" s="1"/>
  <c r="N8"/>
  <c r="L8"/>
  <c r="O8" s="1"/>
  <c r="G8"/>
  <c r="N5"/>
  <c r="K5"/>
  <c r="L5" s="1"/>
  <c r="O5" s="1"/>
  <c r="G5"/>
  <c r="N7"/>
  <c r="K7"/>
  <c r="L7" s="1"/>
  <c r="O7" s="1"/>
  <c r="G7"/>
  <c r="N6"/>
  <c r="K6"/>
  <c r="L6" s="1"/>
  <c r="O6" s="1"/>
  <c r="G6"/>
  <c r="N4"/>
  <c r="O4"/>
  <c r="Q4" s="1"/>
  <c r="G4"/>
  <c r="X15" l="1"/>
  <c r="T15"/>
  <c r="W8"/>
  <c r="Y8" s="1"/>
  <c r="V8"/>
  <c r="I59" i="8"/>
  <c r="L59" s="1"/>
  <c r="I51"/>
  <c r="L51" s="1"/>
  <c r="I43"/>
  <c r="L43" s="1"/>
  <c r="I47"/>
  <c r="L47" s="1"/>
  <c r="I58"/>
  <c r="L58" s="1"/>
  <c r="I50"/>
  <c r="L50" s="1"/>
  <c r="I42"/>
  <c r="L42" s="1"/>
  <c r="I46"/>
  <c r="L46" s="1"/>
  <c r="I61"/>
  <c r="L61" s="1"/>
  <c r="I53"/>
  <c r="L53" s="1"/>
  <c r="I57"/>
  <c r="J57" s="1"/>
  <c r="I45"/>
  <c r="L45" s="1"/>
  <c r="I49"/>
  <c r="L49" s="1"/>
  <c r="I60"/>
  <c r="L60" s="1"/>
  <c r="I52"/>
  <c r="L52" s="1"/>
  <c r="I56"/>
  <c r="L56" s="1"/>
  <c r="I44"/>
  <c r="I48"/>
  <c r="L48" s="1"/>
  <c r="I27"/>
  <c r="J27" s="1"/>
  <c r="I26"/>
  <c r="L26" s="1"/>
  <c r="I5"/>
  <c r="V357" i="7"/>
  <c r="V361"/>
  <c r="V365"/>
  <c r="C351"/>
  <c r="C482" s="1"/>
  <c r="V355"/>
  <c r="V363"/>
  <c r="P381"/>
  <c r="G470"/>
  <c r="Q434"/>
  <c r="N470"/>
  <c r="P8"/>
  <c r="Q8" s="1"/>
  <c r="T263"/>
  <c r="Q290"/>
  <c r="N12"/>
  <c r="T4"/>
  <c r="P6"/>
  <c r="Q6" s="1"/>
  <c r="T6" s="1"/>
  <c r="N290"/>
  <c r="P361"/>
  <c r="I68" i="8"/>
  <c r="L55"/>
  <c r="L54"/>
  <c r="G366" i="7"/>
  <c r="N366"/>
  <c r="I39" i="8"/>
  <c r="I24"/>
  <c r="I72"/>
  <c r="B83"/>
  <c r="M482" i="7"/>
  <c r="G358"/>
  <c r="N358"/>
  <c r="J66" i="8"/>
  <c r="G307" i="7"/>
  <c r="J33" i="8"/>
  <c r="J55"/>
  <c r="J61"/>
  <c r="J58"/>
  <c r="J54"/>
  <c r="J49"/>
  <c r="J44"/>
  <c r="J5"/>
  <c r="J6" s="1"/>
  <c r="P442" i="7"/>
  <c r="Q442" s="1"/>
  <c r="T442" s="1"/>
  <c r="P336"/>
  <c r="Q336" s="1"/>
  <c r="T336" s="1"/>
  <c r="P285"/>
  <c r="R285" s="1"/>
  <c r="P286"/>
  <c r="R286" s="1"/>
  <c r="P287"/>
  <c r="R287" s="1"/>
  <c r="P288"/>
  <c r="R288" s="1"/>
  <c r="P289"/>
  <c r="R289" s="1"/>
  <c r="P472"/>
  <c r="P268"/>
  <c r="R268" s="1"/>
  <c r="P269"/>
  <c r="R269" s="1"/>
  <c r="P271"/>
  <c r="P436"/>
  <c r="Q436" s="1"/>
  <c r="T436" s="1"/>
  <c r="P438"/>
  <c r="P440"/>
  <c r="Q440" s="1"/>
  <c r="T440" s="1"/>
  <c r="P435"/>
  <c r="Q435" s="1"/>
  <c r="P437"/>
  <c r="Q437" s="1"/>
  <c r="T437" s="1"/>
  <c r="P439"/>
  <c r="Q439" s="1"/>
  <c r="T439" s="1"/>
  <c r="P441"/>
  <c r="Q441" s="1"/>
  <c r="T441" s="1"/>
  <c r="G36"/>
  <c r="R266"/>
  <c r="P434"/>
  <c r="P335"/>
  <c r="Q335" s="1"/>
  <c r="T335" s="1"/>
  <c r="P333"/>
  <c r="Q333" s="1"/>
  <c r="T333" s="1"/>
  <c r="P294"/>
  <c r="P334"/>
  <c r="Q334" s="1"/>
  <c r="T334" s="1"/>
  <c r="P332"/>
  <c r="Q332" s="1"/>
  <c r="T332" s="1"/>
  <c r="P295"/>
  <c r="P297"/>
  <c r="G308"/>
  <c r="P308" s="1"/>
  <c r="P394"/>
  <c r="P396"/>
  <c r="P398"/>
  <c r="P400"/>
  <c r="P402"/>
  <c r="P404"/>
  <c r="P406"/>
  <c r="P408"/>
  <c r="P410"/>
  <c r="P412"/>
  <c r="P414"/>
  <c r="P416"/>
  <c r="Q416" s="1"/>
  <c r="P417"/>
  <c r="Q417" s="1"/>
  <c r="P119"/>
  <c r="Q119" s="1"/>
  <c r="T119" s="1"/>
  <c r="P118"/>
  <c r="Q118" s="1"/>
  <c r="T118" s="1"/>
  <c r="P109"/>
  <c r="Q109" s="1"/>
  <c r="T109" s="1"/>
  <c r="P112"/>
  <c r="Q112" s="1"/>
  <c r="T112" s="1"/>
  <c r="P117"/>
  <c r="Q117" s="1"/>
  <c r="T117" s="1"/>
  <c r="P111"/>
  <c r="Q111" s="1"/>
  <c r="T111" s="1"/>
  <c r="P7"/>
  <c r="Q7" s="1"/>
  <c r="T7" s="1"/>
  <c r="P296"/>
  <c r="G377"/>
  <c r="G389" s="1"/>
  <c r="P393"/>
  <c r="P395"/>
  <c r="P397"/>
  <c r="P399"/>
  <c r="P401"/>
  <c r="P403"/>
  <c r="P405"/>
  <c r="P407"/>
  <c r="P409"/>
  <c r="P411"/>
  <c r="P413"/>
  <c r="P415"/>
  <c r="Q415" s="1"/>
  <c r="R416"/>
  <c r="P110"/>
  <c r="Q110" s="1"/>
  <c r="T110" s="1"/>
  <c r="P108"/>
  <c r="Q108" s="1"/>
  <c r="T108" s="1"/>
  <c r="P116"/>
  <c r="Q116" s="1"/>
  <c r="T116" s="1"/>
  <c r="P115"/>
  <c r="Q115" s="1"/>
  <c r="T115" s="1"/>
  <c r="P113"/>
  <c r="Q113" s="1"/>
  <c r="T113" s="1"/>
  <c r="P114"/>
  <c r="Q114" s="1"/>
  <c r="T114" s="1"/>
  <c r="R263"/>
  <c r="R421"/>
  <c r="R422"/>
  <c r="R264"/>
  <c r="R4"/>
  <c r="P15"/>
  <c r="P34"/>
  <c r="Q34" s="1"/>
  <c r="T34" s="1"/>
  <c r="P16"/>
  <c r="R16" s="1"/>
  <c r="P39"/>
  <c r="Q39" s="1"/>
  <c r="T39" s="1"/>
  <c r="P17"/>
  <c r="Q17" s="1"/>
  <c r="T17" s="1"/>
  <c r="P40"/>
  <c r="Q40" s="1"/>
  <c r="T40" s="1"/>
  <c r="P33"/>
  <c r="Q33" s="1"/>
  <c r="T33" s="1"/>
  <c r="P41"/>
  <c r="Q41" s="1"/>
  <c r="T41" s="1"/>
  <c r="P18"/>
  <c r="P38"/>
  <c r="Q38" s="1"/>
  <c r="T38" s="1"/>
  <c r="P42"/>
  <c r="R42" s="1"/>
  <c r="P19"/>
  <c r="R19" s="1"/>
  <c r="P43"/>
  <c r="R43" s="1"/>
  <c r="P20"/>
  <c r="R20" s="1"/>
  <c r="P44"/>
  <c r="Q44" s="1"/>
  <c r="T44" s="1"/>
  <c r="P21"/>
  <c r="Q21" s="1"/>
  <c r="T21" s="1"/>
  <c r="P35"/>
  <c r="Q35" s="1"/>
  <c r="T35" s="1"/>
  <c r="P45"/>
  <c r="Q45" s="1"/>
  <c r="T45" s="1"/>
  <c r="P22"/>
  <c r="Q22" s="1"/>
  <c r="T22" s="1"/>
  <c r="P46"/>
  <c r="Q46" s="1"/>
  <c r="T46" s="1"/>
  <c r="P23"/>
  <c r="Q23" s="1"/>
  <c r="T23" s="1"/>
  <c r="P47"/>
  <c r="Q47" s="1"/>
  <c r="T47" s="1"/>
  <c r="N36"/>
  <c r="N259" s="1"/>
  <c r="P37"/>
  <c r="Q37" s="1"/>
  <c r="T37" s="1"/>
  <c r="P52"/>
  <c r="Q52" s="1"/>
  <c r="T52" s="1"/>
  <c r="P31"/>
  <c r="Q31" s="1"/>
  <c r="P53"/>
  <c r="Q53" s="1"/>
  <c r="T53" s="1"/>
  <c r="P32"/>
  <c r="Q32" s="1"/>
  <c r="T32" s="1"/>
  <c r="P54"/>
  <c r="Q54" s="1"/>
  <c r="T54" s="1"/>
  <c r="P57"/>
  <c r="Q57" s="1"/>
  <c r="P55"/>
  <c r="Q55" s="1"/>
  <c r="T55" s="1"/>
  <c r="P56"/>
  <c r="Q56" s="1"/>
  <c r="T56" s="1"/>
  <c r="P58"/>
  <c r="Q58" s="1"/>
  <c r="T58" s="1"/>
  <c r="P59"/>
  <c r="Q59" s="1"/>
  <c r="T59" s="1"/>
  <c r="P60"/>
  <c r="Q60" s="1"/>
  <c r="T60" s="1"/>
  <c r="P68"/>
  <c r="Q68" s="1"/>
  <c r="T68" s="1"/>
  <c r="P61"/>
  <c r="Q61" s="1"/>
  <c r="T61" s="1"/>
  <c r="P71"/>
  <c r="Q71" s="1"/>
  <c r="P64"/>
  <c r="Q64" s="1"/>
  <c r="T64" s="1"/>
  <c r="T65"/>
  <c r="P66"/>
  <c r="Q66" s="1"/>
  <c r="T66" s="1"/>
  <c r="P67"/>
  <c r="Q67" s="1"/>
  <c r="T67" s="1"/>
  <c r="P69"/>
  <c r="Q69" s="1"/>
  <c r="T69" s="1"/>
  <c r="P72"/>
  <c r="Q72" s="1"/>
  <c r="P70"/>
  <c r="Q70" s="1"/>
  <c r="T70" s="1"/>
  <c r="P63"/>
  <c r="Q63" s="1"/>
  <c r="T63" s="1"/>
  <c r="P62"/>
  <c r="Q62" s="1"/>
  <c r="T62" s="1"/>
  <c r="P78"/>
  <c r="Q78" s="1"/>
  <c r="T78" s="1"/>
  <c r="P76"/>
  <c r="Q76" s="1"/>
  <c r="T76" s="1"/>
  <c r="P73"/>
  <c r="Q73" s="1"/>
  <c r="T73" s="1"/>
  <c r="P74"/>
  <c r="Q74" s="1"/>
  <c r="T74" s="1"/>
  <c r="P75"/>
  <c r="Q75" s="1"/>
  <c r="T75" s="1"/>
  <c r="P77"/>
  <c r="Q77" s="1"/>
  <c r="T77" s="1"/>
  <c r="P89"/>
  <c r="Q89" s="1"/>
  <c r="T89" s="1"/>
  <c r="P94"/>
  <c r="Q94" s="1"/>
  <c r="T94" s="1"/>
  <c r="P85"/>
  <c r="Q85" s="1"/>
  <c r="T85" s="1"/>
  <c r="P100"/>
  <c r="Q100" s="1"/>
  <c r="T100" s="1"/>
  <c r="P79"/>
  <c r="Q79" s="1"/>
  <c r="T79" s="1"/>
  <c r="P83"/>
  <c r="Q83" s="1"/>
  <c r="T83" s="1"/>
  <c r="P92"/>
  <c r="Q92" s="1"/>
  <c r="T92" s="1"/>
  <c r="P97"/>
  <c r="Q97" s="1"/>
  <c r="T97" s="1"/>
  <c r="P98"/>
  <c r="Q98" s="1"/>
  <c r="T98" s="1"/>
  <c r="P82"/>
  <c r="Q82" s="1"/>
  <c r="T82" s="1"/>
  <c r="P95"/>
  <c r="Q95" s="1"/>
  <c r="T95" s="1"/>
  <c r="P81"/>
  <c r="Q81" s="1"/>
  <c r="T81" s="1"/>
  <c r="P86"/>
  <c r="Q86" s="1"/>
  <c r="T86" s="1"/>
  <c r="P88"/>
  <c r="Q88" s="1"/>
  <c r="T88" s="1"/>
  <c r="P91"/>
  <c r="Q91" s="1"/>
  <c r="T91" s="1"/>
  <c r="P96"/>
  <c r="Q96" s="1"/>
  <c r="T96" s="1"/>
  <c r="P120"/>
  <c r="Q120" s="1"/>
  <c r="P121"/>
  <c r="Q121" s="1"/>
  <c r="P122"/>
  <c r="Q122" s="1"/>
  <c r="P123"/>
  <c r="Q123" s="1"/>
  <c r="P124"/>
  <c r="Q124" s="1"/>
  <c r="P125"/>
  <c r="Q125" s="1"/>
  <c r="P126"/>
  <c r="Q126" s="1"/>
  <c r="P127"/>
  <c r="Q127" s="1"/>
  <c r="P128"/>
  <c r="Q128" s="1"/>
  <c r="P129"/>
  <c r="Q129" s="1"/>
  <c r="P84"/>
  <c r="Q84" s="1"/>
  <c r="T84" s="1"/>
  <c r="P130"/>
  <c r="Q130" s="1"/>
  <c r="P131"/>
  <c r="Q131" s="1"/>
  <c r="P132"/>
  <c r="Q132" s="1"/>
  <c r="P133"/>
  <c r="Q133" s="1"/>
  <c r="P134"/>
  <c r="Q134" s="1"/>
  <c r="P135"/>
  <c r="Q135" s="1"/>
  <c r="P136"/>
  <c r="Q136" s="1"/>
  <c r="P137"/>
  <c r="Q137" s="1"/>
  <c r="P138"/>
  <c r="Q138" s="1"/>
  <c r="P139"/>
  <c r="Q139" s="1"/>
  <c r="P140"/>
  <c r="Q140" s="1"/>
  <c r="P141"/>
  <c r="Q141" s="1"/>
  <c r="P142"/>
  <c r="Q142" s="1"/>
  <c r="P87"/>
  <c r="Q87" s="1"/>
  <c r="T87" s="1"/>
  <c r="P143"/>
  <c r="Q143" s="1"/>
  <c r="P144"/>
  <c r="Q144" s="1"/>
  <c r="P145"/>
  <c r="Q145" s="1"/>
  <c r="P146"/>
  <c r="Q146" s="1"/>
  <c r="P147"/>
  <c r="Q147" s="1"/>
  <c r="P148"/>
  <c r="Q148" s="1"/>
  <c r="P149"/>
  <c r="Q149" s="1"/>
  <c r="P5"/>
  <c r="Q5" s="1"/>
  <c r="T5" s="1"/>
  <c r="P24"/>
  <c r="Q24" s="1"/>
  <c r="T24" s="1"/>
  <c r="P48"/>
  <c r="Q48" s="1"/>
  <c r="T48" s="1"/>
  <c r="P25"/>
  <c r="Q25" s="1"/>
  <c r="T25" s="1"/>
  <c r="P49"/>
  <c r="Q49" s="1"/>
  <c r="T49" s="1"/>
  <c r="P26"/>
  <c r="Q26" s="1"/>
  <c r="T26" s="1"/>
  <c r="P50"/>
  <c r="Q50" s="1"/>
  <c r="T50" s="1"/>
  <c r="P29"/>
  <c r="Q29" s="1"/>
  <c r="T29" s="1"/>
  <c r="P51"/>
  <c r="Q51" s="1"/>
  <c r="T51" s="1"/>
  <c r="P27"/>
  <c r="Q27" s="1"/>
  <c r="P28"/>
  <c r="Q28" s="1"/>
  <c r="P30"/>
  <c r="Q30" s="1"/>
  <c r="R265"/>
  <c r="P150"/>
  <c r="Q150" s="1"/>
  <c r="P151"/>
  <c r="Q151" s="1"/>
  <c r="P152"/>
  <c r="Q152" s="1"/>
  <c r="P153"/>
  <c r="Q153" s="1"/>
  <c r="P154"/>
  <c r="Q154" s="1"/>
  <c r="P155"/>
  <c r="Q155" s="1"/>
  <c r="P156"/>
  <c r="Q156" s="1"/>
  <c r="P157"/>
  <c r="Q157" s="1"/>
  <c r="P158"/>
  <c r="Q158" s="1"/>
  <c r="P159"/>
  <c r="Q159" s="1"/>
  <c r="P160"/>
  <c r="Q160" s="1"/>
  <c r="P161"/>
  <c r="Q161" s="1"/>
  <c r="P162"/>
  <c r="Q162" s="1"/>
  <c r="P163"/>
  <c r="Q163" s="1"/>
  <c r="P164"/>
  <c r="Q164" s="1"/>
  <c r="P165"/>
  <c r="Q165" s="1"/>
  <c r="P166"/>
  <c r="Q166" s="1"/>
  <c r="P167"/>
  <c r="Q167" s="1"/>
  <c r="P168"/>
  <c r="Q168" s="1"/>
  <c r="P169"/>
  <c r="Q169" s="1"/>
  <c r="P170"/>
  <c r="Q170" s="1"/>
  <c r="P171"/>
  <c r="Q171" s="1"/>
  <c r="P172"/>
  <c r="Q172" s="1"/>
  <c r="P173"/>
  <c r="Q173" s="1"/>
  <c r="P174"/>
  <c r="Q174" s="1"/>
  <c r="P175"/>
  <c r="Q175" s="1"/>
  <c r="P176"/>
  <c r="Q176" s="1"/>
  <c r="P177"/>
  <c r="Q177" s="1"/>
  <c r="P178"/>
  <c r="Q178" s="1"/>
  <c r="P179"/>
  <c r="Q179" s="1"/>
  <c r="P180"/>
  <c r="Q180" s="1"/>
  <c r="P181"/>
  <c r="Q181" s="1"/>
  <c r="P182"/>
  <c r="Q182" s="1"/>
  <c r="P183"/>
  <c r="Q183" s="1"/>
  <c r="P184"/>
  <c r="Q184" s="1"/>
  <c r="P185"/>
  <c r="Q185" s="1"/>
  <c r="P186"/>
  <c r="Q186" s="1"/>
  <c r="P187"/>
  <c r="Q187" s="1"/>
  <c r="P188"/>
  <c r="Q188" s="1"/>
  <c r="P189"/>
  <c r="Q189" s="1"/>
  <c r="P190"/>
  <c r="Q190" s="1"/>
  <c r="P191"/>
  <c r="Q191" s="1"/>
  <c r="P192"/>
  <c r="Q192" s="1"/>
  <c r="P193"/>
  <c r="Q193" s="1"/>
  <c r="P194"/>
  <c r="Q194" s="1"/>
  <c r="P195"/>
  <c r="Q195" s="1"/>
  <c r="P196"/>
  <c r="Q196" s="1"/>
  <c r="P197"/>
  <c r="Q197" s="1"/>
  <c r="P198"/>
  <c r="Q198" s="1"/>
  <c r="P199"/>
  <c r="Q199" s="1"/>
  <c r="P200"/>
  <c r="Q200" s="1"/>
  <c r="P201"/>
  <c r="Q201" s="1"/>
  <c r="P99"/>
  <c r="Q99" s="1"/>
  <c r="T99" s="1"/>
  <c r="P202"/>
  <c r="Q202" s="1"/>
  <c r="P203"/>
  <c r="Q203" s="1"/>
  <c r="P204"/>
  <c r="Q204" s="1"/>
  <c r="P205"/>
  <c r="Q205" s="1"/>
  <c r="P206"/>
  <c r="Q206" s="1"/>
  <c r="P207"/>
  <c r="Q207" s="1"/>
  <c r="P208"/>
  <c r="Q208" s="1"/>
  <c r="P209"/>
  <c r="Q209" s="1"/>
  <c r="P210"/>
  <c r="Q210" s="1"/>
  <c r="P211"/>
  <c r="Q211" s="1"/>
  <c r="P212"/>
  <c r="Q212" s="1"/>
  <c r="P213"/>
  <c r="Q213" s="1"/>
  <c r="P214"/>
  <c r="Q214" s="1"/>
  <c r="P215"/>
  <c r="Q215" s="1"/>
  <c r="P216"/>
  <c r="Q216" s="1"/>
  <c r="P217"/>
  <c r="Q217" s="1"/>
  <c r="P218"/>
  <c r="Q218" s="1"/>
  <c r="P219"/>
  <c r="Q219" s="1"/>
  <c r="P80"/>
  <c r="Q80" s="1"/>
  <c r="T80" s="1"/>
  <c r="P93"/>
  <c r="Q93" s="1"/>
  <c r="T93" s="1"/>
  <c r="P90"/>
  <c r="Q90" s="1"/>
  <c r="T90" s="1"/>
  <c r="P107"/>
  <c r="Q107" s="1"/>
  <c r="T107" s="1"/>
  <c r="P101"/>
  <c r="Q101" s="1"/>
  <c r="T101" s="1"/>
  <c r="P104"/>
  <c r="Q104" s="1"/>
  <c r="T104" s="1"/>
  <c r="P103"/>
  <c r="Q103" s="1"/>
  <c r="T103" s="1"/>
  <c r="P106"/>
  <c r="Q106" s="1"/>
  <c r="T106" s="1"/>
  <c r="P102"/>
  <c r="Q102" s="1"/>
  <c r="T102" s="1"/>
  <c r="P105"/>
  <c r="Q105" s="1"/>
  <c r="T105" s="1"/>
  <c r="P220"/>
  <c r="Q220" s="1"/>
  <c r="G221"/>
  <c r="P221" s="1"/>
  <c r="Q221" s="1"/>
  <c r="P293"/>
  <c r="R369"/>
  <c r="P222"/>
  <c r="Q222" s="1"/>
  <c r="P223"/>
  <c r="Q223" s="1"/>
  <c r="P224"/>
  <c r="Q224" s="1"/>
  <c r="P225"/>
  <c r="Q225" s="1"/>
  <c r="P226"/>
  <c r="Q226" s="1"/>
  <c r="P227"/>
  <c r="Q227" s="1"/>
  <c r="P228"/>
  <c r="Q228" s="1"/>
  <c r="P229"/>
  <c r="Q229" s="1"/>
  <c r="P230"/>
  <c r="Q230" s="1"/>
  <c r="P231"/>
  <c r="Q231" s="1"/>
  <c r="P232"/>
  <c r="Q232" s="1"/>
  <c r="R293"/>
  <c r="N307"/>
  <c r="N325"/>
  <c r="P326"/>
  <c r="Q326" s="1"/>
  <c r="T326" s="1"/>
  <c r="P327"/>
  <c r="Q327" s="1"/>
  <c r="T327" s="1"/>
  <c r="P328"/>
  <c r="Q328" s="1"/>
  <c r="T328" s="1"/>
  <c r="P354"/>
  <c r="P355"/>
  <c r="Q355" s="1"/>
  <c r="T355" s="1"/>
  <c r="P356"/>
  <c r="Q356" s="1"/>
  <c r="T356" s="1"/>
  <c r="P357"/>
  <c r="Q357" s="1"/>
  <c r="T357" s="1"/>
  <c r="N377"/>
  <c r="N389" s="1"/>
  <c r="P378"/>
  <c r="Q378" s="1"/>
  <c r="P379"/>
  <c r="Q379" s="1"/>
  <c r="P380"/>
  <c r="Q380" s="1"/>
  <c r="P382"/>
  <c r="Q382" s="1"/>
  <c r="T382" s="1"/>
  <c r="P392"/>
  <c r="R415"/>
  <c r="R417"/>
  <c r="P419"/>
  <c r="Q419" s="1"/>
  <c r="P423"/>
  <c r="Q423" s="1"/>
  <c r="P425"/>
  <c r="Q425" s="1"/>
  <c r="P427"/>
  <c r="Q427" s="1"/>
  <c r="P429"/>
  <c r="Q429" s="1"/>
  <c r="P431"/>
  <c r="Q431" s="1"/>
  <c r="P433"/>
  <c r="Q433" s="1"/>
  <c r="P473"/>
  <c r="Q473" s="1"/>
  <c r="T473" s="1"/>
  <c r="P298"/>
  <c r="Q298" s="1"/>
  <c r="P299"/>
  <c r="Q299" s="1"/>
  <c r="P300"/>
  <c r="Q300" s="1"/>
  <c r="P301"/>
  <c r="Q301" s="1"/>
  <c r="P302"/>
  <c r="Q302" s="1"/>
  <c r="P303"/>
  <c r="Q303" s="1"/>
  <c r="P304"/>
  <c r="Q304" s="1"/>
  <c r="P305"/>
  <c r="Q305" s="1"/>
  <c r="P306"/>
  <c r="Q306" s="1"/>
  <c r="P309"/>
  <c r="P310"/>
  <c r="T310" s="1"/>
  <c r="P311"/>
  <c r="P312"/>
  <c r="P313"/>
  <c r="T313" s="1"/>
  <c r="P314"/>
  <c r="T314" s="1"/>
  <c r="P315"/>
  <c r="T315" s="1"/>
  <c r="P316"/>
  <c r="T316" s="1"/>
  <c r="P317"/>
  <c r="T317" s="1"/>
  <c r="P318"/>
  <c r="Q318" s="1"/>
  <c r="T318" s="1"/>
  <c r="P319"/>
  <c r="T319" s="1"/>
  <c r="P320"/>
  <c r="T320" s="1"/>
  <c r="P321"/>
  <c r="T321" s="1"/>
  <c r="P322"/>
  <c r="T322" s="1"/>
  <c r="P323"/>
  <c r="P324"/>
  <c r="Q324" s="1"/>
  <c r="T324" s="1"/>
  <c r="P329"/>
  <c r="Q329" s="1"/>
  <c r="T329" s="1"/>
  <c r="P330"/>
  <c r="Q330" s="1"/>
  <c r="T330" s="1"/>
  <c r="P331"/>
  <c r="Q331" s="1"/>
  <c r="T331" s="1"/>
  <c r="P362"/>
  <c r="Q362" s="1"/>
  <c r="T362" s="1"/>
  <c r="P363"/>
  <c r="Q363" s="1"/>
  <c r="T363" s="1"/>
  <c r="P364"/>
  <c r="Q364" s="1"/>
  <c r="T364" s="1"/>
  <c r="P365"/>
  <c r="Q365" s="1"/>
  <c r="T365" s="1"/>
  <c r="P370"/>
  <c r="P371"/>
  <c r="Q371" s="1"/>
  <c r="P372"/>
  <c r="Q372" s="1"/>
  <c r="P373"/>
  <c r="Q373" s="1"/>
  <c r="P374"/>
  <c r="Q374" s="1"/>
  <c r="P375"/>
  <c r="Q375" s="1"/>
  <c r="P376"/>
  <c r="Q376" s="1"/>
  <c r="P418"/>
  <c r="Q418" s="1"/>
  <c r="P420"/>
  <c r="Q420" s="1"/>
  <c r="P424"/>
  <c r="Q424" s="1"/>
  <c r="P426"/>
  <c r="Q426" s="1"/>
  <c r="P428"/>
  <c r="Q428" s="1"/>
  <c r="P430"/>
  <c r="Q430" s="1"/>
  <c r="P432"/>
  <c r="Q432" s="1"/>
  <c r="B117" i="6"/>
  <c r="F119"/>
  <c r="G119" s="1"/>
  <c r="H119" s="1"/>
  <c r="D119"/>
  <c r="F116"/>
  <c r="G116" s="1"/>
  <c r="H116" s="1"/>
  <c r="D116"/>
  <c r="I116" s="1"/>
  <c r="J116" s="1"/>
  <c r="F115"/>
  <c r="G115" s="1"/>
  <c r="H115" s="1"/>
  <c r="D115"/>
  <c r="F114"/>
  <c r="G114" s="1"/>
  <c r="H114" s="1"/>
  <c r="D114"/>
  <c r="I114" s="1"/>
  <c r="J114" s="1"/>
  <c r="F113"/>
  <c r="G113" s="1"/>
  <c r="H113" s="1"/>
  <c r="D113"/>
  <c r="F112"/>
  <c r="G112" s="1"/>
  <c r="H112" s="1"/>
  <c r="D112"/>
  <c r="I112" s="1"/>
  <c r="J112" s="1"/>
  <c r="F109"/>
  <c r="G109" s="1"/>
  <c r="H109" s="1"/>
  <c r="D109"/>
  <c r="I109" s="1"/>
  <c r="J109" s="1"/>
  <c r="T323" i="7" l="1"/>
  <c r="Q323"/>
  <c r="X8"/>
  <c r="T8"/>
  <c r="S30"/>
  <c r="I113" i="6"/>
  <c r="J113" s="1"/>
  <c r="J117" s="1"/>
  <c r="I115"/>
  <c r="J115" s="1"/>
  <c r="T30" i="7"/>
  <c r="L5" i="8"/>
  <c r="I6"/>
  <c r="I83" s="1"/>
  <c r="J50"/>
  <c r="J42"/>
  <c r="J52"/>
  <c r="I63"/>
  <c r="J47"/>
  <c r="J43"/>
  <c r="J48"/>
  <c r="J51"/>
  <c r="J59"/>
  <c r="J53"/>
  <c r="L44"/>
  <c r="L57"/>
  <c r="J45"/>
  <c r="J46"/>
  <c r="J56"/>
  <c r="J60"/>
  <c r="I28"/>
  <c r="L27"/>
  <c r="J39"/>
  <c r="R6" i="7"/>
  <c r="Q12"/>
  <c r="R313"/>
  <c r="R314"/>
  <c r="T57"/>
  <c r="R28"/>
  <c r="S27"/>
  <c r="T27" s="1"/>
  <c r="S31"/>
  <c r="T31" s="1"/>
  <c r="T71"/>
  <c r="Q472"/>
  <c r="R472" s="1"/>
  <c r="P480"/>
  <c r="P470"/>
  <c r="Q438"/>
  <c r="T438" s="1"/>
  <c r="R7"/>
  <c r="R5"/>
  <c r="S420"/>
  <c r="T420" s="1"/>
  <c r="T434"/>
  <c r="T435"/>
  <c r="T120"/>
  <c r="J68" i="8"/>
  <c r="I117" i="6"/>
  <c r="T72" i="7"/>
  <c r="R473"/>
  <c r="R376"/>
  <c r="S376"/>
  <c r="T376" s="1"/>
  <c r="R372"/>
  <c r="S372"/>
  <c r="T372" s="1"/>
  <c r="R305"/>
  <c r="T305"/>
  <c r="R433"/>
  <c r="S433"/>
  <c r="T433" s="1"/>
  <c r="R379"/>
  <c r="S379"/>
  <c r="T379" s="1"/>
  <c r="G351"/>
  <c r="R374"/>
  <c r="S374"/>
  <c r="T374" s="1"/>
  <c r="R432"/>
  <c r="S432"/>
  <c r="T432" s="1"/>
  <c r="R375"/>
  <c r="S375"/>
  <c r="T375" s="1"/>
  <c r="R373"/>
  <c r="S373"/>
  <c r="T373" s="1"/>
  <c r="R371"/>
  <c r="S371"/>
  <c r="T371" s="1"/>
  <c r="R306"/>
  <c r="T306"/>
  <c r="R304"/>
  <c r="T304"/>
  <c r="R298"/>
  <c r="T298"/>
  <c r="R431"/>
  <c r="S431"/>
  <c r="T431" s="1"/>
  <c r="R380"/>
  <c r="S380"/>
  <c r="T380" s="1"/>
  <c r="R378"/>
  <c r="S378"/>
  <c r="T378" s="1"/>
  <c r="N351"/>
  <c r="R428"/>
  <c r="S428"/>
  <c r="T428" s="1"/>
  <c r="R424"/>
  <c r="S424"/>
  <c r="T424" s="1"/>
  <c r="R418"/>
  <c r="S418"/>
  <c r="T418" s="1"/>
  <c r="R330"/>
  <c r="R324"/>
  <c r="R322"/>
  <c r="R320"/>
  <c r="R318"/>
  <c r="R316"/>
  <c r="R312"/>
  <c r="R310"/>
  <c r="R302"/>
  <c r="T302"/>
  <c r="R300"/>
  <c r="T300"/>
  <c r="R427"/>
  <c r="S427"/>
  <c r="T427" s="1"/>
  <c r="R423"/>
  <c r="S423"/>
  <c r="T423" s="1"/>
  <c r="R357"/>
  <c r="R355"/>
  <c r="R328"/>
  <c r="R326"/>
  <c r="R231"/>
  <c r="R229"/>
  <c r="R227"/>
  <c r="R225"/>
  <c r="R223"/>
  <c r="R221"/>
  <c r="R105"/>
  <c r="R106"/>
  <c r="R104"/>
  <c r="R107"/>
  <c r="R93"/>
  <c r="R219"/>
  <c r="R217"/>
  <c r="R215"/>
  <c r="R213"/>
  <c r="R211"/>
  <c r="R209"/>
  <c r="R207"/>
  <c r="R205"/>
  <c r="R203"/>
  <c r="R99"/>
  <c r="R200"/>
  <c r="R198"/>
  <c r="R196"/>
  <c r="R194"/>
  <c r="R192"/>
  <c r="R190"/>
  <c r="R188"/>
  <c r="R186"/>
  <c r="R184"/>
  <c r="R182"/>
  <c r="R180"/>
  <c r="R178"/>
  <c r="R176"/>
  <c r="R174"/>
  <c r="R172"/>
  <c r="R170"/>
  <c r="R168"/>
  <c r="R166"/>
  <c r="R164"/>
  <c r="R162"/>
  <c r="R160"/>
  <c r="R158"/>
  <c r="R156"/>
  <c r="R154"/>
  <c r="R152"/>
  <c r="R150"/>
  <c r="R30"/>
  <c r="R27"/>
  <c r="R29"/>
  <c r="R26"/>
  <c r="R25"/>
  <c r="R24"/>
  <c r="R148"/>
  <c r="R146"/>
  <c r="R144"/>
  <c r="R87"/>
  <c r="R141"/>
  <c r="R139"/>
  <c r="R137"/>
  <c r="R135"/>
  <c r="R133"/>
  <c r="R131"/>
  <c r="R84"/>
  <c r="R128"/>
  <c r="R126"/>
  <c r="R124"/>
  <c r="R122"/>
  <c r="R120"/>
  <c r="R91"/>
  <c r="R86"/>
  <c r="R95"/>
  <c r="R98"/>
  <c r="R92"/>
  <c r="R79"/>
  <c r="R85"/>
  <c r="R89"/>
  <c r="R75"/>
  <c r="R73"/>
  <c r="R78"/>
  <c r="R63"/>
  <c r="R72"/>
  <c r="R67"/>
  <c r="R71"/>
  <c r="R68"/>
  <c r="R59"/>
  <c r="R56"/>
  <c r="R57"/>
  <c r="R32"/>
  <c r="R31"/>
  <c r="R37"/>
  <c r="R47"/>
  <c r="R46"/>
  <c r="R45"/>
  <c r="R21"/>
  <c r="R38"/>
  <c r="R41"/>
  <c r="R40"/>
  <c r="R39"/>
  <c r="R34"/>
  <c r="R113"/>
  <c r="R116"/>
  <c r="R110"/>
  <c r="R117"/>
  <c r="R109"/>
  <c r="R119"/>
  <c r="R308"/>
  <c r="R334"/>
  <c r="R333"/>
  <c r="R441"/>
  <c r="R437"/>
  <c r="R430"/>
  <c r="S430"/>
  <c r="T430" s="1"/>
  <c r="R426"/>
  <c r="S426"/>
  <c r="T426" s="1"/>
  <c r="R420"/>
  <c r="R331"/>
  <c r="R329"/>
  <c r="R323"/>
  <c r="R321"/>
  <c r="R319"/>
  <c r="R317"/>
  <c r="R315"/>
  <c r="R311"/>
  <c r="R309"/>
  <c r="R303"/>
  <c r="T303"/>
  <c r="R301"/>
  <c r="T301"/>
  <c r="R299"/>
  <c r="T299"/>
  <c r="R429"/>
  <c r="S429"/>
  <c r="T429" s="1"/>
  <c r="R425"/>
  <c r="S425"/>
  <c r="T425" s="1"/>
  <c r="R419"/>
  <c r="S419"/>
  <c r="T419" s="1"/>
  <c r="R382"/>
  <c r="R356"/>
  <c r="R327"/>
  <c r="S415"/>
  <c r="R232"/>
  <c r="R230"/>
  <c r="R228"/>
  <c r="R226"/>
  <c r="R224"/>
  <c r="R222"/>
  <c r="R220"/>
  <c r="R102"/>
  <c r="R103"/>
  <c r="R101"/>
  <c r="R90"/>
  <c r="R80"/>
  <c r="R218"/>
  <c r="R216"/>
  <c r="R214"/>
  <c r="R212"/>
  <c r="R210"/>
  <c r="R208"/>
  <c r="R206"/>
  <c r="R204"/>
  <c r="R202"/>
  <c r="R201"/>
  <c r="R199"/>
  <c r="R197"/>
  <c r="R195"/>
  <c r="R193"/>
  <c r="R191"/>
  <c r="R189"/>
  <c r="R187"/>
  <c r="R185"/>
  <c r="R183"/>
  <c r="R181"/>
  <c r="R179"/>
  <c r="R177"/>
  <c r="R175"/>
  <c r="R173"/>
  <c r="R171"/>
  <c r="R169"/>
  <c r="R167"/>
  <c r="R165"/>
  <c r="R163"/>
  <c r="R161"/>
  <c r="R159"/>
  <c r="R157"/>
  <c r="R155"/>
  <c r="R153"/>
  <c r="R151"/>
  <c r="R51"/>
  <c r="R50"/>
  <c r="R49"/>
  <c r="R48"/>
  <c r="R8"/>
  <c r="R149"/>
  <c r="R147"/>
  <c r="R145"/>
  <c r="R143"/>
  <c r="R142"/>
  <c r="R140"/>
  <c r="R138"/>
  <c r="R136"/>
  <c r="R134"/>
  <c r="R132"/>
  <c r="R130"/>
  <c r="R129"/>
  <c r="R127"/>
  <c r="R125"/>
  <c r="R123"/>
  <c r="R121"/>
  <c r="R96"/>
  <c r="R88"/>
  <c r="R81"/>
  <c r="R82"/>
  <c r="R97"/>
  <c r="R83"/>
  <c r="R100"/>
  <c r="R94"/>
  <c r="R77"/>
  <c r="R74"/>
  <c r="R76"/>
  <c r="R62"/>
  <c r="R70"/>
  <c r="R69"/>
  <c r="R66"/>
  <c r="R64"/>
  <c r="R61"/>
  <c r="R60"/>
  <c r="R58"/>
  <c r="R55"/>
  <c r="R54"/>
  <c r="R53"/>
  <c r="R52"/>
  <c r="R23"/>
  <c r="R22"/>
  <c r="R35"/>
  <c r="R44"/>
  <c r="R33"/>
  <c r="R17"/>
  <c r="S416"/>
  <c r="T416" s="1"/>
  <c r="R114"/>
  <c r="R115"/>
  <c r="R108"/>
  <c r="R111"/>
  <c r="R112"/>
  <c r="R118"/>
  <c r="S417"/>
  <c r="T417" s="1"/>
  <c r="R332"/>
  <c r="R335"/>
  <c r="R434"/>
  <c r="R439"/>
  <c r="R435"/>
  <c r="R440"/>
  <c r="R436"/>
  <c r="R336"/>
  <c r="R442"/>
  <c r="Q361"/>
  <c r="T361" s="1"/>
  <c r="P366"/>
  <c r="R365"/>
  <c r="T381"/>
  <c r="R363"/>
  <c r="R364"/>
  <c r="R362"/>
  <c r="Q18"/>
  <c r="T18" s="1"/>
  <c r="R271"/>
  <c r="R290" s="1"/>
  <c r="J72" i="8"/>
  <c r="J26"/>
  <c r="J28" s="1"/>
  <c r="J24"/>
  <c r="R15" i="7"/>
  <c r="P325"/>
  <c r="Q325" s="1"/>
  <c r="T325" s="1"/>
  <c r="Q370"/>
  <c r="P377"/>
  <c r="Q377" s="1"/>
  <c r="Q354"/>
  <c r="P358"/>
  <c r="P307"/>
  <c r="P36"/>
  <c r="Q36" s="1"/>
  <c r="T36" s="1"/>
  <c r="I119" i="6"/>
  <c r="J119" s="1"/>
  <c r="J63" i="8" l="1"/>
  <c r="J83" s="1"/>
  <c r="L83"/>
  <c r="R498" i="7" s="1"/>
  <c r="R494"/>
  <c r="R12"/>
  <c r="S28"/>
  <c r="T28" s="1"/>
  <c r="Q259"/>
  <c r="R438"/>
  <c r="R470" s="1"/>
  <c r="R480"/>
  <c r="T472"/>
  <c r="U472" s="1"/>
  <c r="Q480"/>
  <c r="Q470"/>
  <c r="Q389"/>
  <c r="P389"/>
  <c r="T354"/>
  <c r="Q358"/>
  <c r="U470"/>
  <c r="P20" i="4" s="1"/>
  <c r="T415" i="7"/>
  <c r="R18"/>
  <c r="N482"/>
  <c r="S370"/>
  <c r="R377"/>
  <c r="S377"/>
  <c r="T377" s="1"/>
  <c r="R381"/>
  <c r="R325"/>
  <c r="Q366"/>
  <c r="P351"/>
  <c r="R307"/>
  <c r="Q351"/>
  <c r="R354"/>
  <c r="R358" s="1"/>
  <c r="R36"/>
  <c r="R370"/>
  <c r="R361"/>
  <c r="R366" s="1"/>
  <c r="K4" i="5"/>
  <c r="B98" i="6"/>
  <c r="F22" i="9" s="1"/>
  <c r="F96" i="6"/>
  <c r="G96" s="1"/>
  <c r="H96" s="1"/>
  <c r="B90"/>
  <c r="B105"/>
  <c r="F13" i="9" s="1"/>
  <c r="F103" i="6"/>
  <c r="G103" s="1"/>
  <c r="H103" s="1"/>
  <c r="D103"/>
  <c r="F102"/>
  <c r="G102" s="1"/>
  <c r="H102" s="1"/>
  <c r="D102"/>
  <c r="F101"/>
  <c r="G101" s="1"/>
  <c r="H101" s="1"/>
  <c r="D101"/>
  <c r="F100"/>
  <c r="G100" s="1"/>
  <c r="H100" s="1"/>
  <c r="D100"/>
  <c r="M348" i="5"/>
  <c r="C348"/>
  <c r="N347"/>
  <c r="B22" i="6"/>
  <c r="F17" i="9" s="1"/>
  <c r="H17" s="1"/>
  <c r="N269" i="5"/>
  <c r="M271"/>
  <c r="S484" i="7" l="1"/>
  <c r="S482"/>
  <c r="U259"/>
  <c r="P15" i="4" s="1"/>
  <c r="R259" i="7"/>
  <c r="U389"/>
  <c r="P17" i="4" s="1"/>
  <c r="R389" i="7"/>
  <c r="Q482"/>
  <c r="R493" s="1"/>
  <c r="T370"/>
  <c r="T482" s="1"/>
  <c r="R497" s="1"/>
  <c r="R351"/>
  <c r="F23" i="9"/>
  <c r="H22"/>
  <c r="P482" i="7"/>
  <c r="I96" i="6"/>
  <c r="J96" s="1"/>
  <c r="J98" s="1"/>
  <c r="I103"/>
  <c r="J103" s="1"/>
  <c r="I100"/>
  <c r="I102"/>
  <c r="J102" s="1"/>
  <c r="I101"/>
  <c r="J101" s="1"/>
  <c r="F15"/>
  <c r="G15" s="1"/>
  <c r="H15" s="1"/>
  <c r="F14"/>
  <c r="G14" s="1"/>
  <c r="H14" s="1"/>
  <c r="F12"/>
  <c r="G12" s="1"/>
  <c r="H12" s="1"/>
  <c r="F11"/>
  <c r="G11" s="1"/>
  <c r="H11" s="1"/>
  <c r="F10"/>
  <c r="G10" s="1"/>
  <c r="H10" s="1"/>
  <c r="F9"/>
  <c r="G9" s="1"/>
  <c r="H9" s="1"/>
  <c r="F8"/>
  <c r="G8" s="1"/>
  <c r="H8" s="1"/>
  <c r="F7"/>
  <c r="G7" s="1"/>
  <c r="H7" s="1"/>
  <c r="F6"/>
  <c r="G6" s="1"/>
  <c r="H6" s="1"/>
  <c r="F5"/>
  <c r="G5" s="1"/>
  <c r="H5" s="1"/>
  <c r="F4"/>
  <c r="G4" s="1"/>
  <c r="H4" s="1"/>
  <c r="D15"/>
  <c r="D14"/>
  <c r="D12"/>
  <c r="D11"/>
  <c r="D10"/>
  <c r="D9"/>
  <c r="D8"/>
  <c r="D7"/>
  <c r="D6"/>
  <c r="D5"/>
  <c r="D4"/>
  <c r="N217" i="5"/>
  <c r="N216"/>
  <c r="N215"/>
  <c r="N214"/>
  <c r="N213"/>
  <c r="N212"/>
  <c r="N211"/>
  <c r="N210"/>
  <c r="N209"/>
  <c r="N208"/>
  <c r="N207"/>
  <c r="N205"/>
  <c r="N204"/>
  <c r="N203"/>
  <c r="N202"/>
  <c r="N201"/>
  <c r="N200"/>
  <c r="N199"/>
  <c r="N198"/>
  <c r="M218"/>
  <c r="S496" i="7" l="1"/>
  <c r="T496" s="1"/>
  <c r="S494"/>
  <c r="R482"/>
  <c r="H23" i="9"/>
  <c r="I98" i="6"/>
  <c r="J100"/>
  <c r="J105" s="1"/>
  <c r="I105"/>
  <c r="J13" i="9" s="1"/>
  <c r="L13" s="1"/>
  <c r="I4" i="6"/>
  <c r="J4" s="1"/>
  <c r="I8"/>
  <c r="J8" s="1"/>
  <c r="I12"/>
  <c r="J12" s="1"/>
  <c r="I6"/>
  <c r="J6" s="1"/>
  <c r="I10"/>
  <c r="J10" s="1"/>
  <c r="I15"/>
  <c r="J15" s="1"/>
  <c r="I5"/>
  <c r="J5" s="1"/>
  <c r="I9"/>
  <c r="J9" s="1"/>
  <c r="I14"/>
  <c r="J14" s="1"/>
  <c r="I7"/>
  <c r="J7" s="1"/>
  <c r="I11"/>
  <c r="J11" s="1"/>
  <c r="F21" l="1"/>
  <c r="G21" s="1"/>
  <c r="H21" s="1"/>
  <c r="D21"/>
  <c r="F20"/>
  <c r="G20" s="1"/>
  <c r="H20" s="1"/>
  <c r="D20"/>
  <c r="F19"/>
  <c r="G19" s="1"/>
  <c r="H19" s="1"/>
  <c r="D19"/>
  <c r="B16"/>
  <c r="F15" i="9" s="1"/>
  <c r="B25" i="6"/>
  <c r="F16" i="9" s="1"/>
  <c r="F13" i="6"/>
  <c r="G13" s="1"/>
  <c r="H13" s="1"/>
  <c r="F18"/>
  <c r="D13"/>
  <c r="D18"/>
  <c r="F24"/>
  <c r="G24" s="1"/>
  <c r="H24" s="1"/>
  <c r="D24"/>
  <c r="B93"/>
  <c r="I13" l="1"/>
  <c r="J13" s="1"/>
  <c r="I20"/>
  <c r="J20" s="1"/>
  <c r="I21"/>
  <c r="J21" s="1"/>
  <c r="I19"/>
  <c r="J19" s="1"/>
  <c r="I24"/>
  <c r="J24" s="1"/>
  <c r="I18"/>
  <c r="G18"/>
  <c r="H18" s="1"/>
  <c r="I22" l="1"/>
  <c r="J18"/>
  <c r="J22" s="1"/>
  <c r="B37" l="1"/>
  <c r="F19" i="9" s="1"/>
  <c r="F35" i="6"/>
  <c r="G35" s="1"/>
  <c r="H35" s="1"/>
  <c r="F34"/>
  <c r="G34" s="1"/>
  <c r="H34" s="1"/>
  <c r="F33"/>
  <c r="G33" s="1"/>
  <c r="H33" s="1"/>
  <c r="F32"/>
  <c r="G32" s="1"/>
  <c r="H32" s="1"/>
  <c r="F31"/>
  <c r="G31" s="1"/>
  <c r="H31" s="1"/>
  <c r="F30"/>
  <c r="G30" s="1"/>
  <c r="H30" s="1"/>
  <c r="F29"/>
  <c r="G29" s="1"/>
  <c r="H29" s="1"/>
  <c r="F28"/>
  <c r="G28" s="1"/>
  <c r="H28" s="1"/>
  <c r="H19" i="9" l="1"/>
  <c r="F20"/>
  <c r="F24" s="1"/>
  <c r="D35" i="6"/>
  <c r="I35" s="1"/>
  <c r="J35" s="1"/>
  <c r="D34"/>
  <c r="I34" s="1"/>
  <c r="J34" s="1"/>
  <c r="D33"/>
  <c r="I33" s="1"/>
  <c r="J33" s="1"/>
  <c r="D32"/>
  <c r="I32" s="1"/>
  <c r="J32" s="1"/>
  <c r="D31"/>
  <c r="I31" s="1"/>
  <c r="J31" s="1"/>
  <c r="D30"/>
  <c r="I30" s="1"/>
  <c r="J30" s="1"/>
  <c r="D29"/>
  <c r="I29" s="1"/>
  <c r="J29" s="1"/>
  <c r="D28"/>
  <c r="I28" s="1"/>
  <c r="J28" s="1"/>
  <c r="K347" i="5"/>
  <c r="L347" s="1"/>
  <c r="O347" s="1"/>
  <c r="G347"/>
  <c r="K269"/>
  <c r="L269" s="1"/>
  <c r="O269" s="1"/>
  <c r="G269"/>
  <c r="P269" s="1"/>
  <c r="K14"/>
  <c r="L14" s="1"/>
  <c r="O14" s="1"/>
  <c r="K15"/>
  <c r="L15" s="1"/>
  <c r="O15" s="1"/>
  <c r="K16"/>
  <c r="L16" s="1"/>
  <c r="O16" s="1"/>
  <c r="K17"/>
  <c r="L17" s="1"/>
  <c r="O17" s="1"/>
  <c r="K18"/>
  <c r="L18" s="1"/>
  <c r="O18" s="1"/>
  <c r="K13"/>
  <c r="L13" s="1"/>
  <c r="O13" s="1"/>
  <c r="K19"/>
  <c r="L19" s="1"/>
  <c r="O19" s="1"/>
  <c r="K20"/>
  <c r="L20" s="1"/>
  <c r="O20" s="1"/>
  <c r="K21"/>
  <c r="L21" s="1"/>
  <c r="O21" s="1"/>
  <c r="K22"/>
  <c r="L22" s="1"/>
  <c r="O22" s="1"/>
  <c r="K23"/>
  <c r="L23" s="1"/>
  <c r="O23" s="1"/>
  <c r="K24"/>
  <c r="L24" s="1"/>
  <c r="O24" s="1"/>
  <c r="K25"/>
  <c r="L25" s="1"/>
  <c r="O25" s="1"/>
  <c r="K26"/>
  <c r="L26" s="1"/>
  <c r="O26" s="1"/>
  <c r="K27"/>
  <c r="L27" s="1"/>
  <c r="O27" s="1"/>
  <c r="K28"/>
  <c r="L28" s="1"/>
  <c r="O28" s="1"/>
  <c r="K29"/>
  <c r="L29" s="1"/>
  <c r="O29" s="1"/>
  <c r="K30"/>
  <c r="L30" s="1"/>
  <c r="O30" s="1"/>
  <c r="K31"/>
  <c r="L31" s="1"/>
  <c r="O31" s="1"/>
  <c r="K32"/>
  <c r="L32" s="1"/>
  <c r="O32" s="1"/>
  <c r="K33"/>
  <c r="L33" s="1"/>
  <c r="O33" s="1"/>
  <c r="K34"/>
  <c r="L34" s="1"/>
  <c r="O34" s="1"/>
  <c r="K35"/>
  <c r="L35" s="1"/>
  <c r="O35" s="1"/>
  <c r="K36"/>
  <c r="L36" s="1"/>
  <c r="O36" s="1"/>
  <c r="K37"/>
  <c r="L37" s="1"/>
  <c r="O37" s="1"/>
  <c r="K38"/>
  <c r="L38" s="1"/>
  <c r="O38" s="1"/>
  <c r="K39"/>
  <c r="L39" s="1"/>
  <c r="O39" s="1"/>
  <c r="K40"/>
  <c r="L40" s="1"/>
  <c r="O40" s="1"/>
  <c r="K41"/>
  <c r="L41" s="1"/>
  <c r="O41" s="1"/>
  <c r="K42"/>
  <c r="L42" s="1"/>
  <c r="O42" s="1"/>
  <c r="K43"/>
  <c r="L43" s="1"/>
  <c r="O43" s="1"/>
  <c r="K44"/>
  <c r="L44" s="1"/>
  <c r="O44" s="1"/>
  <c r="K45"/>
  <c r="L45" s="1"/>
  <c r="O45" s="1"/>
  <c r="K46"/>
  <c r="L46" s="1"/>
  <c r="O46" s="1"/>
  <c r="K47"/>
  <c r="L47" s="1"/>
  <c r="O47" s="1"/>
  <c r="K48"/>
  <c r="L48" s="1"/>
  <c r="O48" s="1"/>
  <c r="K49"/>
  <c r="L49" s="1"/>
  <c r="O49" s="1"/>
  <c r="K50"/>
  <c r="L50" s="1"/>
  <c r="O50" s="1"/>
  <c r="K51"/>
  <c r="L51" s="1"/>
  <c r="O51" s="1"/>
  <c r="K52"/>
  <c r="L52" s="1"/>
  <c r="O52" s="1"/>
  <c r="K53"/>
  <c r="L53" s="1"/>
  <c r="O53" s="1"/>
  <c r="K54"/>
  <c r="L54" s="1"/>
  <c r="O54" s="1"/>
  <c r="K55"/>
  <c r="L55" s="1"/>
  <c r="O55" s="1"/>
  <c r="K56"/>
  <c r="L56" s="1"/>
  <c r="O56" s="1"/>
  <c r="K57"/>
  <c r="L57" s="1"/>
  <c r="O57" s="1"/>
  <c r="K58"/>
  <c r="L58" s="1"/>
  <c r="O58" s="1"/>
  <c r="K59"/>
  <c r="L59" s="1"/>
  <c r="O59" s="1"/>
  <c r="K60"/>
  <c r="L60" s="1"/>
  <c r="O60" s="1"/>
  <c r="K61"/>
  <c r="L61" s="1"/>
  <c r="O61" s="1"/>
  <c r="K62"/>
  <c r="L62" s="1"/>
  <c r="O62" s="1"/>
  <c r="K63"/>
  <c r="L63" s="1"/>
  <c r="O63" s="1"/>
  <c r="K64"/>
  <c r="L64" s="1"/>
  <c r="O64" s="1"/>
  <c r="K65"/>
  <c r="L65" s="1"/>
  <c r="O65" s="1"/>
  <c r="K66"/>
  <c r="L66" s="1"/>
  <c r="O66" s="1"/>
  <c r="K67"/>
  <c r="L67" s="1"/>
  <c r="O67" s="1"/>
  <c r="K68"/>
  <c r="L68" s="1"/>
  <c r="O68" s="1"/>
  <c r="K69"/>
  <c r="L69" s="1"/>
  <c r="O69" s="1"/>
  <c r="K70"/>
  <c r="L70" s="1"/>
  <c r="O70" s="1"/>
  <c r="K71"/>
  <c r="L71" s="1"/>
  <c r="O71" s="1"/>
  <c r="K72"/>
  <c r="L72" s="1"/>
  <c r="O72" s="1"/>
  <c r="K73"/>
  <c r="L73" s="1"/>
  <c r="O73" s="1"/>
  <c r="K74"/>
  <c r="L74" s="1"/>
  <c r="O74" s="1"/>
  <c r="K75"/>
  <c r="L75" s="1"/>
  <c r="O75" s="1"/>
  <c r="K76"/>
  <c r="L76" s="1"/>
  <c r="O76" s="1"/>
  <c r="K77"/>
  <c r="L77" s="1"/>
  <c r="O77" s="1"/>
  <c r="K78"/>
  <c r="L78" s="1"/>
  <c r="O78" s="1"/>
  <c r="K79"/>
  <c r="L79" s="1"/>
  <c r="O79" s="1"/>
  <c r="K80"/>
  <c r="L80" s="1"/>
  <c r="O80" s="1"/>
  <c r="K81"/>
  <c r="L81" s="1"/>
  <c r="O81" s="1"/>
  <c r="K82"/>
  <c r="L82" s="1"/>
  <c r="O82" s="1"/>
  <c r="K83"/>
  <c r="L83" s="1"/>
  <c r="O83" s="1"/>
  <c r="K84"/>
  <c r="L84" s="1"/>
  <c r="O84" s="1"/>
  <c r="K85"/>
  <c r="L85" s="1"/>
  <c r="O85" s="1"/>
  <c r="K86"/>
  <c r="L86" s="1"/>
  <c r="O86" s="1"/>
  <c r="K87"/>
  <c r="L87" s="1"/>
  <c r="O87" s="1"/>
  <c r="K88"/>
  <c r="L88" s="1"/>
  <c r="O88" s="1"/>
  <c r="K89"/>
  <c r="L89" s="1"/>
  <c r="O89" s="1"/>
  <c r="K90"/>
  <c r="L90" s="1"/>
  <c r="O90" s="1"/>
  <c r="K91"/>
  <c r="L91" s="1"/>
  <c r="O91" s="1"/>
  <c r="K92"/>
  <c r="L92" s="1"/>
  <c r="O92" s="1"/>
  <c r="K93"/>
  <c r="L93" s="1"/>
  <c r="O93" s="1"/>
  <c r="K94"/>
  <c r="L94" s="1"/>
  <c r="O94" s="1"/>
  <c r="K95"/>
  <c r="L95" s="1"/>
  <c r="O95" s="1"/>
  <c r="K96"/>
  <c r="L96" s="1"/>
  <c r="O96" s="1"/>
  <c r="K97"/>
  <c r="L97" s="1"/>
  <c r="O97" s="1"/>
  <c r="K98"/>
  <c r="L98" s="1"/>
  <c r="O98" s="1"/>
  <c r="K99"/>
  <c r="L99" s="1"/>
  <c r="O99" s="1"/>
  <c r="K100"/>
  <c r="L100" s="1"/>
  <c r="O100" s="1"/>
  <c r="K101"/>
  <c r="L101" s="1"/>
  <c r="O101" s="1"/>
  <c r="K102"/>
  <c r="L102" s="1"/>
  <c r="O102" s="1"/>
  <c r="K103"/>
  <c r="L103" s="1"/>
  <c r="O103" s="1"/>
  <c r="K104"/>
  <c r="L104" s="1"/>
  <c r="O104" s="1"/>
  <c r="K105"/>
  <c r="L105" s="1"/>
  <c r="O105" s="1"/>
  <c r="K106"/>
  <c r="L106" s="1"/>
  <c r="O106" s="1"/>
  <c r="K107"/>
  <c r="L107" s="1"/>
  <c r="O107" s="1"/>
  <c r="K108"/>
  <c r="L108" s="1"/>
  <c r="O108" s="1"/>
  <c r="K109"/>
  <c r="L109" s="1"/>
  <c r="K110"/>
  <c r="L110" s="1"/>
  <c r="O110" s="1"/>
  <c r="K111"/>
  <c r="L111" s="1"/>
  <c r="K112"/>
  <c r="L112" s="1"/>
  <c r="O112" s="1"/>
  <c r="K113"/>
  <c r="L113" s="1"/>
  <c r="K114"/>
  <c r="L114" s="1"/>
  <c r="O114" s="1"/>
  <c r="K115"/>
  <c r="L115" s="1"/>
  <c r="K116"/>
  <c r="L116" s="1"/>
  <c r="O116" s="1"/>
  <c r="K117"/>
  <c r="L117" s="1"/>
  <c r="K118"/>
  <c r="L118" s="1"/>
  <c r="O118" s="1"/>
  <c r="K119"/>
  <c r="L119" s="1"/>
  <c r="K120"/>
  <c r="L120" s="1"/>
  <c r="O120" s="1"/>
  <c r="K121"/>
  <c r="L121" s="1"/>
  <c r="K122"/>
  <c r="L122" s="1"/>
  <c r="O122" s="1"/>
  <c r="K123"/>
  <c r="L123" s="1"/>
  <c r="K124"/>
  <c r="L124" s="1"/>
  <c r="O124" s="1"/>
  <c r="K125"/>
  <c r="L125" s="1"/>
  <c r="K126"/>
  <c r="L126" s="1"/>
  <c r="O126" s="1"/>
  <c r="K127"/>
  <c r="L127" s="1"/>
  <c r="K128"/>
  <c r="L128" s="1"/>
  <c r="O128" s="1"/>
  <c r="K129"/>
  <c r="L129" s="1"/>
  <c r="K130"/>
  <c r="L130" s="1"/>
  <c r="O130" s="1"/>
  <c r="K131"/>
  <c r="L131" s="1"/>
  <c r="K132"/>
  <c r="L132" s="1"/>
  <c r="O132" s="1"/>
  <c r="K133"/>
  <c r="L133" s="1"/>
  <c r="K134"/>
  <c r="L134" s="1"/>
  <c r="O134" s="1"/>
  <c r="K135"/>
  <c r="L135" s="1"/>
  <c r="K136"/>
  <c r="L136" s="1"/>
  <c r="O136" s="1"/>
  <c r="K137"/>
  <c r="L137" s="1"/>
  <c r="K138"/>
  <c r="L138" s="1"/>
  <c r="O138" s="1"/>
  <c r="K139"/>
  <c r="L139" s="1"/>
  <c r="K140"/>
  <c r="L140" s="1"/>
  <c r="O140" s="1"/>
  <c r="K141"/>
  <c r="L141" s="1"/>
  <c r="K142"/>
  <c r="L142" s="1"/>
  <c r="O142" s="1"/>
  <c r="K143"/>
  <c r="L143" s="1"/>
  <c r="K144"/>
  <c r="L144" s="1"/>
  <c r="O144" s="1"/>
  <c r="K145"/>
  <c r="L145" s="1"/>
  <c r="K146"/>
  <c r="L146" s="1"/>
  <c r="O146" s="1"/>
  <c r="K147"/>
  <c r="L147" s="1"/>
  <c r="K148"/>
  <c r="L148" s="1"/>
  <c r="O148" s="1"/>
  <c r="K149"/>
  <c r="L149" s="1"/>
  <c r="K150"/>
  <c r="L150" s="1"/>
  <c r="O150" s="1"/>
  <c r="K151"/>
  <c r="L151" s="1"/>
  <c r="K152"/>
  <c r="L152" s="1"/>
  <c r="O152" s="1"/>
  <c r="K153"/>
  <c r="L153" s="1"/>
  <c r="K154"/>
  <c r="L154" s="1"/>
  <c r="O154" s="1"/>
  <c r="K155"/>
  <c r="L155" s="1"/>
  <c r="K156"/>
  <c r="L156" s="1"/>
  <c r="O156" s="1"/>
  <c r="K157"/>
  <c r="L157" s="1"/>
  <c r="K158"/>
  <c r="L158" s="1"/>
  <c r="O158" s="1"/>
  <c r="K159"/>
  <c r="L159" s="1"/>
  <c r="K160"/>
  <c r="L160" s="1"/>
  <c r="O160" s="1"/>
  <c r="K161"/>
  <c r="L161" s="1"/>
  <c r="K162"/>
  <c r="L162" s="1"/>
  <c r="O162" s="1"/>
  <c r="K163"/>
  <c r="L163" s="1"/>
  <c r="K164"/>
  <c r="L164" s="1"/>
  <c r="O164" s="1"/>
  <c r="K165"/>
  <c r="L165" s="1"/>
  <c r="K166"/>
  <c r="L166" s="1"/>
  <c r="O166" s="1"/>
  <c r="K167"/>
  <c r="L167" s="1"/>
  <c r="K168"/>
  <c r="L168" s="1"/>
  <c r="O168" s="1"/>
  <c r="K169"/>
  <c r="L169" s="1"/>
  <c r="K170"/>
  <c r="L170" s="1"/>
  <c r="O170" s="1"/>
  <c r="K171"/>
  <c r="L171" s="1"/>
  <c r="K172"/>
  <c r="L172" s="1"/>
  <c r="O172" s="1"/>
  <c r="K173"/>
  <c r="L173" s="1"/>
  <c r="K174"/>
  <c r="L174" s="1"/>
  <c r="O174" s="1"/>
  <c r="K175"/>
  <c r="L175" s="1"/>
  <c r="K176"/>
  <c r="L176" s="1"/>
  <c r="O176" s="1"/>
  <c r="K177"/>
  <c r="L177" s="1"/>
  <c r="K178"/>
  <c r="L178" s="1"/>
  <c r="O178" s="1"/>
  <c r="K179"/>
  <c r="L179" s="1"/>
  <c r="K180"/>
  <c r="L180" s="1"/>
  <c r="O180" s="1"/>
  <c r="K181"/>
  <c r="L181" s="1"/>
  <c r="K182"/>
  <c r="L182" s="1"/>
  <c r="O182" s="1"/>
  <c r="K183"/>
  <c r="L183" s="1"/>
  <c r="K184"/>
  <c r="L184" s="1"/>
  <c r="O184" s="1"/>
  <c r="K185"/>
  <c r="L185" s="1"/>
  <c r="K186"/>
  <c r="L186" s="1"/>
  <c r="O186" s="1"/>
  <c r="K187"/>
  <c r="L187" s="1"/>
  <c r="K188"/>
  <c r="L188" s="1"/>
  <c r="O188" s="1"/>
  <c r="K189"/>
  <c r="L189" s="1"/>
  <c r="K190"/>
  <c r="L190" s="1"/>
  <c r="O190" s="1"/>
  <c r="K191"/>
  <c r="L191" s="1"/>
  <c r="K192"/>
  <c r="L192" s="1"/>
  <c r="O192" s="1"/>
  <c r="K193"/>
  <c r="L193" s="1"/>
  <c r="K194"/>
  <c r="L194" s="1"/>
  <c r="O194" s="1"/>
  <c r="K195"/>
  <c r="L195" s="1"/>
  <c r="K196"/>
  <c r="L196" s="1"/>
  <c r="O196" s="1"/>
  <c r="K197"/>
  <c r="L197" s="1"/>
  <c r="K198"/>
  <c r="L198" s="1"/>
  <c r="O198" s="1"/>
  <c r="K199"/>
  <c r="L199" s="1"/>
  <c r="O199" s="1"/>
  <c r="K200"/>
  <c r="L200" s="1"/>
  <c r="O200" s="1"/>
  <c r="K201"/>
  <c r="L201" s="1"/>
  <c r="O201" s="1"/>
  <c r="K202"/>
  <c r="L202" s="1"/>
  <c r="O202" s="1"/>
  <c r="K203"/>
  <c r="L203" s="1"/>
  <c r="O203" s="1"/>
  <c r="K204"/>
  <c r="L204" s="1"/>
  <c r="O204" s="1"/>
  <c r="K205"/>
  <c r="L205" s="1"/>
  <c r="O205" s="1"/>
  <c r="K206"/>
  <c r="L206" s="1"/>
  <c r="O206" s="1"/>
  <c r="K207"/>
  <c r="L207" s="1"/>
  <c r="O207" s="1"/>
  <c r="K208"/>
  <c r="L208" s="1"/>
  <c r="O208" s="1"/>
  <c r="K209"/>
  <c r="L209" s="1"/>
  <c r="O209" s="1"/>
  <c r="K210"/>
  <c r="L210" s="1"/>
  <c r="O210" s="1"/>
  <c r="K211"/>
  <c r="L211" s="1"/>
  <c r="O211" s="1"/>
  <c r="K212"/>
  <c r="L212" s="1"/>
  <c r="O212" s="1"/>
  <c r="K213"/>
  <c r="L213" s="1"/>
  <c r="O213" s="1"/>
  <c r="K214"/>
  <c r="L214" s="1"/>
  <c r="O214" s="1"/>
  <c r="K215"/>
  <c r="L215" s="1"/>
  <c r="O215" s="1"/>
  <c r="K216"/>
  <c r="L216" s="1"/>
  <c r="O216" s="1"/>
  <c r="K217"/>
  <c r="L217" s="1"/>
  <c r="O217" s="1"/>
  <c r="G198"/>
  <c r="P198" s="1"/>
  <c r="Q198" s="1"/>
  <c r="R198" s="1"/>
  <c r="G199"/>
  <c r="P199" s="1"/>
  <c r="Q199" s="1"/>
  <c r="R199" s="1"/>
  <c r="G200"/>
  <c r="P200" s="1"/>
  <c r="Q200" s="1"/>
  <c r="R200" s="1"/>
  <c r="G201"/>
  <c r="P201" s="1"/>
  <c r="Q201" s="1"/>
  <c r="R201" s="1"/>
  <c r="G202"/>
  <c r="P202" s="1"/>
  <c r="Q202" s="1"/>
  <c r="R202" s="1"/>
  <c r="G203"/>
  <c r="P203" s="1"/>
  <c r="Q203" s="1"/>
  <c r="R203" s="1"/>
  <c r="G204"/>
  <c r="P204" s="1"/>
  <c r="Q204" s="1"/>
  <c r="R204" s="1"/>
  <c r="G205"/>
  <c r="P205" s="1"/>
  <c r="Q205" s="1"/>
  <c r="R205" s="1"/>
  <c r="G207"/>
  <c r="P207" s="1"/>
  <c r="Q207" s="1"/>
  <c r="R207" s="1"/>
  <c r="G208"/>
  <c r="P208" s="1"/>
  <c r="G209"/>
  <c r="P209" s="1"/>
  <c r="G210"/>
  <c r="P210" s="1"/>
  <c r="G211"/>
  <c r="P211" s="1"/>
  <c r="Q211" s="1"/>
  <c r="R211" s="1"/>
  <c r="G212"/>
  <c r="P212" s="1"/>
  <c r="G213"/>
  <c r="P213" s="1"/>
  <c r="G214"/>
  <c r="P214" s="1"/>
  <c r="G215"/>
  <c r="P215" s="1"/>
  <c r="Q215" s="1"/>
  <c r="R215" s="1"/>
  <c r="G216"/>
  <c r="P216" s="1"/>
  <c r="G217"/>
  <c r="P217" s="1"/>
  <c r="C206"/>
  <c r="L37" i="6"/>
  <c r="K37"/>
  <c r="M37"/>
  <c r="L25"/>
  <c r="K25"/>
  <c r="M24"/>
  <c r="M25" s="1"/>
  <c r="L16"/>
  <c r="K16"/>
  <c r="M8"/>
  <c r="M7"/>
  <c r="M6"/>
  <c r="M5"/>
  <c r="M4"/>
  <c r="R357" i="5"/>
  <c r="R355"/>
  <c r="C355" s="1"/>
  <c r="N355"/>
  <c r="Q351"/>
  <c r="J22" i="9" s="1"/>
  <c r="C351" i="5"/>
  <c r="N350"/>
  <c r="N351" s="1"/>
  <c r="K350"/>
  <c r="L350" s="1"/>
  <c r="G350"/>
  <c r="N346"/>
  <c r="K346"/>
  <c r="L346" s="1"/>
  <c r="O346" s="1"/>
  <c r="G346"/>
  <c r="N345"/>
  <c r="K345"/>
  <c r="L345" s="1"/>
  <c r="O345" s="1"/>
  <c r="G345"/>
  <c r="N344"/>
  <c r="K344"/>
  <c r="L344" s="1"/>
  <c r="O344" s="1"/>
  <c r="G344"/>
  <c r="N343"/>
  <c r="K343"/>
  <c r="L343" s="1"/>
  <c r="O343" s="1"/>
  <c r="G343"/>
  <c r="N342"/>
  <c r="K342"/>
  <c r="L342" s="1"/>
  <c r="O342" s="1"/>
  <c r="G342"/>
  <c r="N341"/>
  <c r="K341"/>
  <c r="L341" s="1"/>
  <c r="O341" s="1"/>
  <c r="G341"/>
  <c r="N340"/>
  <c r="K340"/>
  <c r="L340" s="1"/>
  <c r="O340" s="1"/>
  <c r="G340"/>
  <c r="N339"/>
  <c r="K339"/>
  <c r="L339" s="1"/>
  <c r="O339" s="1"/>
  <c r="G339"/>
  <c r="N338"/>
  <c r="K338"/>
  <c r="L338" s="1"/>
  <c r="O338" s="1"/>
  <c r="G338"/>
  <c r="N337"/>
  <c r="K337"/>
  <c r="L337" s="1"/>
  <c r="O337" s="1"/>
  <c r="G337"/>
  <c r="N336"/>
  <c r="K336"/>
  <c r="L336" s="1"/>
  <c r="O336" s="1"/>
  <c r="G336"/>
  <c r="N335"/>
  <c r="K335"/>
  <c r="L335" s="1"/>
  <c r="O335" s="1"/>
  <c r="Q335" s="1"/>
  <c r="G335"/>
  <c r="N334"/>
  <c r="K334"/>
  <c r="L334" s="1"/>
  <c r="O334" s="1"/>
  <c r="Q334" s="1"/>
  <c r="G334"/>
  <c r="N333"/>
  <c r="K333"/>
  <c r="L333" s="1"/>
  <c r="O333" s="1"/>
  <c r="G333"/>
  <c r="N332"/>
  <c r="K332"/>
  <c r="L332" s="1"/>
  <c r="O332" s="1"/>
  <c r="G332"/>
  <c r="N331"/>
  <c r="K331"/>
  <c r="L331" s="1"/>
  <c r="O331" s="1"/>
  <c r="G331"/>
  <c r="N330"/>
  <c r="K330"/>
  <c r="L330" s="1"/>
  <c r="O330" s="1"/>
  <c r="G330"/>
  <c r="N329"/>
  <c r="K329"/>
  <c r="L329" s="1"/>
  <c r="O329" s="1"/>
  <c r="G329"/>
  <c r="N328"/>
  <c r="K328"/>
  <c r="L328" s="1"/>
  <c r="O328" s="1"/>
  <c r="G328"/>
  <c r="N327"/>
  <c r="K327"/>
  <c r="L327" s="1"/>
  <c r="O327" s="1"/>
  <c r="G327"/>
  <c r="N326"/>
  <c r="K326"/>
  <c r="L326" s="1"/>
  <c r="O326" s="1"/>
  <c r="G326"/>
  <c r="N325"/>
  <c r="K325"/>
  <c r="L325" s="1"/>
  <c r="O325" s="1"/>
  <c r="G325"/>
  <c r="N324"/>
  <c r="K324"/>
  <c r="L324" s="1"/>
  <c r="O324" s="1"/>
  <c r="G324"/>
  <c r="N323"/>
  <c r="K323"/>
  <c r="L323" s="1"/>
  <c r="O323" s="1"/>
  <c r="G323"/>
  <c r="N322"/>
  <c r="K322"/>
  <c r="L322" s="1"/>
  <c r="O322" s="1"/>
  <c r="G322"/>
  <c r="N321"/>
  <c r="K321"/>
  <c r="L321" s="1"/>
  <c r="O321" s="1"/>
  <c r="G321"/>
  <c r="N320"/>
  <c r="K320"/>
  <c r="L320" s="1"/>
  <c r="O320" s="1"/>
  <c r="G320"/>
  <c r="N319"/>
  <c r="K319"/>
  <c r="L319" s="1"/>
  <c r="O319" s="1"/>
  <c r="G319"/>
  <c r="N318"/>
  <c r="K318"/>
  <c r="L318" s="1"/>
  <c r="O318" s="1"/>
  <c r="G318"/>
  <c r="N317"/>
  <c r="K317"/>
  <c r="L317" s="1"/>
  <c r="O317" s="1"/>
  <c r="G317"/>
  <c r="N316"/>
  <c r="K316"/>
  <c r="L316" s="1"/>
  <c r="O316" s="1"/>
  <c r="G316"/>
  <c r="N315"/>
  <c r="K315"/>
  <c r="L315" s="1"/>
  <c r="O315" s="1"/>
  <c r="G315"/>
  <c r="N314"/>
  <c r="K314"/>
  <c r="L314" s="1"/>
  <c r="O314" s="1"/>
  <c r="G314"/>
  <c r="N313"/>
  <c r="K313"/>
  <c r="L313" s="1"/>
  <c r="O313" s="1"/>
  <c r="G313"/>
  <c r="N312"/>
  <c r="K312"/>
  <c r="L312" s="1"/>
  <c r="O312" s="1"/>
  <c r="G312"/>
  <c r="N311"/>
  <c r="K311"/>
  <c r="L311" s="1"/>
  <c r="O311" s="1"/>
  <c r="G311"/>
  <c r="N310"/>
  <c r="K310"/>
  <c r="L310" s="1"/>
  <c r="O310" s="1"/>
  <c r="G310"/>
  <c r="N309"/>
  <c r="K309"/>
  <c r="L309" s="1"/>
  <c r="O309" s="1"/>
  <c r="G309"/>
  <c r="N308"/>
  <c r="K308"/>
  <c r="L308" s="1"/>
  <c r="O308" s="1"/>
  <c r="G308"/>
  <c r="N307"/>
  <c r="K307"/>
  <c r="L307" s="1"/>
  <c r="O307" s="1"/>
  <c r="G307"/>
  <c r="N306"/>
  <c r="K306"/>
  <c r="L306" s="1"/>
  <c r="O306" s="1"/>
  <c r="G306"/>
  <c r="N305"/>
  <c r="N348" s="1"/>
  <c r="K305"/>
  <c r="L305" s="1"/>
  <c r="O305" s="1"/>
  <c r="G305"/>
  <c r="N301"/>
  <c r="K301"/>
  <c r="L301" s="1"/>
  <c r="O301" s="1"/>
  <c r="G301"/>
  <c r="N300"/>
  <c r="K300"/>
  <c r="L300" s="1"/>
  <c r="O300" s="1"/>
  <c r="G300"/>
  <c r="N299"/>
  <c r="K299"/>
  <c r="L299" s="1"/>
  <c r="O299" s="1"/>
  <c r="G299"/>
  <c r="N298"/>
  <c r="K298"/>
  <c r="L298" s="1"/>
  <c r="O298" s="1"/>
  <c r="G298"/>
  <c r="K297"/>
  <c r="L297" s="1"/>
  <c r="O297" s="1"/>
  <c r="C297"/>
  <c r="N297" s="1"/>
  <c r="N296"/>
  <c r="K296"/>
  <c r="L296" s="1"/>
  <c r="O296" s="1"/>
  <c r="G296"/>
  <c r="N295"/>
  <c r="K295"/>
  <c r="L295" s="1"/>
  <c r="O295" s="1"/>
  <c r="G295"/>
  <c r="N294"/>
  <c r="K294"/>
  <c r="L294" s="1"/>
  <c r="O294" s="1"/>
  <c r="G294"/>
  <c r="N293"/>
  <c r="K293"/>
  <c r="L293" s="1"/>
  <c r="O293" s="1"/>
  <c r="G293"/>
  <c r="N292"/>
  <c r="K292"/>
  <c r="L292" s="1"/>
  <c r="O292" s="1"/>
  <c r="G292"/>
  <c r="N291"/>
  <c r="K291"/>
  <c r="L291" s="1"/>
  <c r="O291" s="1"/>
  <c r="G291"/>
  <c r="N290"/>
  <c r="K290"/>
  <c r="L290" s="1"/>
  <c r="O290" s="1"/>
  <c r="G290"/>
  <c r="N289"/>
  <c r="K289"/>
  <c r="L289" s="1"/>
  <c r="O289" s="1"/>
  <c r="G289"/>
  <c r="C286"/>
  <c r="E14" i="9" s="1"/>
  <c r="N285" i="5"/>
  <c r="K285"/>
  <c r="L285" s="1"/>
  <c r="O285" s="1"/>
  <c r="G285"/>
  <c r="N284"/>
  <c r="K284"/>
  <c r="L284" s="1"/>
  <c r="O284" s="1"/>
  <c r="G284"/>
  <c r="N283"/>
  <c r="K283"/>
  <c r="L283" s="1"/>
  <c r="O283" s="1"/>
  <c r="G283"/>
  <c r="N282"/>
  <c r="K282"/>
  <c r="L282" s="1"/>
  <c r="O282" s="1"/>
  <c r="G282"/>
  <c r="N281"/>
  <c r="K281"/>
  <c r="L281" s="1"/>
  <c r="O281" s="1"/>
  <c r="G281"/>
  <c r="C278"/>
  <c r="N277"/>
  <c r="K277"/>
  <c r="L277" s="1"/>
  <c r="O277" s="1"/>
  <c r="G277"/>
  <c r="N276"/>
  <c r="K276"/>
  <c r="L276" s="1"/>
  <c r="O276" s="1"/>
  <c r="G276"/>
  <c r="N275"/>
  <c r="K275"/>
  <c r="L275" s="1"/>
  <c r="O275" s="1"/>
  <c r="G275"/>
  <c r="N274"/>
  <c r="K274"/>
  <c r="L274" s="1"/>
  <c r="O274" s="1"/>
  <c r="G274"/>
  <c r="N268"/>
  <c r="K268"/>
  <c r="L268" s="1"/>
  <c r="O268" s="1"/>
  <c r="G268"/>
  <c r="N267"/>
  <c r="K267"/>
  <c r="L267" s="1"/>
  <c r="O267" s="1"/>
  <c r="G267"/>
  <c r="N266"/>
  <c r="K266"/>
  <c r="L266" s="1"/>
  <c r="O266" s="1"/>
  <c r="G266"/>
  <c r="N265"/>
  <c r="K265"/>
  <c r="L265" s="1"/>
  <c r="O265" s="1"/>
  <c r="G265"/>
  <c r="N264"/>
  <c r="K264"/>
  <c r="L264" s="1"/>
  <c r="O264" s="1"/>
  <c r="G264"/>
  <c r="N263"/>
  <c r="K263"/>
  <c r="L263" s="1"/>
  <c r="O263" s="1"/>
  <c r="G263"/>
  <c r="K262"/>
  <c r="L262" s="1"/>
  <c r="O262" s="1"/>
  <c r="C262"/>
  <c r="N262" s="1"/>
  <c r="N261"/>
  <c r="K261"/>
  <c r="L261" s="1"/>
  <c r="O261" s="1"/>
  <c r="G261"/>
  <c r="N260"/>
  <c r="K260"/>
  <c r="L260" s="1"/>
  <c r="O260" s="1"/>
  <c r="G260"/>
  <c r="N259"/>
  <c r="K259"/>
  <c r="L259" s="1"/>
  <c r="O259" s="1"/>
  <c r="G259"/>
  <c r="N258"/>
  <c r="K258"/>
  <c r="L258" s="1"/>
  <c r="O258" s="1"/>
  <c r="G258"/>
  <c r="N257"/>
  <c r="K257"/>
  <c r="L257" s="1"/>
  <c r="O257" s="1"/>
  <c r="G257"/>
  <c r="N256"/>
  <c r="K256"/>
  <c r="L256" s="1"/>
  <c r="O256" s="1"/>
  <c r="G256"/>
  <c r="N255"/>
  <c r="K255"/>
  <c r="L255" s="1"/>
  <c r="O255" s="1"/>
  <c r="G255"/>
  <c r="N254"/>
  <c r="K254"/>
  <c r="L254" s="1"/>
  <c r="O254" s="1"/>
  <c r="G254"/>
  <c r="N253"/>
  <c r="K253"/>
  <c r="L253" s="1"/>
  <c r="O253" s="1"/>
  <c r="G253"/>
  <c r="N252"/>
  <c r="K252"/>
  <c r="L252" s="1"/>
  <c r="O252" s="1"/>
  <c r="G252"/>
  <c r="N251"/>
  <c r="K251"/>
  <c r="L251" s="1"/>
  <c r="O251" s="1"/>
  <c r="G251"/>
  <c r="N250"/>
  <c r="K250"/>
  <c r="L250" s="1"/>
  <c r="O250" s="1"/>
  <c r="G250"/>
  <c r="N249"/>
  <c r="K249"/>
  <c r="L249" s="1"/>
  <c r="O249" s="1"/>
  <c r="G249"/>
  <c r="N248"/>
  <c r="K248"/>
  <c r="L248" s="1"/>
  <c r="O248" s="1"/>
  <c r="G248"/>
  <c r="N247"/>
  <c r="K247"/>
  <c r="L247" s="1"/>
  <c r="O247" s="1"/>
  <c r="G247"/>
  <c r="N246"/>
  <c r="K246"/>
  <c r="L246" s="1"/>
  <c r="O246" s="1"/>
  <c r="G246"/>
  <c r="K245"/>
  <c r="L245" s="1"/>
  <c r="O245" s="1"/>
  <c r="C245"/>
  <c r="N245" s="1"/>
  <c r="K244"/>
  <c r="L244" s="1"/>
  <c r="O244" s="1"/>
  <c r="C244"/>
  <c r="N243"/>
  <c r="K243"/>
  <c r="L243" s="1"/>
  <c r="O243" s="1"/>
  <c r="G243"/>
  <c r="N242"/>
  <c r="K242"/>
  <c r="L242" s="1"/>
  <c r="O242" s="1"/>
  <c r="G242"/>
  <c r="N241"/>
  <c r="K241"/>
  <c r="L241" s="1"/>
  <c r="O241" s="1"/>
  <c r="G241"/>
  <c r="N240"/>
  <c r="K240"/>
  <c r="L240" s="1"/>
  <c r="O240" s="1"/>
  <c r="G240"/>
  <c r="N239"/>
  <c r="K239"/>
  <c r="L239" s="1"/>
  <c r="O239" s="1"/>
  <c r="G239"/>
  <c r="N238"/>
  <c r="K238"/>
  <c r="L238" s="1"/>
  <c r="O238" s="1"/>
  <c r="G238"/>
  <c r="N237"/>
  <c r="K237"/>
  <c r="L237" s="1"/>
  <c r="O237" s="1"/>
  <c r="G237"/>
  <c r="N236"/>
  <c r="K236"/>
  <c r="L236" s="1"/>
  <c r="O236" s="1"/>
  <c r="G236"/>
  <c r="N235"/>
  <c r="K235"/>
  <c r="L235" s="1"/>
  <c r="O235" s="1"/>
  <c r="G235"/>
  <c r="N234"/>
  <c r="K234"/>
  <c r="L234" s="1"/>
  <c r="O234" s="1"/>
  <c r="G234"/>
  <c r="R234" s="1"/>
  <c r="N233"/>
  <c r="K233"/>
  <c r="L233" s="1"/>
  <c r="O233" s="1"/>
  <c r="G233"/>
  <c r="R233" s="1"/>
  <c r="N232"/>
  <c r="K232"/>
  <c r="L232" s="1"/>
  <c r="O232" s="1"/>
  <c r="G232"/>
  <c r="R232" s="1"/>
  <c r="N231"/>
  <c r="K231"/>
  <c r="L231" s="1"/>
  <c r="O231" s="1"/>
  <c r="G231"/>
  <c r="R231" s="1"/>
  <c r="N230"/>
  <c r="K230"/>
  <c r="L230" s="1"/>
  <c r="O230" s="1"/>
  <c r="G230"/>
  <c r="C227"/>
  <c r="E13" i="9" s="1"/>
  <c r="N226" i="5"/>
  <c r="K226"/>
  <c r="L226" s="1"/>
  <c r="O226" s="1"/>
  <c r="G226"/>
  <c r="N225"/>
  <c r="K225"/>
  <c r="L225" s="1"/>
  <c r="O225" s="1"/>
  <c r="Q225" s="1"/>
  <c r="G225"/>
  <c r="N224"/>
  <c r="K224"/>
  <c r="L224" s="1"/>
  <c r="O224" s="1"/>
  <c r="Q224" s="1"/>
  <c r="G224"/>
  <c r="N223"/>
  <c r="K223"/>
  <c r="L223" s="1"/>
  <c r="O223" s="1"/>
  <c r="Q223" s="1"/>
  <c r="G223"/>
  <c r="N222"/>
  <c r="K222"/>
  <c r="L222" s="1"/>
  <c r="O222" s="1"/>
  <c r="Q222" s="1"/>
  <c r="G222"/>
  <c r="K221"/>
  <c r="L221" s="1"/>
  <c r="O221" s="1"/>
  <c r="G221"/>
  <c r="N197"/>
  <c r="G197"/>
  <c r="N196"/>
  <c r="G196"/>
  <c r="N195"/>
  <c r="G195"/>
  <c r="N194"/>
  <c r="G194"/>
  <c r="N193"/>
  <c r="G193"/>
  <c r="N192"/>
  <c r="G192"/>
  <c r="N191"/>
  <c r="G191"/>
  <c r="N190"/>
  <c r="G190"/>
  <c r="N189"/>
  <c r="G189"/>
  <c r="N188"/>
  <c r="G188"/>
  <c r="N187"/>
  <c r="G187"/>
  <c r="N186"/>
  <c r="G186"/>
  <c r="N185"/>
  <c r="G185"/>
  <c r="N184"/>
  <c r="G184"/>
  <c r="N183"/>
  <c r="G183"/>
  <c r="N182"/>
  <c r="G182"/>
  <c r="N181"/>
  <c r="G181"/>
  <c r="N180"/>
  <c r="G180"/>
  <c r="N179"/>
  <c r="G179"/>
  <c r="N178"/>
  <c r="G178"/>
  <c r="N177"/>
  <c r="G177"/>
  <c r="N176"/>
  <c r="G176"/>
  <c r="N175"/>
  <c r="G175"/>
  <c r="N174"/>
  <c r="G174"/>
  <c r="N173"/>
  <c r="G173"/>
  <c r="N172"/>
  <c r="G172"/>
  <c r="N171"/>
  <c r="G171"/>
  <c r="N170"/>
  <c r="G170"/>
  <c r="N169"/>
  <c r="G169"/>
  <c r="N168"/>
  <c r="G168"/>
  <c r="N167"/>
  <c r="G167"/>
  <c r="N166"/>
  <c r="G166"/>
  <c r="N165"/>
  <c r="G165"/>
  <c r="N164"/>
  <c r="G164"/>
  <c r="N163"/>
  <c r="G163"/>
  <c r="N162"/>
  <c r="G162"/>
  <c r="N161"/>
  <c r="G161"/>
  <c r="N160"/>
  <c r="G160"/>
  <c r="N159"/>
  <c r="G159"/>
  <c r="N158"/>
  <c r="G158"/>
  <c r="N157"/>
  <c r="G157"/>
  <c r="N156"/>
  <c r="G156"/>
  <c r="N155"/>
  <c r="G155"/>
  <c r="N154"/>
  <c r="G154"/>
  <c r="N153"/>
  <c r="G153"/>
  <c r="N152"/>
  <c r="G152"/>
  <c r="N151"/>
  <c r="G151"/>
  <c r="N150"/>
  <c r="G150"/>
  <c r="N149"/>
  <c r="G149"/>
  <c r="N148"/>
  <c r="G148"/>
  <c r="N147"/>
  <c r="G147"/>
  <c r="N146"/>
  <c r="G146"/>
  <c r="N145"/>
  <c r="G145"/>
  <c r="N144"/>
  <c r="G144"/>
  <c r="N143"/>
  <c r="G143"/>
  <c r="N142"/>
  <c r="G142"/>
  <c r="N141"/>
  <c r="G141"/>
  <c r="N140"/>
  <c r="G140"/>
  <c r="N139"/>
  <c r="G139"/>
  <c r="N138"/>
  <c r="G138"/>
  <c r="N137"/>
  <c r="G137"/>
  <c r="N136"/>
  <c r="G136"/>
  <c r="N135"/>
  <c r="G135"/>
  <c r="N134"/>
  <c r="G134"/>
  <c r="N133"/>
  <c r="G133"/>
  <c r="N132"/>
  <c r="G132"/>
  <c r="N131"/>
  <c r="G131"/>
  <c r="N130"/>
  <c r="G130"/>
  <c r="N129"/>
  <c r="G129"/>
  <c r="N128"/>
  <c r="G128"/>
  <c r="N127"/>
  <c r="G127"/>
  <c r="N126"/>
  <c r="G126"/>
  <c r="N125"/>
  <c r="G125"/>
  <c r="N124"/>
  <c r="G124"/>
  <c r="N123"/>
  <c r="G123"/>
  <c r="N122"/>
  <c r="G122"/>
  <c r="N121"/>
  <c r="G121"/>
  <c r="N120"/>
  <c r="G120"/>
  <c r="N119"/>
  <c r="G119"/>
  <c r="N118"/>
  <c r="G118"/>
  <c r="N117"/>
  <c r="G117"/>
  <c r="N116"/>
  <c r="G116"/>
  <c r="N115"/>
  <c r="G115"/>
  <c r="N114"/>
  <c r="G114"/>
  <c r="N113"/>
  <c r="G113"/>
  <c r="N112"/>
  <c r="G112"/>
  <c r="N111"/>
  <c r="G111"/>
  <c r="N110"/>
  <c r="G110"/>
  <c r="N109"/>
  <c r="G109"/>
  <c r="N108"/>
  <c r="G108"/>
  <c r="N107"/>
  <c r="G107"/>
  <c r="N106"/>
  <c r="G106"/>
  <c r="N105"/>
  <c r="G105"/>
  <c r="N104"/>
  <c r="G104"/>
  <c r="N103"/>
  <c r="G103"/>
  <c r="N102"/>
  <c r="G102"/>
  <c r="N101"/>
  <c r="G101"/>
  <c r="N100"/>
  <c r="G100"/>
  <c r="N99"/>
  <c r="G99"/>
  <c r="N98"/>
  <c r="G98"/>
  <c r="N97"/>
  <c r="G97"/>
  <c r="N96"/>
  <c r="G96"/>
  <c r="N95"/>
  <c r="G95"/>
  <c r="N94"/>
  <c r="G94"/>
  <c r="N93"/>
  <c r="G93"/>
  <c r="N92"/>
  <c r="G92"/>
  <c r="N91"/>
  <c r="G91"/>
  <c r="N90"/>
  <c r="G90"/>
  <c r="N89"/>
  <c r="G89"/>
  <c r="N88"/>
  <c r="G88"/>
  <c r="N87"/>
  <c r="G87"/>
  <c r="N86"/>
  <c r="G86"/>
  <c r="N85"/>
  <c r="G85"/>
  <c r="N84"/>
  <c r="G84"/>
  <c r="N83"/>
  <c r="G83"/>
  <c r="N82"/>
  <c r="G82"/>
  <c r="N81"/>
  <c r="G81"/>
  <c r="N80"/>
  <c r="G80"/>
  <c r="N79"/>
  <c r="G79"/>
  <c r="N78"/>
  <c r="G78"/>
  <c r="N77"/>
  <c r="G77"/>
  <c r="N76"/>
  <c r="G76"/>
  <c r="N75"/>
  <c r="G75"/>
  <c r="N74"/>
  <c r="G74"/>
  <c r="N73"/>
  <c r="G73"/>
  <c r="N72"/>
  <c r="G72"/>
  <c r="N71"/>
  <c r="G71"/>
  <c r="N70"/>
  <c r="G70"/>
  <c r="N69"/>
  <c r="G69"/>
  <c r="N68"/>
  <c r="G68"/>
  <c r="N67"/>
  <c r="G67"/>
  <c r="N66"/>
  <c r="G66"/>
  <c r="N65"/>
  <c r="G65"/>
  <c r="N64"/>
  <c r="G64"/>
  <c r="N63"/>
  <c r="G63"/>
  <c r="N62"/>
  <c r="G62"/>
  <c r="N61"/>
  <c r="G61"/>
  <c r="N60"/>
  <c r="G60"/>
  <c r="N59"/>
  <c r="G59"/>
  <c r="N58"/>
  <c r="G58"/>
  <c r="N57"/>
  <c r="G57"/>
  <c r="N56"/>
  <c r="G56"/>
  <c r="N55"/>
  <c r="G55"/>
  <c r="N54"/>
  <c r="G54"/>
  <c r="N53"/>
  <c r="G53"/>
  <c r="N52"/>
  <c r="G52"/>
  <c r="N51"/>
  <c r="G51"/>
  <c r="N50"/>
  <c r="G50"/>
  <c r="N49"/>
  <c r="G49"/>
  <c r="N48"/>
  <c r="G48"/>
  <c r="N47"/>
  <c r="G47"/>
  <c r="N46"/>
  <c r="G46"/>
  <c r="C45"/>
  <c r="N44"/>
  <c r="G44"/>
  <c r="N43"/>
  <c r="G43"/>
  <c r="N42"/>
  <c r="G42"/>
  <c r="N41"/>
  <c r="G41"/>
  <c r="N40"/>
  <c r="G40"/>
  <c r="N39"/>
  <c r="G39"/>
  <c r="N38"/>
  <c r="G38"/>
  <c r="N37"/>
  <c r="G37"/>
  <c r="N36"/>
  <c r="G36"/>
  <c r="N35"/>
  <c r="G35"/>
  <c r="N34"/>
  <c r="J34"/>
  <c r="G34"/>
  <c r="N33"/>
  <c r="G33"/>
  <c r="N32"/>
  <c r="G32"/>
  <c r="N31"/>
  <c r="G31"/>
  <c r="N30"/>
  <c r="G30"/>
  <c r="N29"/>
  <c r="G29"/>
  <c r="N28"/>
  <c r="G28"/>
  <c r="N27"/>
  <c r="G27"/>
  <c r="N26"/>
  <c r="G26"/>
  <c r="N25"/>
  <c r="G25"/>
  <c r="N24"/>
  <c r="G24"/>
  <c r="N23"/>
  <c r="G23"/>
  <c r="N22"/>
  <c r="G22"/>
  <c r="N21"/>
  <c r="G21"/>
  <c r="N20"/>
  <c r="G20"/>
  <c r="N19"/>
  <c r="G19"/>
  <c r="N13"/>
  <c r="G13"/>
  <c r="N18"/>
  <c r="G18"/>
  <c r="N17"/>
  <c r="G17"/>
  <c r="N16"/>
  <c r="G16"/>
  <c r="N15"/>
  <c r="G15"/>
  <c r="N14"/>
  <c r="G14"/>
  <c r="N12"/>
  <c r="K12"/>
  <c r="L12" s="1"/>
  <c r="O12" s="1"/>
  <c r="G12"/>
  <c r="M9"/>
  <c r="C9"/>
  <c r="E18" i="9" s="1"/>
  <c r="N8" i="5"/>
  <c r="K8"/>
  <c r="L8" s="1"/>
  <c r="O8" s="1"/>
  <c r="G8"/>
  <c r="N7"/>
  <c r="K7"/>
  <c r="L7" s="1"/>
  <c r="O7" s="1"/>
  <c r="G7"/>
  <c r="N6"/>
  <c r="K6"/>
  <c r="L6" s="1"/>
  <c r="O6" s="1"/>
  <c r="G6"/>
  <c r="N5"/>
  <c r="K5"/>
  <c r="L5" s="1"/>
  <c r="O5" s="1"/>
  <c r="G5"/>
  <c r="N4"/>
  <c r="L4"/>
  <c r="O4" s="1"/>
  <c r="Q4" s="1"/>
  <c r="G4"/>
  <c r="H11" i="4"/>
  <c r="M11" s="1"/>
  <c r="L11"/>
  <c r="N11"/>
  <c r="H18"/>
  <c r="N18"/>
  <c r="H20"/>
  <c r="G21"/>
  <c r="K21"/>
  <c r="H23"/>
  <c r="H24" s="1"/>
  <c r="L23"/>
  <c r="N23"/>
  <c r="G24"/>
  <c r="J24"/>
  <c r="K24"/>
  <c r="K25" s="1"/>
  <c r="G25" l="1"/>
  <c r="N18" i="9"/>
  <c r="H18"/>
  <c r="N13"/>
  <c r="H13"/>
  <c r="M13" s="1"/>
  <c r="P281" i="5"/>
  <c r="Q281" s="1"/>
  <c r="H12" i="4"/>
  <c r="M12" s="1"/>
  <c r="E12" i="9"/>
  <c r="N14"/>
  <c r="H14"/>
  <c r="J23"/>
  <c r="L22"/>
  <c r="G286" i="5"/>
  <c r="R307"/>
  <c r="S307" s="1"/>
  <c r="R308"/>
  <c r="S308" s="1"/>
  <c r="R312"/>
  <c r="S312" s="1"/>
  <c r="R316"/>
  <c r="S316" s="1"/>
  <c r="R320"/>
  <c r="S320" s="1"/>
  <c r="R324"/>
  <c r="S324" s="1"/>
  <c r="R328"/>
  <c r="S328" s="1"/>
  <c r="R309"/>
  <c r="S309" s="1"/>
  <c r="R313"/>
  <c r="S313" s="1"/>
  <c r="R317"/>
  <c r="S317" s="1"/>
  <c r="R321"/>
  <c r="S321" s="1"/>
  <c r="R325"/>
  <c r="S325"/>
  <c r="R329"/>
  <c r="S329" s="1"/>
  <c r="G348"/>
  <c r="R310"/>
  <c r="S310" s="1"/>
  <c r="R314"/>
  <c r="S314" s="1"/>
  <c r="R318"/>
  <c r="S318" s="1"/>
  <c r="R322"/>
  <c r="S322" s="1"/>
  <c r="R326"/>
  <c r="S326" s="1"/>
  <c r="R330"/>
  <c r="S330" s="1"/>
  <c r="R306"/>
  <c r="S306" s="1"/>
  <c r="R311"/>
  <c r="S311" s="1"/>
  <c r="R315"/>
  <c r="S315" s="1"/>
  <c r="R319"/>
  <c r="S319" s="1"/>
  <c r="R323"/>
  <c r="S323" s="1"/>
  <c r="R327"/>
  <c r="S327" s="1"/>
  <c r="P347"/>
  <c r="Q347" s="1"/>
  <c r="R347" s="1"/>
  <c r="S347" s="1"/>
  <c r="C271"/>
  <c r="G278"/>
  <c r="N302"/>
  <c r="P239"/>
  <c r="G245"/>
  <c r="P290"/>
  <c r="Q290" s="1"/>
  <c r="Q217"/>
  <c r="R217" s="1"/>
  <c r="Q213"/>
  <c r="R213" s="1"/>
  <c r="Q209"/>
  <c r="R209" s="1"/>
  <c r="Q269"/>
  <c r="R269" s="1"/>
  <c r="M23" i="4"/>
  <c r="R223" i="5"/>
  <c r="G206"/>
  <c r="N206"/>
  <c r="Q214"/>
  <c r="R214" s="1"/>
  <c r="Q210"/>
  <c r="R210" s="1"/>
  <c r="Q216"/>
  <c r="R216" s="1"/>
  <c r="Q212"/>
  <c r="R212" s="1"/>
  <c r="Q208"/>
  <c r="R208" s="1"/>
  <c r="L24" i="4"/>
  <c r="M24" s="1"/>
  <c r="P15" i="5"/>
  <c r="Q15" s="1"/>
  <c r="R15" s="1"/>
  <c r="P72"/>
  <c r="Q72" s="1"/>
  <c r="R72" s="1"/>
  <c r="P80"/>
  <c r="P88"/>
  <c r="Q88" s="1"/>
  <c r="R88" s="1"/>
  <c r="P96"/>
  <c r="Q96" s="1"/>
  <c r="R96" s="1"/>
  <c r="P104"/>
  <c r="P17"/>
  <c r="Q17" s="1"/>
  <c r="R17" s="1"/>
  <c r="P66"/>
  <c r="Q66" s="1"/>
  <c r="R66" s="1"/>
  <c r="P68"/>
  <c r="Q68" s="1"/>
  <c r="R68" s="1"/>
  <c r="P74"/>
  <c r="Q74" s="1"/>
  <c r="R74" s="1"/>
  <c r="P76"/>
  <c r="P82"/>
  <c r="Q82" s="1"/>
  <c r="R82" s="1"/>
  <c r="P84"/>
  <c r="Q84" s="1"/>
  <c r="R84" s="1"/>
  <c r="P90"/>
  <c r="Q90" s="1"/>
  <c r="R90" s="1"/>
  <c r="P92"/>
  <c r="P98"/>
  <c r="Q98" s="1"/>
  <c r="R98" s="1"/>
  <c r="P100"/>
  <c r="Q100" s="1"/>
  <c r="R100" s="1"/>
  <c r="P106"/>
  <c r="Q106" s="1"/>
  <c r="R106" s="1"/>
  <c r="P108"/>
  <c r="N24" i="4"/>
  <c r="J37" i="6"/>
  <c r="I37"/>
  <c r="J25"/>
  <c r="M16"/>
  <c r="P319" i="5"/>
  <c r="C218"/>
  <c r="E15" i="9" s="1"/>
  <c r="P70" i="5"/>
  <c r="P78"/>
  <c r="Q78" s="1"/>
  <c r="R78" s="1"/>
  <c r="P86"/>
  <c r="P94"/>
  <c r="Q94" s="1"/>
  <c r="R94" s="1"/>
  <c r="P102"/>
  <c r="Q102" s="1"/>
  <c r="R102" s="1"/>
  <c r="P109"/>
  <c r="R225"/>
  <c r="P237"/>
  <c r="Q237" s="1"/>
  <c r="R237" s="1"/>
  <c r="P311"/>
  <c r="P327"/>
  <c r="R335"/>
  <c r="S335" s="1"/>
  <c r="H19" i="4"/>
  <c r="H14"/>
  <c r="N14"/>
  <c r="H13"/>
  <c r="N13"/>
  <c r="N9" i="5"/>
  <c r="P14"/>
  <c r="Q14" s="1"/>
  <c r="R14" s="1"/>
  <c r="P16"/>
  <c r="P18"/>
  <c r="Q18" s="1"/>
  <c r="R18" s="1"/>
  <c r="P21"/>
  <c r="Q21" s="1"/>
  <c r="R21" s="1"/>
  <c r="P23"/>
  <c r="Q23" s="1"/>
  <c r="R23" s="1"/>
  <c r="P25"/>
  <c r="Q25" s="1"/>
  <c r="R25" s="1"/>
  <c r="P27"/>
  <c r="Q27" s="1"/>
  <c r="R27" s="1"/>
  <c r="P31"/>
  <c r="Q31" s="1"/>
  <c r="R31" s="1"/>
  <c r="P47"/>
  <c r="P51"/>
  <c r="P55"/>
  <c r="Q55" s="1"/>
  <c r="R55" s="1"/>
  <c r="N227"/>
  <c r="P231"/>
  <c r="P232"/>
  <c r="P234"/>
  <c r="G297"/>
  <c r="P297" s="1"/>
  <c r="C302"/>
  <c r="E16" i="9" s="1"/>
  <c r="P306" i="5"/>
  <c r="P307"/>
  <c r="P309"/>
  <c r="P312"/>
  <c r="P314"/>
  <c r="P315"/>
  <c r="P317"/>
  <c r="P320"/>
  <c r="P322"/>
  <c r="P323"/>
  <c r="P325"/>
  <c r="P328"/>
  <c r="Q328" s="1"/>
  <c r="P329"/>
  <c r="Q329" s="1"/>
  <c r="P330"/>
  <c r="Q330" s="1"/>
  <c r="P336"/>
  <c r="Q336" s="1"/>
  <c r="R336" s="1"/>
  <c r="S336" s="1"/>
  <c r="P339"/>
  <c r="Q339" s="1"/>
  <c r="R339" s="1"/>
  <c r="S339" s="1"/>
  <c r="P340"/>
  <c r="Q340" s="1"/>
  <c r="P343"/>
  <c r="Q343" s="1"/>
  <c r="R343" s="1"/>
  <c r="S343" s="1"/>
  <c r="P13"/>
  <c r="Q13" s="1"/>
  <c r="R13" s="1"/>
  <c r="P22"/>
  <c r="P24"/>
  <c r="Q24" s="1"/>
  <c r="R24" s="1"/>
  <c r="P26"/>
  <c r="Q26" s="1"/>
  <c r="R26" s="1"/>
  <c r="P28"/>
  <c r="Q28" s="1"/>
  <c r="R28" s="1"/>
  <c r="P30"/>
  <c r="Q30" s="1"/>
  <c r="R30" s="1"/>
  <c r="P46"/>
  <c r="Q46" s="1"/>
  <c r="R46" s="1"/>
  <c r="P52"/>
  <c r="Q52" s="1"/>
  <c r="R52" s="1"/>
  <c r="P56"/>
  <c r="Q56" s="1"/>
  <c r="R56" s="1"/>
  <c r="P226"/>
  <c r="Q226" s="1"/>
  <c r="Q227" s="1"/>
  <c r="L13" i="4" s="1"/>
  <c r="P233" i="5"/>
  <c r="P235"/>
  <c r="Q235" s="1"/>
  <c r="G302"/>
  <c r="P308"/>
  <c r="P310"/>
  <c r="P313"/>
  <c r="P316"/>
  <c r="P318"/>
  <c r="P321"/>
  <c r="P324"/>
  <c r="P326"/>
  <c r="P337"/>
  <c r="Q337" s="1"/>
  <c r="R337" s="1"/>
  <c r="S337" s="1"/>
  <c r="P338"/>
  <c r="Q338" s="1"/>
  <c r="P341"/>
  <c r="Q341" s="1"/>
  <c r="R341" s="1"/>
  <c r="S341" s="1"/>
  <c r="P342"/>
  <c r="Q342" s="1"/>
  <c r="R342" s="1"/>
  <c r="S342" s="1"/>
  <c r="O197"/>
  <c r="O195"/>
  <c r="O193"/>
  <c r="O191"/>
  <c r="O189"/>
  <c r="O187"/>
  <c r="O185"/>
  <c r="O183"/>
  <c r="O181"/>
  <c r="O179"/>
  <c r="O177"/>
  <c r="O175"/>
  <c r="O173"/>
  <c r="O171"/>
  <c r="O169"/>
  <c r="O167"/>
  <c r="O165"/>
  <c r="O163"/>
  <c r="O161"/>
  <c r="O159"/>
  <c r="O157"/>
  <c r="O155"/>
  <c r="O153"/>
  <c r="O151"/>
  <c r="O149"/>
  <c r="O147"/>
  <c r="O145"/>
  <c r="O143"/>
  <c r="O141"/>
  <c r="O139"/>
  <c r="O137"/>
  <c r="O135"/>
  <c r="O133"/>
  <c r="O131"/>
  <c r="O129"/>
  <c r="O127"/>
  <c r="O125"/>
  <c r="O123"/>
  <c r="O121"/>
  <c r="O119"/>
  <c r="O117"/>
  <c r="O115"/>
  <c r="O113"/>
  <c r="O111"/>
  <c r="O109"/>
  <c r="Q16"/>
  <c r="R16" s="1"/>
  <c r="S265"/>
  <c r="R334"/>
  <c r="S334" s="1"/>
  <c r="N12" i="4"/>
  <c r="I25" i="6"/>
  <c r="Q22" i="5"/>
  <c r="R22" s="1"/>
  <c r="Q47"/>
  <c r="R47" s="1"/>
  <c r="Q51"/>
  <c r="R51" s="1"/>
  <c r="P19"/>
  <c r="Q19" s="1"/>
  <c r="R19" s="1"/>
  <c r="P20"/>
  <c r="Q20" s="1"/>
  <c r="R20" s="1"/>
  <c r="P29"/>
  <c r="Q29" s="1"/>
  <c r="R29" s="1"/>
  <c r="P32"/>
  <c r="Q32" s="1"/>
  <c r="R32" s="1"/>
  <c r="P33"/>
  <c r="Q33" s="1"/>
  <c r="R33" s="1"/>
  <c r="N45"/>
  <c r="P48"/>
  <c r="Q48" s="1"/>
  <c r="R48" s="1"/>
  <c r="P49"/>
  <c r="Q49" s="1"/>
  <c r="P50"/>
  <c r="Q50" s="1"/>
  <c r="R50" s="1"/>
  <c r="P53"/>
  <c r="Q53" s="1"/>
  <c r="R53" s="1"/>
  <c r="P54"/>
  <c r="Q54" s="1"/>
  <c r="R54" s="1"/>
  <c r="P57"/>
  <c r="Q57" s="1"/>
  <c r="R57" s="1"/>
  <c r="P58"/>
  <c r="Q58" s="1"/>
  <c r="R58" s="1"/>
  <c r="P59"/>
  <c r="Q59" s="1"/>
  <c r="R59" s="1"/>
  <c r="P60"/>
  <c r="Q60" s="1"/>
  <c r="R60" s="1"/>
  <c r="P61"/>
  <c r="Q61" s="1"/>
  <c r="R61" s="1"/>
  <c r="P62"/>
  <c r="Q62" s="1"/>
  <c r="R62" s="1"/>
  <c r="P63"/>
  <c r="Q63" s="1"/>
  <c r="R63" s="1"/>
  <c r="R4"/>
  <c r="P5"/>
  <c r="P6"/>
  <c r="Q6" s="1"/>
  <c r="P7"/>
  <c r="P8"/>
  <c r="Q8" s="1"/>
  <c r="R8" s="1"/>
  <c r="P34"/>
  <c r="Q34" s="1"/>
  <c r="R34" s="1"/>
  <c r="P35"/>
  <c r="Q35" s="1"/>
  <c r="R35" s="1"/>
  <c r="P36"/>
  <c r="Q36" s="1"/>
  <c r="R36" s="1"/>
  <c r="P37"/>
  <c r="Q37" s="1"/>
  <c r="R37" s="1"/>
  <c r="P38"/>
  <c r="Q38" s="1"/>
  <c r="R38" s="1"/>
  <c r="P39"/>
  <c r="Q39" s="1"/>
  <c r="R39" s="1"/>
  <c r="P40"/>
  <c r="Q40" s="1"/>
  <c r="R40" s="1"/>
  <c r="P41"/>
  <c r="Q41" s="1"/>
  <c r="R41" s="1"/>
  <c r="P42"/>
  <c r="Q42" s="1"/>
  <c r="R42" s="1"/>
  <c r="P43"/>
  <c r="Q43" s="1"/>
  <c r="R43" s="1"/>
  <c r="P44"/>
  <c r="Q44" s="1"/>
  <c r="R44" s="1"/>
  <c r="G45"/>
  <c r="P65"/>
  <c r="Q65" s="1"/>
  <c r="R65" s="1"/>
  <c r="P67"/>
  <c r="Q67" s="1"/>
  <c r="R67" s="1"/>
  <c r="P69"/>
  <c r="Q69" s="1"/>
  <c r="R69" s="1"/>
  <c r="P71"/>
  <c r="Q71" s="1"/>
  <c r="R71" s="1"/>
  <c r="P73"/>
  <c r="Q73" s="1"/>
  <c r="R73" s="1"/>
  <c r="P75"/>
  <c r="Q75" s="1"/>
  <c r="R75" s="1"/>
  <c r="P77"/>
  <c r="Q77" s="1"/>
  <c r="R77" s="1"/>
  <c r="P79"/>
  <c r="Q79" s="1"/>
  <c r="R79" s="1"/>
  <c r="P81"/>
  <c r="Q81" s="1"/>
  <c r="R81" s="1"/>
  <c r="P83"/>
  <c r="Q83" s="1"/>
  <c r="R83" s="1"/>
  <c r="P85"/>
  <c r="Q85" s="1"/>
  <c r="R85" s="1"/>
  <c r="P87"/>
  <c r="Q87" s="1"/>
  <c r="R87" s="1"/>
  <c r="P89"/>
  <c r="Q89" s="1"/>
  <c r="R89" s="1"/>
  <c r="P91"/>
  <c r="Q91" s="1"/>
  <c r="R91" s="1"/>
  <c r="P93"/>
  <c r="Q93" s="1"/>
  <c r="R93" s="1"/>
  <c r="P95"/>
  <c r="Q95" s="1"/>
  <c r="R95" s="1"/>
  <c r="P97"/>
  <c r="Q97" s="1"/>
  <c r="R97" s="1"/>
  <c r="P99"/>
  <c r="Q99" s="1"/>
  <c r="R99" s="1"/>
  <c r="P101"/>
  <c r="Q101" s="1"/>
  <c r="R101" s="1"/>
  <c r="P103"/>
  <c r="Q103" s="1"/>
  <c r="R103" s="1"/>
  <c r="P105"/>
  <c r="Q105" s="1"/>
  <c r="R105" s="1"/>
  <c r="P107"/>
  <c r="Q107" s="1"/>
  <c r="R107" s="1"/>
  <c r="R224"/>
  <c r="P12"/>
  <c r="Q12" s="1"/>
  <c r="P64"/>
  <c r="Q64" s="1"/>
  <c r="R64" s="1"/>
  <c r="Q70"/>
  <c r="R70" s="1"/>
  <c r="Q76"/>
  <c r="R76" s="1"/>
  <c r="Q80"/>
  <c r="R80" s="1"/>
  <c r="Q86"/>
  <c r="R86" s="1"/>
  <c r="Q92"/>
  <c r="R92" s="1"/>
  <c r="Q104"/>
  <c r="R104" s="1"/>
  <c r="Q108"/>
  <c r="R108" s="1"/>
  <c r="P245"/>
  <c r="Q245" s="1"/>
  <c r="R245" s="1"/>
  <c r="R222"/>
  <c r="R226"/>
  <c r="P230"/>
  <c r="P236"/>
  <c r="Q236" s="1"/>
  <c r="R236" s="1"/>
  <c r="P238"/>
  <c r="Q238" s="1"/>
  <c r="R238" s="1"/>
  <c r="P240"/>
  <c r="Q240" s="1"/>
  <c r="R240" s="1"/>
  <c r="G244"/>
  <c r="P110"/>
  <c r="Q110" s="1"/>
  <c r="R110" s="1"/>
  <c r="P111"/>
  <c r="P112"/>
  <c r="Q112" s="1"/>
  <c r="R112" s="1"/>
  <c r="P113"/>
  <c r="P114"/>
  <c r="Q114" s="1"/>
  <c r="R114" s="1"/>
  <c r="P115"/>
  <c r="P116"/>
  <c r="Q116" s="1"/>
  <c r="R116" s="1"/>
  <c r="P117"/>
  <c r="Q117" s="1"/>
  <c r="R117" s="1"/>
  <c r="P118"/>
  <c r="Q118" s="1"/>
  <c r="R118" s="1"/>
  <c r="P119"/>
  <c r="P120"/>
  <c r="Q120" s="1"/>
  <c r="R120" s="1"/>
  <c r="P121"/>
  <c r="P122"/>
  <c r="Q122" s="1"/>
  <c r="R122" s="1"/>
  <c r="P123"/>
  <c r="P124"/>
  <c r="Q124" s="1"/>
  <c r="R124" s="1"/>
  <c r="P125"/>
  <c r="Q125" s="1"/>
  <c r="R125" s="1"/>
  <c r="P126"/>
  <c r="Q126" s="1"/>
  <c r="R126" s="1"/>
  <c r="P127"/>
  <c r="P128"/>
  <c r="Q128" s="1"/>
  <c r="R128" s="1"/>
  <c r="P129"/>
  <c r="P130"/>
  <c r="Q130" s="1"/>
  <c r="R130" s="1"/>
  <c r="P131"/>
  <c r="P132"/>
  <c r="Q132" s="1"/>
  <c r="R132" s="1"/>
  <c r="P133"/>
  <c r="Q133" s="1"/>
  <c r="R133" s="1"/>
  <c r="P134"/>
  <c r="Q134" s="1"/>
  <c r="R134" s="1"/>
  <c r="P135"/>
  <c r="P136"/>
  <c r="Q136" s="1"/>
  <c r="R136" s="1"/>
  <c r="P137"/>
  <c r="P138"/>
  <c r="Q138" s="1"/>
  <c r="R138" s="1"/>
  <c r="P139"/>
  <c r="P140"/>
  <c r="Q140" s="1"/>
  <c r="R140" s="1"/>
  <c r="P141"/>
  <c r="Q141" s="1"/>
  <c r="R141" s="1"/>
  <c r="P142"/>
  <c r="Q142" s="1"/>
  <c r="R142" s="1"/>
  <c r="P143"/>
  <c r="P144"/>
  <c r="Q144" s="1"/>
  <c r="R144" s="1"/>
  <c r="P145"/>
  <c r="P146"/>
  <c r="Q146" s="1"/>
  <c r="R146" s="1"/>
  <c r="P147"/>
  <c r="P148"/>
  <c r="Q148" s="1"/>
  <c r="R148" s="1"/>
  <c r="P149"/>
  <c r="Q149" s="1"/>
  <c r="R149" s="1"/>
  <c r="P150"/>
  <c r="Q150" s="1"/>
  <c r="R150" s="1"/>
  <c r="P151"/>
  <c r="P152"/>
  <c r="Q152" s="1"/>
  <c r="R152" s="1"/>
  <c r="P153"/>
  <c r="P154"/>
  <c r="Q154" s="1"/>
  <c r="R154" s="1"/>
  <c r="P155"/>
  <c r="P156"/>
  <c r="Q156" s="1"/>
  <c r="R156" s="1"/>
  <c r="P157"/>
  <c r="Q157" s="1"/>
  <c r="R157" s="1"/>
  <c r="P158"/>
  <c r="Q158" s="1"/>
  <c r="R158" s="1"/>
  <c r="P159"/>
  <c r="P160"/>
  <c r="Q160" s="1"/>
  <c r="R160" s="1"/>
  <c r="P161"/>
  <c r="P162"/>
  <c r="Q162" s="1"/>
  <c r="R162" s="1"/>
  <c r="P163"/>
  <c r="P164"/>
  <c r="Q164" s="1"/>
  <c r="R164" s="1"/>
  <c r="P165"/>
  <c r="Q165" s="1"/>
  <c r="R165" s="1"/>
  <c r="P166"/>
  <c r="Q166" s="1"/>
  <c r="R166" s="1"/>
  <c r="P167"/>
  <c r="P168"/>
  <c r="Q168" s="1"/>
  <c r="R168" s="1"/>
  <c r="P169"/>
  <c r="P170"/>
  <c r="Q170" s="1"/>
  <c r="R170" s="1"/>
  <c r="P171"/>
  <c r="P172"/>
  <c r="Q172" s="1"/>
  <c r="R172" s="1"/>
  <c r="P173"/>
  <c r="Q173" s="1"/>
  <c r="R173" s="1"/>
  <c r="P174"/>
  <c r="Q174" s="1"/>
  <c r="R174" s="1"/>
  <c r="P175"/>
  <c r="P176"/>
  <c r="Q176" s="1"/>
  <c r="R176" s="1"/>
  <c r="P177"/>
  <c r="P178"/>
  <c r="Q178" s="1"/>
  <c r="R178" s="1"/>
  <c r="P179"/>
  <c r="P180"/>
  <c r="Q180" s="1"/>
  <c r="R180" s="1"/>
  <c r="P181"/>
  <c r="Q181" s="1"/>
  <c r="R181" s="1"/>
  <c r="P182"/>
  <c r="Q182" s="1"/>
  <c r="R182" s="1"/>
  <c r="P183"/>
  <c r="P184"/>
  <c r="Q184" s="1"/>
  <c r="R184" s="1"/>
  <c r="P185"/>
  <c r="P186"/>
  <c r="Q186" s="1"/>
  <c r="R186" s="1"/>
  <c r="P187"/>
  <c r="P188"/>
  <c r="Q188" s="1"/>
  <c r="R188" s="1"/>
  <c r="P189"/>
  <c r="Q189" s="1"/>
  <c r="R189" s="1"/>
  <c r="P190"/>
  <c r="Q190" s="1"/>
  <c r="R190" s="1"/>
  <c r="P191"/>
  <c r="P192"/>
  <c r="Q192" s="1"/>
  <c r="R192" s="1"/>
  <c r="P193"/>
  <c r="P194"/>
  <c r="Q194" s="1"/>
  <c r="R194" s="1"/>
  <c r="P195"/>
  <c r="P196"/>
  <c r="Q196" s="1"/>
  <c r="R196" s="1"/>
  <c r="P197"/>
  <c r="Q197" s="1"/>
  <c r="R197" s="1"/>
  <c r="R230"/>
  <c r="Q239"/>
  <c r="R239" s="1"/>
  <c r="N244"/>
  <c r="P241"/>
  <c r="P242"/>
  <c r="P243"/>
  <c r="Q243" s="1"/>
  <c r="R243" s="1"/>
  <c r="P246"/>
  <c r="Q246" s="1"/>
  <c r="R246" s="1"/>
  <c r="P247"/>
  <c r="Q247" s="1"/>
  <c r="R247" s="1"/>
  <c r="P248"/>
  <c r="Q248" s="1"/>
  <c r="R248" s="1"/>
  <c r="P249"/>
  <c r="Q249" s="1"/>
  <c r="R249" s="1"/>
  <c r="P250"/>
  <c r="Q250" s="1"/>
  <c r="R250" s="1"/>
  <c r="P251"/>
  <c r="Q251" s="1"/>
  <c r="R251" s="1"/>
  <c r="P252"/>
  <c r="Q252" s="1"/>
  <c r="R252" s="1"/>
  <c r="P253"/>
  <c r="Q253" s="1"/>
  <c r="R253" s="1"/>
  <c r="P254"/>
  <c r="Q254" s="1"/>
  <c r="R254" s="1"/>
  <c r="P255"/>
  <c r="Q255" s="1"/>
  <c r="R255" s="1"/>
  <c r="P256"/>
  <c r="Q256" s="1"/>
  <c r="R256" s="1"/>
  <c r="P257"/>
  <c r="Q257" s="1"/>
  <c r="R257" s="1"/>
  <c r="P258"/>
  <c r="Q258" s="1"/>
  <c r="R258" s="1"/>
  <c r="P259"/>
  <c r="Q259" s="1"/>
  <c r="R259" s="1"/>
  <c r="P260"/>
  <c r="Q260" s="1"/>
  <c r="R260" s="1"/>
  <c r="P261"/>
  <c r="Q261" s="1"/>
  <c r="R261" s="1"/>
  <c r="G262"/>
  <c r="P262" s="1"/>
  <c r="Q262" s="1"/>
  <c r="R262" s="1"/>
  <c r="P266"/>
  <c r="Q266" s="1"/>
  <c r="R266" s="1"/>
  <c r="P267"/>
  <c r="Q267" s="1"/>
  <c r="R267" s="1"/>
  <c r="P268"/>
  <c r="Q268" s="1"/>
  <c r="R268" s="1"/>
  <c r="N278"/>
  <c r="N286"/>
  <c r="P298"/>
  <c r="P299"/>
  <c r="P300"/>
  <c r="P301"/>
  <c r="Q301" s="1"/>
  <c r="R301" s="1"/>
  <c r="P305"/>
  <c r="R338"/>
  <c r="S338" s="1"/>
  <c r="R340"/>
  <c r="S340" s="1"/>
  <c r="P350"/>
  <c r="P351" s="1"/>
  <c r="P263"/>
  <c r="Q263" s="1"/>
  <c r="R263" s="1"/>
  <c r="P264"/>
  <c r="Q264" s="1"/>
  <c r="R264" s="1"/>
  <c r="P265"/>
  <c r="Q265" s="1"/>
  <c r="R265" s="1"/>
  <c r="P274"/>
  <c r="P275"/>
  <c r="Q275" s="1"/>
  <c r="R275" s="1"/>
  <c r="P276"/>
  <c r="Q276" s="1"/>
  <c r="R276" s="1"/>
  <c r="P277"/>
  <c r="Q277" s="1"/>
  <c r="R277" s="1"/>
  <c r="P282"/>
  <c r="Q282" s="1"/>
  <c r="R282" s="1"/>
  <c r="P283"/>
  <c r="Q283" s="1"/>
  <c r="R283" s="1"/>
  <c r="P284"/>
  <c r="Q284" s="1"/>
  <c r="R284" s="1"/>
  <c r="P285"/>
  <c r="Q285" s="1"/>
  <c r="R285" s="1"/>
  <c r="R290"/>
  <c r="P291"/>
  <c r="P292"/>
  <c r="P293"/>
  <c r="P294"/>
  <c r="P295"/>
  <c r="P296"/>
  <c r="R305"/>
  <c r="P331"/>
  <c r="Q331" s="1"/>
  <c r="R331" s="1"/>
  <c r="S331" s="1"/>
  <c r="P332"/>
  <c r="Q332" s="1"/>
  <c r="R332" s="1"/>
  <c r="S332" s="1"/>
  <c r="P333"/>
  <c r="Q333" s="1"/>
  <c r="R333" s="1"/>
  <c r="S333" s="1"/>
  <c r="P344"/>
  <c r="P345"/>
  <c r="P346"/>
  <c r="R350"/>
  <c r="R351" s="1"/>
  <c r="F25" i="4"/>
  <c r="M13" l="1"/>
  <c r="N16" i="9"/>
  <c r="H16"/>
  <c r="N15"/>
  <c r="H15"/>
  <c r="L23"/>
  <c r="M22"/>
  <c r="E20"/>
  <c r="E24" s="1"/>
  <c r="H12"/>
  <c r="N12"/>
  <c r="N20" s="1"/>
  <c r="N24" s="1"/>
  <c r="G271" i="5"/>
  <c r="N218"/>
  <c r="Q297"/>
  <c r="R297" s="1"/>
  <c r="Q346"/>
  <c r="R346" s="1"/>
  <c r="S346" s="1"/>
  <c r="Q295"/>
  <c r="R295" s="1"/>
  <c r="Q291"/>
  <c r="R291" s="1"/>
  <c r="Q241"/>
  <c r="R241" s="1"/>
  <c r="Q294"/>
  <c r="R294" s="1"/>
  <c r="Q300"/>
  <c r="R300" s="1"/>
  <c r="Q296"/>
  <c r="R296" s="1"/>
  <c r="Q292"/>
  <c r="R292" s="1"/>
  <c r="R298"/>
  <c r="Q298"/>
  <c r="P348"/>
  <c r="N98" i="6"/>
  <c r="R345" i="5"/>
  <c r="S345" s="1"/>
  <c r="Q345"/>
  <c r="Q242"/>
  <c r="R242" s="1"/>
  <c r="Q344"/>
  <c r="Q348" s="1"/>
  <c r="Q293"/>
  <c r="R293" s="1"/>
  <c r="Q299"/>
  <c r="R299" s="1"/>
  <c r="Q191"/>
  <c r="R191" s="1"/>
  <c r="Q183"/>
  <c r="R183" s="1"/>
  <c r="Q175"/>
  <c r="R175" s="1"/>
  <c r="Q167"/>
  <c r="R167" s="1"/>
  <c r="Q159"/>
  <c r="R159" s="1"/>
  <c r="Q151"/>
  <c r="R151" s="1"/>
  <c r="Q143"/>
  <c r="R143" s="1"/>
  <c r="Q135"/>
  <c r="R135" s="1"/>
  <c r="Q127"/>
  <c r="R127" s="1"/>
  <c r="Q119"/>
  <c r="R119" s="1"/>
  <c r="Q111"/>
  <c r="R111" s="1"/>
  <c r="S305"/>
  <c r="R235"/>
  <c r="P206"/>
  <c r="Q206" s="1"/>
  <c r="R206" s="1"/>
  <c r="R49"/>
  <c r="Q195"/>
  <c r="R195" s="1"/>
  <c r="Q179"/>
  <c r="R179" s="1"/>
  <c r="Q155"/>
  <c r="R155" s="1"/>
  <c r="Q139"/>
  <c r="R139" s="1"/>
  <c r="C354"/>
  <c r="C356" s="1"/>
  <c r="Q187"/>
  <c r="R187" s="1"/>
  <c r="Q171"/>
  <c r="R171" s="1"/>
  <c r="Q163"/>
  <c r="R163" s="1"/>
  <c r="Q147"/>
  <c r="R147" s="1"/>
  <c r="Q131"/>
  <c r="R131" s="1"/>
  <c r="Q123"/>
  <c r="R123" s="1"/>
  <c r="Q115"/>
  <c r="R115" s="1"/>
  <c r="Q193"/>
  <c r="R193" s="1"/>
  <c r="Q185"/>
  <c r="R185" s="1"/>
  <c r="Q177"/>
  <c r="R177" s="1"/>
  <c r="Q169"/>
  <c r="R169" s="1"/>
  <c r="Q161"/>
  <c r="R161" s="1"/>
  <c r="Q153"/>
  <c r="R153" s="1"/>
  <c r="Q145"/>
  <c r="R145" s="1"/>
  <c r="Q137"/>
  <c r="R137" s="1"/>
  <c r="Q129"/>
  <c r="R129" s="1"/>
  <c r="Q121"/>
  <c r="R121" s="1"/>
  <c r="Q113"/>
  <c r="R113" s="1"/>
  <c r="Q5"/>
  <c r="R5" s="1"/>
  <c r="Q109"/>
  <c r="R109" s="1"/>
  <c r="Q7"/>
  <c r="R7" s="1"/>
  <c r="H15" i="4"/>
  <c r="H17"/>
  <c r="N17"/>
  <c r="I16" i="6"/>
  <c r="I122" s="1"/>
  <c r="J16"/>
  <c r="P286" i="5"/>
  <c r="P278"/>
  <c r="Q274"/>
  <c r="P244"/>
  <c r="Q244" s="1"/>
  <c r="R244" s="1"/>
  <c r="P45"/>
  <c r="Q45" s="1"/>
  <c r="R45" s="1"/>
  <c r="N271"/>
  <c r="N354" s="1"/>
  <c r="N356" s="1"/>
  <c r="R227"/>
  <c r="R12"/>
  <c r="P302"/>
  <c r="Q289"/>
  <c r="R6"/>
  <c r="H21" i="4" l="1"/>
  <c r="H25" s="1"/>
  <c r="H28" s="1"/>
  <c r="E216" i="10" s="1"/>
  <c r="L20" i="4"/>
  <c r="M20" s="1"/>
  <c r="J19" i="9"/>
  <c r="L19" s="1"/>
  <c r="M19" s="1"/>
  <c r="H20"/>
  <c r="H24" s="1"/>
  <c r="M23"/>
  <c r="R344" i="5"/>
  <c r="S344" s="1"/>
  <c r="R348"/>
  <c r="N105" i="6"/>
  <c r="R271" i="5"/>
  <c r="Q271"/>
  <c r="J17" i="9" s="1"/>
  <c r="L17" s="1"/>
  <c r="M17" s="1"/>
  <c r="P271" i="5"/>
  <c r="R218"/>
  <c r="Q218"/>
  <c r="Q9"/>
  <c r="J18" i="9" s="1"/>
  <c r="L18" s="1"/>
  <c r="M18" s="1"/>
  <c r="R9" i="5"/>
  <c r="N15" i="4"/>
  <c r="N21" s="1"/>
  <c r="N25" s="1"/>
  <c r="Q302" i="5"/>
  <c r="R289"/>
  <c r="R302" s="1"/>
  <c r="Q278"/>
  <c r="R274"/>
  <c r="R278" s="1"/>
  <c r="Q286"/>
  <c r="R281"/>
  <c r="R286" s="1"/>
  <c r="N37" i="6" l="1"/>
  <c r="L14" i="4"/>
  <c r="J14" i="9"/>
  <c r="L14" s="1"/>
  <c r="M14" s="1"/>
  <c r="S278" i="5"/>
  <c r="J12" i="9"/>
  <c r="L17" i="4"/>
  <c r="J16" i="9"/>
  <c r="L16" s="1"/>
  <c r="M16" s="1"/>
  <c r="J15"/>
  <c r="L15" s="1"/>
  <c r="M15" s="1"/>
  <c r="L19" i="4"/>
  <c r="M19" s="1"/>
  <c r="Q354" i="5"/>
  <c r="R354"/>
  <c r="R356" s="1"/>
  <c r="R358" s="1"/>
  <c r="M17" i="4" l="1"/>
  <c r="N25" i="6" s="1"/>
  <c r="M14" i="4"/>
  <c r="S286" i="5" s="1"/>
  <c r="J20" i="9"/>
  <c r="J24" s="1"/>
  <c r="L12"/>
  <c r="L18" i="4"/>
  <c r="M18" l="1"/>
  <c r="N22" i="6" s="1"/>
  <c r="L20" i="9"/>
  <c r="L24" s="1"/>
  <c r="M12"/>
  <c r="M20" s="1"/>
  <c r="M24" s="1"/>
  <c r="U482" i="7" l="1"/>
  <c r="S487"/>
  <c r="T487" s="1"/>
  <c r="J21" i="4" l="1"/>
  <c r="J25" s="1"/>
  <c r="J28" s="1"/>
  <c r="L15"/>
  <c r="M15" s="1"/>
  <c r="L21" l="1"/>
  <c r="L25" s="1"/>
  <c r="L28" s="1"/>
  <c r="I216" i="10" s="1"/>
  <c r="N16" i="6" l="1"/>
  <c r="M21" i="4"/>
  <c r="M25" s="1"/>
  <c r="M28" s="1"/>
  <c r="J216" i="10" s="1"/>
</calcChain>
</file>

<file path=xl/sharedStrings.xml><?xml version="1.0" encoding="utf-8"?>
<sst xmlns="http://schemas.openxmlformats.org/spreadsheetml/2006/main" count="1765" uniqueCount="678">
  <si>
    <t xml:space="preserve">GRAND  TOTAL (A+B) : </t>
  </si>
  <si>
    <t>Total (B)</t>
  </si>
  <si>
    <t>Intangible Assets</t>
  </si>
  <si>
    <t>B</t>
  </si>
  <si>
    <t>Total (A)</t>
  </si>
  <si>
    <t>Computer</t>
  </si>
  <si>
    <t>Furniture &amp; Fixture</t>
  </si>
  <si>
    <t>Motor Vehicle</t>
  </si>
  <si>
    <t>Office Equipments</t>
  </si>
  <si>
    <t>Electrical Installation</t>
  </si>
  <si>
    <t>Plant &amp; Machinery</t>
  </si>
  <si>
    <t>Office Building</t>
  </si>
  <si>
    <t xml:space="preserve">Factory Building </t>
  </si>
  <si>
    <t>Land</t>
  </si>
  <si>
    <t>Tangible Assets</t>
  </si>
  <si>
    <t>A</t>
  </si>
  <si>
    <t>`</t>
  </si>
  <si>
    <t>%</t>
  </si>
  <si>
    <t>Reserves</t>
  </si>
  <si>
    <t>year</t>
  </si>
  <si>
    <t>March, 2018</t>
  </si>
  <si>
    <t>as on</t>
  </si>
  <si>
    <t xml:space="preserve">on Sale/ </t>
  </si>
  <si>
    <t>during the</t>
  </si>
  <si>
    <t>No.</t>
  </si>
  <si>
    <t>As on 31st</t>
  </si>
  <si>
    <t xml:space="preserve">Total </t>
  </si>
  <si>
    <t>Adjustment</t>
  </si>
  <si>
    <t xml:space="preserve">For the </t>
  </si>
  <si>
    <t>Upto</t>
  </si>
  <si>
    <t>Cost as at</t>
  </si>
  <si>
    <t>Sales/Adj.</t>
  </si>
  <si>
    <t xml:space="preserve">Additions </t>
  </si>
  <si>
    <t>Description of Assets</t>
  </si>
  <si>
    <t>Sl.</t>
  </si>
  <si>
    <t>DEPRECIATION</t>
  </si>
  <si>
    <t>GROSS BLOCK</t>
  </si>
  <si>
    <t>Rate of Depreciation</t>
  </si>
  <si>
    <t>Note No. 12 - Fixed Assets</t>
  </si>
  <si>
    <t>AMIT METALIKS LIMITED</t>
  </si>
  <si>
    <t>01-04-2018</t>
  </si>
  <si>
    <t>ASSET NAME</t>
  </si>
  <si>
    <t>Period of Purchase/'Instalation/</t>
  </si>
  <si>
    <t>Original cost'Cost of Installation Other Charges</t>
  </si>
  <si>
    <t>Useful Life Years</t>
  </si>
  <si>
    <t>Used Life Years</t>
  </si>
  <si>
    <t>Remaining Useful  Life Years</t>
  </si>
  <si>
    <t>Salvage Value 5% of original Cost</t>
  </si>
  <si>
    <t>Written DownValue as on '31-03-2014</t>
  </si>
  <si>
    <t>Charge to PL</t>
  </si>
  <si>
    <t>Transfer to Retained Earnings</t>
  </si>
  <si>
    <t>No. Of Days</t>
  </si>
  <si>
    <t>Used in Year</t>
  </si>
  <si>
    <t>Amount to be depreciated over remaining useful life</t>
  </si>
  <si>
    <t>WDV as on 31/03/18</t>
  </si>
  <si>
    <t>MOTOR Vehicles</t>
  </si>
  <si>
    <t>Excavator</t>
  </si>
  <si>
    <t>Bolero SLX</t>
  </si>
  <si>
    <t>Scorpio</t>
  </si>
  <si>
    <t>Motorcycle</t>
  </si>
  <si>
    <t>Escorts hydra</t>
  </si>
  <si>
    <t>Total Vehicles</t>
  </si>
  <si>
    <t>Diesel pump</t>
  </si>
  <si>
    <t>Air Compressor</t>
  </si>
  <si>
    <t>Bending Machine</t>
  </si>
  <si>
    <t>C.I Slag Box</t>
  </si>
  <si>
    <t>Concast Machine</t>
  </si>
  <si>
    <t>Cooling Towers</t>
  </si>
  <si>
    <t>DG Set</t>
  </si>
  <si>
    <t>EOT Cranes</t>
  </si>
  <si>
    <t>Fire Fighting</t>
  </si>
  <si>
    <t>Induction Furnaces</t>
  </si>
  <si>
    <t>Ladle Pre Heaters</t>
  </si>
  <si>
    <t>Ladles</t>
  </si>
  <si>
    <t>Man Coolers</t>
  </si>
  <si>
    <t>Pollution Control</t>
  </si>
  <si>
    <t>tools &amp; Tackles</t>
  </si>
  <si>
    <t>Water Supply System</t>
  </si>
  <si>
    <t>Water Treatment</t>
  </si>
  <si>
    <t>Weigh Bridge</t>
  </si>
  <si>
    <t>PI &amp; M</t>
  </si>
  <si>
    <t>Digital Panel</t>
  </si>
  <si>
    <t>FRP Cooling Tower</t>
  </si>
  <si>
    <t>P &amp; M Hot Charging</t>
  </si>
  <si>
    <t>Q4 Tasman</t>
  </si>
  <si>
    <t xml:space="preserve">    EDO ACO Microprocessor</t>
  </si>
  <si>
    <t xml:space="preserve">    Apron 4/7 Radious Caster</t>
  </si>
  <si>
    <t xml:space="preserve">    Continous Casting Machine</t>
  </si>
  <si>
    <t xml:space="preserve">     Fixed Capicitor Bank</t>
  </si>
  <si>
    <t xml:space="preserve">     EOT Cranes</t>
  </si>
  <si>
    <t xml:space="preserve">    Vibrator Assembly</t>
  </si>
  <si>
    <t>Assembled Tank Capacitor</t>
  </si>
  <si>
    <t>Capacitor</t>
  </si>
  <si>
    <t>Control Panel</t>
  </si>
  <si>
    <t>Converter</t>
  </si>
  <si>
    <t>DC Motor (Kirloskar Make)</t>
  </si>
  <si>
    <t>Furnace Preheater</t>
  </si>
  <si>
    <t>Hydra</t>
  </si>
  <si>
    <t>Kirloskar RPM Motor(5.0 KW)</t>
  </si>
  <si>
    <t>Pump &amp; Motors</t>
  </si>
  <si>
    <t>Other Fixed Assets</t>
  </si>
  <si>
    <t>Thermex Nozzle</t>
  </si>
  <si>
    <t>Hydra Boom</t>
  </si>
  <si>
    <t>Total Plant &amp; Machinery</t>
  </si>
  <si>
    <t>Furniture &amp; Fixtures</t>
  </si>
  <si>
    <t>Furnitures</t>
  </si>
  <si>
    <t>Total Furniture &amp; Furniture</t>
  </si>
  <si>
    <t>Office Equipement</t>
  </si>
  <si>
    <t>Exhaust Fan</t>
  </si>
  <si>
    <t>Aquaguard</t>
  </si>
  <si>
    <t>EPBX</t>
  </si>
  <si>
    <t>Water Purifier</t>
  </si>
  <si>
    <t>Paper Shredder</t>
  </si>
  <si>
    <t>Refregerator</t>
  </si>
  <si>
    <t>AC</t>
  </si>
  <si>
    <t>Attendance time keeping</t>
  </si>
  <si>
    <t>Fire Extingusher</t>
  </si>
  <si>
    <t>Mobile Phone</t>
  </si>
  <si>
    <t>Office Machinery</t>
  </si>
  <si>
    <t>Office Machinery( Camera)</t>
  </si>
  <si>
    <t>Office Machinery( Router)</t>
  </si>
  <si>
    <t>Attendance System</t>
  </si>
  <si>
    <t>Bluestar AC</t>
  </si>
  <si>
    <t>Ductable AC Machine</t>
  </si>
  <si>
    <t>Electronic Weighing Machine</t>
  </si>
  <si>
    <t>Total Office Equipment</t>
  </si>
  <si>
    <t>Factory Building</t>
  </si>
  <si>
    <t>Building</t>
  </si>
  <si>
    <t>Total Factory Building</t>
  </si>
  <si>
    <t>Total Office Building</t>
  </si>
  <si>
    <t>Electrical Installation &amp; Fittings</t>
  </si>
  <si>
    <t>Furnaces Transformer</t>
  </si>
  <si>
    <t>Indoor Substation</t>
  </si>
  <si>
    <t>Outdoor Substation</t>
  </si>
  <si>
    <t>Total Electrical Installation</t>
  </si>
  <si>
    <t>Computer Asse.</t>
  </si>
  <si>
    <t>Unitel</t>
  </si>
  <si>
    <t>Comp Asse</t>
  </si>
  <si>
    <t>Computer(Printer)</t>
  </si>
  <si>
    <t>Computer and Accessories</t>
  </si>
  <si>
    <t>Total Computer</t>
  </si>
  <si>
    <t>Trade Mark</t>
  </si>
  <si>
    <t>Total Intangible Assets</t>
  </si>
  <si>
    <t>Assets</t>
  </si>
  <si>
    <t>Cost</t>
  </si>
  <si>
    <t>Date of Purchase</t>
  </si>
  <si>
    <t>Scrap Value</t>
  </si>
  <si>
    <t>Useful Life</t>
  </si>
  <si>
    <t>No. of days used</t>
  </si>
  <si>
    <t>Used in year</t>
  </si>
  <si>
    <t>Remaining life</t>
  </si>
  <si>
    <t>FULL YEAR</t>
  </si>
  <si>
    <t>HALF YEAR</t>
  </si>
  <si>
    <t>TOTAL</t>
  </si>
  <si>
    <t>Kirloskar Pump [84137010]</t>
  </si>
  <si>
    <t>Coil Assembly</t>
  </si>
  <si>
    <t>Hydraulic Pump</t>
  </si>
  <si>
    <t>Induction Motor</t>
  </si>
  <si>
    <t>COOLING TOWER(8419)</t>
  </si>
  <si>
    <t>Misc.Plant &amp; Machinery</t>
  </si>
  <si>
    <t>Computer &amp; Accessories</t>
  </si>
  <si>
    <t xml:space="preserve">Computer </t>
  </si>
  <si>
    <t>CPU Intel 4160 Core I3</t>
  </si>
  <si>
    <t>Laptop</t>
  </si>
  <si>
    <t>Printer</t>
  </si>
  <si>
    <t>CWIP(New Furnace)</t>
  </si>
  <si>
    <t>10 MM Stone Chips</t>
  </si>
  <si>
    <t>20 MM Stone Chips</t>
  </si>
  <si>
    <t>Aggregate (Stone Chips 1/2") [2517]</t>
  </si>
  <si>
    <t>Aggregate (Stone Chips 5/8") [2517]</t>
  </si>
  <si>
    <t>Angle IS 2062 130x130x1MM</t>
  </si>
  <si>
    <t>Angle IS 2062 65x65x6MM</t>
  </si>
  <si>
    <t>Angle IS 2062 75x75x6MM</t>
  </si>
  <si>
    <t>Angle IS 2062 90x90x8MM</t>
  </si>
  <si>
    <t>Cement [2523]</t>
  </si>
  <si>
    <t>Chq. Coil 6MM X 1250</t>
  </si>
  <si>
    <t>Civil Work - New Furnance</t>
  </si>
  <si>
    <t>Fabrication Work New Furnace</t>
  </si>
  <si>
    <t>HR Plate 10mm X1500</t>
  </si>
  <si>
    <t>Joist 350 mm</t>
  </si>
  <si>
    <t>Joist 500 mm</t>
  </si>
  <si>
    <t>MS Angle</t>
  </si>
  <si>
    <t>MS Channel G (110x10)</t>
  </si>
  <si>
    <t>MS Channel G (125MM)</t>
  </si>
  <si>
    <t>MS Channel G (175x85MM)</t>
  </si>
  <si>
    <t>MS Channel G (300MM)</t>
  </si>
  <si>
    <t>MS Channel G (65x6)</t>
  </si>
  <si>
    <t>MS Channel G (75x10)</t>
  </si>
  <si>
    <t>MS Channel G (75x8)</t>
  </si>
  <si>
    <t>Paint Work New Furnace</t>
  </si>
  <si>
    <t>Plates 12MM X 1500</t>
  </si>
  <si>
    <t>Plates 32MM X 2500 [7208]</t>
  </si>
  <si>
    <t>Red Oxide Primer</t>
  </si>
  <si>
    <t>SAIL TMT BAR IS 1786 FE 500D 20</t>
  </si>
  <si>
    <t>SAIL TMT BAR IS 1786 FE 500D 25</t>
  </si>
  <si>
    <t>Sand</t>
  </si>
  <si>
    <t>TOTAL CWIP</t>
  </si>
  <si>
    <t xml:space="preserve">AIR CIRCUIT BREAKER </t>
  </si>
  <si>
    <t>AIR CONDITIONER</t>
  </si>
  <si>
    <t>ELECTRONIC WEIGHING MACHINE</t>
  </si>
  <si>
    <t>Pinion &amp; Shaft Of Gear Box [62040222]</t>
  </si>
  <si>
    <t>Pole for VCB [8536]</t>
  </si>
  <si>
    <t>Top Casting Block Set [85149000]</t>
  </si>
  <si>
    <t>6 Pole Motor Marathon Make MZ5622 11KW [8501]</t>
  </si>
  <si>
    <t>AC Drive-55KW MODEL NO: ACS 550-01-125A-4</t>
  </si>
  <si>
    <t>Coil Assembly [85149000]</t>
  </si>
  <si>
    <t>Hydrolic Cylinder</t>
  </si>
  <si>
    <t>PB HOLLOW BAR (7403) CAPITAL GOOD</t>
  </si>
  <si>
    <t>Pump Kirloskar 2.2KW/3.0 HP [84137010]</t>
  </si>
  <si>
    <t>VRLA 110V100Ah Battery [8507]</t>
  </si>
  <si>
    <t>SAP SOFTWARE LICENCE FEES</t>
  </si>
  <si>
    <t>CHAIR</t>
  </si>
  <si>
    <t>EXECUTIVE CHAIR</t>
  </si>
  <si>
    <t>Paper Shredder Machine Model -A6-1.8T</t>
  </si>
  <si>
    <t>Attendance system</t>
  </si>
  <si>
    <t>31.03.2019</t>
  </si>
  <si>
    <t>March, 2019</t>
  </si>
  <si>
    <t>Accumulated Dep as on 31/03/18</t>
  </si>
  <si>
    <t>Remaining life as on 01/04/2018</t>
  </si>
  <si>
    <t>Dep for the year
2018-19</t>
  </si>
  <si>
    <t>WDV as on 31/03/19</t>
  </si>
  <si>
    <t>ok</t>
  </si>
  <si>
    <t>okokokok</t>
  </si>
  <si>
    <t>Addition during 2018-19</t>
  </si>
  <si>
    <t>WDV as on 31.03.2019</t>
  </si>
  <si>
    <t>Dep for year 2019</t>
  </si>
  <si>
    <t>okokok</t>
  </si>
  <si>
    <t>Channel</t>
  </si>
  <si>
    <t>H R Coil</t>
  </si>
  <si>
    <t>HR Plate</t>
  </si>
  <si>
    <t>H T Foundation Bolt with Nut &amp; Lock Nut</t>
  </si>
  <si>
    <t>H T Foundation Bolt with Nut &amp; Washer</t>
  </si>
  <si>
    <t>Joist [72163200]</t>
  </si>
  <si>
    <t>NPB</t>
  </si>
  <si>
    <t>Jagdishpur Fixed Assets</t>
  </si>
  <si>
    <t>Chairs</t>
  </si>
  <si>
    <t>Net Revolving Chair</t>
  </si>
  <si>
    <t>Steel Sofa &amp; Chairs</t>
  </si>
  <si>
    <t>Wooden Table</t>
  </si>
  <si>
    <t>Wooden Bed</t>
  </si>
  <si>
    <t>Office Eqipments</t>
  </si>
  <si>
    <t>Fans</t>
  </si>
  <si>
    <t>WDV as on 31/03/20</t>
  </si>
  <si>
    <t>Jagdishpur</t>
  </si>
  <si>
    <t>Fans- Jagdishpur</t>
  </si>
  <si>
    <t>ANGEL</t>
  </si>
  <si>
    <t>D.C. MOTOR 72 KW, RPM-1500, ARM VOLT 440</t>
  </si>
  <si>
    <t>D.C. MOTOR 30KW, RPM-1000, ARM VOLT 440</t>
  </si>
  <si>
    <t>KE 1125KB8 MOTOR FR KCW560C3</t>
  </si>
  <si>
    <t>Motor 7.5 KW 1440 RPM  Frame : BPM132M</t>
  </si>
  <si>
    <t>Motor 750 W,75 KW 2.2 KW / 3 HP, 3000 RPM,415 V</t>
  </si>
  <si>
    <t>MOTOR 2.2KW - 2830 RPM</t>
  </si>
  <si>
    <t>Capacitor 1000 KVR LT and Capacitor 1000KVR HT</t>
  </si>
  <si>
    <t>MOTOR STAR DELTA / DOL KW 15</t>
  </si>
  <si>
    <t>MOTOR STAR DELTA / DOL KW 11</t>
  </si>
  <si>
    <t>MOTOR STAR DELTA / DOL KW 7.5</t>
  </si>
  <si>
    <t>MOTOR STAR DELTA / DOL KW 5.5</t>
  </si>
  <si>
    <t>CRANE DRIVE 7.5/10 KW/HP</t>
  </si>
  <si>
    <t>CRANE DRIVE 4/5.4 KW/HP</t>
  </si>
  <si>
    <t>CRANE DRIVE 45/60 KW/HP</t>
  </si>
  <si>
    <t>PUMP 5HP</t>
  </si>
  <si>
    <t>CI Rotary Pump</t>
  </si>
  <si>
    <t>CENTRIFUGAL MONOBLOCK PUMP 7.5HP</t>
  </si>
  <si>
    <t>ROTARY GEAR PUMP</t>
  </si>
  <si>
    <t>AIR COOLER (VARNA NOVA DX)</t>
  </si>
  <si>
    <t>BIOMETRIC ACCESS MODULE NO X990</t>
  </si>
  <si>
    <t>CEILING FAN (MAHARAJA MAKE)</t>
  </si>
  <si>
    <t>Samsung Galaxy M31</t>
  </si>
  <si>
    <t>MOTOR 28.5KW (33HP 1000RPM) (TEFC SR 415V 50HZ 3PH</t>
  </si>
  <si>
    <t>MOTOR 7.5KW - 960 RPM</t>
  </si>
  <si>
    <t>MOTOR 11KW-96 RPM</t>
  </si>
  <si>
    <t>MOTOR 3.5KW - 935 RPM</t>
  </si>
  <si>
    <t>Self Priming Non Clog Pump SP2H</t>
  </si>
  <si>
    <t>UPS</t>
  </si>
  <si>
    <t>COMPUTER DESKTOP</t>
  </si>
  <si>
    <t>LAPTOP-HP(CK120) - 14'' i3/4GB RAM/1 TB HDD</t>
  </si>
  <si>
    <t>Desktop   i3/4GB RAM/1 TB HDD</t>
  </si>
  <si>
    <t>Printer HP 1008</t>
  </si>
  <si>
    <t>Scanner  LID 300</t>
  </si>
  <si>
    <t>UPS  Intex 600VA</t>
  </si>
  <si>
    <t>LENOVO LAPTOP 2YHIN</t>
  </si>
  <si>
    <t>HP PRINTER LASERJET-1020 PLUS</t>
  </si>
  <si>
    <t>SCANNER CANNON LIDE-300</t>
  </si>
  <si>
    <t>DESKTOP COMPAQ LED B191 -18.5</t>
  </si>
  <si>
    <t>Computer Desktop-18</t>
  </si>
  <si>
    <t>PROJECTOR CANON RAYO R4</t>
  </si>
  <si>
    <t>PRINTER CANON 6230 MCCA 151644</t>
  </si>
  <si>
    <t>COMPUTER DESKTOP I3/4GB RAM/1 TB HDD/Win10/19.5LED</t>
  </si>
  <si>
    <t>AOC 18.5" Screen Monitor</t>
  </si>
  <si>
    <t>HP Laser Jet Pro M1136 MFP</t>
  </si>
  <si>
    <t>LAPTOP  HP 240 G7. Part No: 7NN40PA</t>
  </si>
  <si>
    <t>Assembled Dextop</t>
  </si>
  <si>
    <t>Computer 20</t>
  </si>
  <si>
    <t>LAZER  PRINTER 1</t>
  </si>
  <si>
    <t>LAZER  PRINTER 2</t>
  </si>
  <si>
    <t>Lab Equipment</t>
  </si>
  <si>
    <t>MICROPROCESSOR BASED BOMB CALORIMETER</t>
  </si>
  <si>
    <t>HYDROMETER &amp; MEASURING CYL.</t>
  </si>
  <si>
    <t>Vehicle</t>
  </si>
  <si>
    <t>INNOVA GX (MT) (Q7 SILVER COLOUR)</t>
  </si>
  <si>
    <t>BIKE SPLENDOR - BLACK-HA10AGKHAC0953</t>
  </si>
  <si>
    <t>Hero Splender Bike</t>
  </si>
  <si>
    <t>Licence for Windows Version 10 Professional</t>
  </si>
  <si>
    <t>Licence for Windows Version 8.1 Professional</t>
  </si>
  <si>
    <t>Antivirus Software (Seqrite EPS 7.4)</t>
  </si>
  <si>
    <t>SAP Software Development Fees</t>
  </si>
  <si>
    <t>SAP SOFTWARE LICENCE FEES (21)(PROF7,FUNC7, PROD7)</t>
  </si>
  <si>
    <t>MOBILE PHONES</t>
  </si>
  <si>
    <t>MOBILE PHONE (REDMI GO) - A K TIWARI</t>
  </si>
  <si>
    <t>MOBILE PHONE (SAMSUNG J8) IMEI NO.359053099635647</t>
  </si>
  <si>
    <t>MOBILE PHONE (SAMSUNG A7) IMEI NO.352982101204157</t>
  </si>
  <si>
    <t>WOODEN BED</t>
  </si>
  <si>
    <t>WOODEN BED (JAGDISHPUR)</t>
  </si>
  <si>
    <t>Almirah - 1</t>
  </si>
  <si>
    <t>Almirah - 2</t>
  </si>
  <si>
    <t>Almirah - 3</t>
  </si>
  <si>
    <t>Almirah - 4</t>
  </si>
  <si>
    <t>COMPUTER TABLE 1</t>
  </si>
  <si>
    <t>COMPUTER TABLE 2</t>
  </si>
  <si>
    <t>Single Bed</t>
  </si>
  <si>
    <t>Almirah</t>
  </si>
  <si>
    <t>Dining Table with 4 chairs</t>
  </si>
  <si>
    <t>Mattress</t>
  </si>
  <si>
    <t>Grand Total</t>
  </si>
  <si>
    <t>March, 2020</t>
  </si>
  <si>
    <t>Attendance  Biometric System-AML DGP</t>
  </si>
  <si>
    <t>Attendance  Biometric System-AML JAG</t>
  </si>
  <si>
    <t>Depreciation as per SAP</t>
  </si>
  <si>
    <t>EOT Crane Furnace-3 (40MT)</t>
  </si>
  <si>
    <t>EOT Crane Furnace-3 (15MT)</t>
  </si>
  <si>
    <t>Computer Laptop-8</t>
  </si>
  <si>
    <t>Mobile Phone-3</t>
  </si>
  <si>
    <t>Mobile Phone-4</t>
  </si>
  <si>
    <t>Differences</t>
  </si>
  <si>
    <t>DEP AS PER SAP</t>
  </si>
  <si>
    <t>DIFF</t>
  </si>
  <si>
    <t>Depreciation as perSAP- Opening</t>
  </si>
  <si>
    <t>Depreciation as perSAP- Additions</t>
  </si>
  <si>
    <t>Total As per Sap</t>
  </si>
  <si>
    <t>As per SAP Sheet</t>
  </si>
  <si>
    <t>Dep as per proviisonal cal</t>
  </si>
  <si>
    <t>On opning</t>
  </si>
  <si>
    <t>On additions</t>
  </si>
  <si>
    <t>On Opening</t>
  </si>
  <si>
    <t>On Additions</t>
  </si>
  <si>
    <t>Laptop - Deepak Agarwal</t>
  </si>
  <si>
    <t>01-04-2020</t>
  </si>
  <si>
    <t>31.03.2021</t>
  </si>
  <si>
    <t>March, 2021</t>
  </si>
  <si>
    <t>Accumulated Dep as on 31/03/20</t>
  </si>
  <si>
    <t>Remaining life as on 01/04/2020</t>
  </si>
  <si>
    <t>Dep for the year
2020-21</t>
  </si>
  <si>
    <t>WDV as on 31/03/21</t>
  </si>
  <si>
    <t>Chairs &amp; Dinning Table</t>
  </si>
  <si>
    <t xml:space="preserve">Rason for Differences is due to SAP calculated on the basis of 95%/life but in audited its computed on the basis of remaining value each year/ remaining life </t>
  </si>
  <si>
    <t>DO</t>
  </si>
  <si>
    <t>Audited Calculation</t>
  </si>
  <si>
    <t>SAP calculation</t>
  </si>
  <si>
    <t>+</t>
  </si>
  <si>
    <t>TMT Bar Automatic Bundle Bending Machine</t>
  </si>
  <si>
    <t>GEAR WITH SHAFT</t>
  </si>
  <si>
    <t>WDV as on 31.03.2021</t>
  </si>
  <si>
    <t>Dep for year 2020-21</t>
  </si>
  <si>
    <t>DISINFECTION TUNNEL</t>
  </si>
  <si>
    <t>TDU System PLC Up-Gradation</t>
  </si>
  <si>
    <t>Life mentioned in Sap is 20 Years</t>
  </si>
  <si>
    <t>LENEVO COMMERCIAL LAPTOP RYZEN III - 1</t>
  </si>
  <si>
    <t>LENEVO COMMERCIAL LAPTOP RYZEN III - 2</t>
  </si>
  <si>
    <t>Laptop Lenovo Intel Celeron</t>
  </si>
  <si>
    <t>LAPTOP HP (15-DU2036TX BLACK- I5 10 Th. Gen)</t>
  </si>
  <si>
    <t>Video Conference (VC-800-Phone Wired)</t>
  </si>
  <si>
    <t>Video Conference (VC-200-WP)</t>
  </si>
  <si>
    <t>SCANNER (PRINTER), Model : Canon LIDE 300</t>
  </si>
  <si>
    <t>LENOVO LAPTOP 15.6"LED, MODEL: V145, AMDA6</t>
  </si>
  <si>
    <t>HP LAPTOP 14" LED,   MODEL: 245 G7  (1)</t>
  </si>
  <si>
    <t>HP LAPTOP 14" LED,   MODEL: 245 G7  (2)</t>
  </si>
  <si>
    <t>HP LAPTOP 14" LED,   MODEL: 245 G7  (3)</t>
  </si>
  <si>
    <t>HP LAPTOP 14" LED,   MODEL: 245 G7  (4)</t>
  </si>
  <si>
    <t>HP LAPTOP 14" LED,   MODEL: 245 G7  (5)</t>
  </si>
  <si>
    <t>HP LAPTOP 250 G7</t>
  </si>
  <si>
    <t>HP LAPTOP 14" LED,MODEL: 245 G7</t>
  </si>
  <si>
    <t>HP LAPTOP 14" LED,MODEL: 245 G7 (2)</t>
  </si>
  <si>
    <t>HP LAPTOP 14" LED,MODEL: 245 G7 (3)</t>
  </si>
  <si>
    <t>HP LAPTOP 14" LED,MODEL: 245 G7 (4)</t>
  </si>
  <si>
    <t>HP 15 15s-du2009tu 15-inch Laptop</t>
  </si>
  <si>
    <t>Printer cum Scanner (HP Leaser Jet M1005 MFP)</t>
  </si>
  <si>
    <t>A.C 1.5 TON</t>
  </si>
  <si>
    <t>CCTV camera with Accessories</t>
  </si>
  <si>
    <t>LCD Television-40''</t>
  </si>
  <si>
    <t>IPHONE 11 PRO 256GB</t>
  </si>
  <si>
    <t>IPHONE 11 PRO 128GB</t>
  </si>
  <si>
    <t>Pedestal  Main Cooler Fan 36"</t>
  </si>
  <si>
    <t>ATTENDANCE  BIOMETRIC SYSTEM, Make : eSSL - UFACE</t>
  </si>
  <si>
    <t>IP based Standalone Face Cum Finger Attendance sys</t>
  </si>
  <si>
    <t>SAMSUNG MOBILE M11 (3GB RAM 32GB ROM)</t>
  </si>
  <si>
    <t>Canon DR-240 High Speed ADF Scanner</t>
  </si>
  <si>
    <t>HP Laserjet jet 1020 Plus 1</t>
  </si>
  <si>
    <t>HP Laserjet jet 1020 Plus 2</t>
  </si>
  <si>
    <t>HP Laserjet jet 1020 Plus 3</t>
  </si>
  <si>
    <t>REDMI 9A (3/32GB)</t>
  </si>
  <si>
    <t>Split Air Conditioner 0.8 TON Cap., Daikin Make</t>
  </si>
  <si>
    <t>VIVO V-20 MIDNIGHT JAZE</t>
  </si>
  <si>
    <t>SAP SOFTWARE LICENCE FEES (21)</t>
  </si>
  <si>
    <t>Life End as per Act but book value still available as per SAP, Deceison Required to take</t>
  </si>
  <si>
    <t xml:space="preserve">Amit Metaliks Ltd. </t>
  </si>
  <si>
    <t>Item wise details of CWIP ( converted into Assest on 30.Sep-20 and 31 March 21</t>
  </si>
  <si>
    <t>Equipment</t>
  </si>
  <si>
    <t>BASIC AMOUNT</t>
  </si>
  <si>
    <t>GST</t>
  </si>
  <si>
    <t>Total Purchase Value</t>
  </si>
  <si>
    <t xml:space="preserve"> </t>
  </si>
  <si>
    <t>Sl No</t>
  </si>
  <si>
    <t>Vendor  Code</t>
  </si>
  <si>
    <t>Vendor Name</t>
  </si>
  <si>
    <t>Item</t>
  </si>
  <si>
    <t>Oct 20-March 21</t>
  </si>
  <si>
    <t>Start to Sep-20</t>
  </si>
  <si>
    <t>Rate</t>
  </si>
  <si>
    <t>Head</t>
  </si>
  <si>
    <t>Electrotherm India Pvt Ltd</t>
  </si>
  <si>
    <t>Induction Furnace</t>
  </si>
  <si>
    <t>Equipment &amp; Plant &amp; Machinery</t>
  </si>
  <si>
    <t>YES</t>
  </si>
  <si>
    <t>Truvolt Engineering Co Pvt Ltd</t>
  </si>
  <si>
    <t>Transformer and Other Capital Items</t>
  </si>
  <si>
    <t>Concast India Ltd (Mumbai</t>
  </si>
  <si>
    <t>Caster Curved Mould</t>
  </si>
  <si>
    <t>Elite Steels Pvt Ltd</t>
  </si>
  <si>
    <t>EOT Crane</t>
  </si>
  <si>
    <t>Hiralal Industrial Technologies Pvt Ltd</t>
  </si>
  <si>
    <t>Siemens</t>
  </si>
  <si>
    <t>VCB Outdoor and Switchboard</t>
  </si>
  <si>
    <t>ELEKTROMAG DEVICES PVT. LTD</t>
  </si>
  <si>
    <t>Circular Lifting Magnet</t>
  </si>
  <si>
    <t>BALAJI PIPES</t>
  </si>
  <si>
    <t>MS Piper</t>
  </si>
  <si>
    <t>Allied Pumps</t>
  </si>
  <si>
    <t>Pump, Motor Etc</t>
  </si>
  <si>
    <t>Techno Enterprises</t>
  </si>
  <si>
    <t>MCC Panel</t>
  </si>
  <si>
    <t>Paharpur Cooling</t>
  </si>
  <si>
    <t>Cooling Tower</t>
  </si>
  <si>
    <t>OM STEELS</t>
  </si>
  <si>
    <t>Vavle, Flang, Short Etc</t>
  </si>
  <si>
    <t>Industrial Movers</t>
  </si>
  <si>
    <t>Screw Compressor and Air Receiver</t>
  </si>
  <si>
    <t>Adya Shakti</t>
  </si>
  <si>
    <t>Bottom Pouring Ladel Bowl</t>
  </si>
  <si>
    <t>HIND HARDWARE STORES</t>
  </si>
  <si>
    <t>Water Proofing Compound and Other Material</t>
  </si>
  <si>
    <t>SHREE SHANKAR ENTERPRISE</t>
  </si>
  <si>
    <t>CS Gate, MS Black, MS Flang, MS Short</t>
  </si>
  <si>
    <t>EASTERN BEARINGS PVT. LTD.</t>
  </si>
  <si>
    <t>Bearing</t>
  </si>
  <si>
    <t>S.H. Hardware &amp; Tools</t>
  </si>
  <si>
    <t>Valve, Gate Valve Etc</t>
  </si>
  <si>
    <t>KAMAL ENTERPRISES</t>
  </si>
  <si>
    <t>Water Stopper</t>
  </si>
  <si>
    <t>D</t>
  </si>
  <si>
    <t>SAHAL TRADING CORPORATION</t>
  </si>
  <si>
    <t>Welding Rod, Welding Rec</t>
  </si>
  <si>
    <t>BHARAT PETROLEUM CORPORATION LTD.</t>
  </si>
  <si>
    <t>Hydraulic Oil</t>
  </si>
  <si>
    <t>R B SALES CORPORATION</t>
  </si>
  <si>
    <t>Miscellenous Items1</t>
  </si>
  <si>
    <t>BHARAT PETRO CENTRE</t>
  </si>
  <si>
    <t>Miscellenous Items2</t>
  </si>
  <si>
    <t>MURTUZA TRADING CORPORATION</t>
  </si>
  <si>
    <t>Miscellenous Items3</t>
  </si>
  <si>
    <t>U. P. STEEL CORPORATION</t>
  </si>
  <si>
    <t>Miscellenous Items4</t>
  </si>
  <si>
    <t>IMPERIAL TRADE CENTRE</t>
  </si>
  <si>
    <t>Miscellenous Items5</t>
  </si>
  <si>
    <t>SATABDI MONOLITHICS INDUSTRIES PVT.</t>
  </si>
  <si>
    <t>Miscellenous Items7</t>
  </si>
  <si>
    <t>Maa bhairabi sales corporation</t>
  </si>
  <si>
    <t>Miscellenous Items8</t>
  </si>
  <si>
    <t>R.S TRADING CO.</t>
  </si>
  <si>
    <t>Miscellenous Items9</t>
  </si>
  <si>
    <t>G C BHALA &amp; COMPANY</t>
  </si>
  <si>
    <t>Miscellenous Items10</t>
  </si>
  <si>
    <t>BENGAL MACHINERY CORPORATION</t>
  </si>
  <si>
    <t>Miscellenous Items11</t>
  </si>
  <si>
    <t>SHREE KHAITAN TRADERS</t>
  </si>
  <si>
    <t>Miscellenous Items12</t>
  </si>
  <si>
    <t>JAIN MACHINERY CORPORATION</t>
  </si>
  <si>
    <t>Miscellenous Items13</t>
  </si>
  <si>
    <t>CLARIANT POWER SYSTEM LTD.</t>
  </si>
  <si>
    <t>Outdoor Type HT Fixed Capacitor</t>
  </si>
  <si>
    <t>ASHWATH TECHNOLOGIES PVT. LTD.</t>
  </si>
  <si>
    <t>Slide Gate System, Hydraulic Power Pack</t>
  </si>
  <si>
    <t>BOMBAY VARIETY STORES</t>
  </si>
  <si>
    <t>Air Conditioner</t>
  </si>
  <si>
    <t>M.E.M INDUSTRIES</t>
  </si>
  <si>
    <t>Miscellenous Items14</t>
  </si>
  <si>
    <t>MAA PANURIA BURI ENTERPRISE</t>
  </si>
  <si>
    <t>Bricks 70%</t>
  </si>
  <si>
    <t>RELIABLE SUPPLIERS</t>
  </si>
  <si>
    <t>Miscellenous Items15</t>
  </si>
  <si>
    <t>S.M.ELECTRIC TRADING CO.PVT.LTD.</t>
  </si>
  <si>
    <t>Copper Cable</t>
  </si>
  <si>
    <t>SAAKSHI CONTROLS</t>
  </si>
  <si>
    <t>Miscellenous Items16</t>
  </si>
  <si>
    <t>SINGHI BROTHERS</t>
  </si>
  <si>
    <t>GI Sheet</t>
  </si>
  <si>
    <t>GST DISALLOWED</t>
  </si>
  <si>
    <t>SOURAV (SALES) &amp; CO.</t>
  </si>
  <si>
    <t>Miscellenous Items17</t>
  </si>
  <si>
    <t>RUDRAKSHA BUSINESS SOLUTION</t>
  </si>
  <si>
    <t>Outdoor  Oil Cool, CT Stud Etc</t>
  </si>
  <si>
    <t>THE TECHMECH (INDIA)</t>
  </si>
  <si>
    <t>ARIHANT TUBE COMPANY</t>
  </si>
  <si>
    <t>MS Pipe</t>
  </si>
  <si>
    <t>A D CONSTRUCTION</t>
  </si>
  <si>
    <t>CS Pipe</t>
  </si>
  <si>
    <t>J M Enterprise</t>
  </si>
  <si>
    <t>UPS Battery</t>
  </si>
  <si>
    <t>FIRE SAFETY &amp; CARE</t>
  </si>
  <si>
    <t>FIRE BUCKET WITH STAND</t>
  </si>
  <si>
    <t>SANJAY BAJAJ &amp; SONS</t>
  </si>
  <si>
    <t>Citi Shine Sales Corporation</t>
  </si>
  <si>
    <t>LED Bulb</t>
  </si>
  <si>
    <t>SHREE EQUIPMENTS</t>
  </si>
  <si>
    <t>Ladle Equipment</t>
  </si>
  <si>
    <t>ROCKWIN FLOWMETER INDIA PVT LTD</t>
  </si>
  <si>
    <t>Miscellenous Items19</t>
  </si>
  <si>
    <t>Power Tech India</t>
  </si>
  <si>
    <t>Miscellenous Items 20</t>
  </si>
  <si>
    <t>Meghdoot Furniture LLP</t>
  </si>
  <si>
    <t>Steel Almirah</t>
  </si>
  <si>
    <t>FURNITURE &amp; FIXTURE</t>
  </si>
  <si>
    <t>Apurba Popular Stores</t>
  </si>
  <si>
    <t>Profile Sheet</t>
  </si>
  <si>
    <t>CRYSTAL CONTROLS PVT LTD</t>
  </si>
  <si>
    <t>SHANTILAL ENTERPRISES (DURGAPUR) PV</t>
  </si>
  <si>
    <t>Miscellenous Items 21</t>
  </si>
  <si>
    <t>R.R ENTERPRISES</t>
  </si>
  <si>
    <t>Miscellenous Items 22</t>
  </si>
  <si>
    <t>KOSC Industries Pvt. Ltd.</t>
  </si>
  <si>
    <t>Corru Sheet</t>
  </si>
  <si>
    <t>STEEL AUTHORITY OF INDIA (SAIL)-DGP</t>
  </si>
  <si>
    <t>RAIL LINE</t>
  </si>
  <si>
    <t>Steel Structure</t>
  </si>
  <si>
    <t>Support of Plant &amp; Machinery</t>
  </si>
  <si>
    <t>Steel Centre</t>
  </si>
  <si>
    <t>RUHR ISPAT PVT LTD</t>
  </si>
  <si>
    <t>STEEL CENTRE (DURGAPUR)</t>
  </si>
  <si>
    <t>BHARAT RE-ROLLING MILLS LTD.</t>
  </si>
  <si>
    <t>VEENA STEEL TRADERS</t>
  </si>
  <si>
    <t>SHREE  PARASHNATH RE- ROLLING MILLS</t>
  </si>
  <si>
    <t>A. Total Equipment</t>
  </si>
  <si>
    <t>Installation expenses</t>
  </si>
  <si>
    <t>Purchase Value</t>
  </si>
  <si>
    <t>C T CONSTRUCTION</t>
  </si>
  <si>
    <t xml:space="preserve">Aggregate </t>
  </si>
  <si>
    <t>ALLIED INFRADEVELOPMENT PRIVATE LIM</t>
  </si>
  <si>
    <t>Dev Enterprise</t>
  </si>
  <si>
    <t>Bricks</t>
  </si>
  <si>
    <t>SHREE SWASTICK INDUSTRIES</t>
  </si>
  <si>
    <t>PAUL ENTERPRISE</t>
  </si>
  <si>
    <t xml:space="preserve">Bricks </t>
  </si>
  <si>
    <t>Birla Corporation Limited</t>
  </si>
  <si>
    <t>Cement</t>
  </si>
  <si>
    <t>JSW CEMENT LTD</t>
  </si>
  <si>
    <t>OM DURGA TRADERS</t>
  </si>
  <si>
    <t>JAYANTI ENTERPRISE</t>
  </si>
  <si>
    <t>ALLIED (INDIA)</t>
  </si>
  <si>
    <t>DURGAPUR IRON &amp; STEEL</t>
  </si>
  <si>
    <t>BAIRAGYA CONSTRUCTION PVT. LTD.</t>
  </si>
  <si>
    <t>Ready Mixture</t>
  </si>
  <si>
    <t>SHAKTIPADA GHOSH [CREDITOR NEW FURN</t>
  </si>
  <si>
    <t>ABHIMANYU SINGH ENTERPRISE</t>
  </si>
  <si>
    <t>NABAJIT ENTERPRISE</t>
  </si>
  <si>
    <t>SRISTI</t>
  </si>
  <si>
    <t>AML Own TMT</t>
  </si>
  <si>
    <t>TMT TRISHAKTI</t>
  </si>
  <si>
    <t>TMT</t>
  </si>
  <si>
    <t>P B ENTERPRISE</t>
  </si>
  <si>
    <t>Manpower Supply</t>
  </si>
  <si>
    <t>Plant &amp; Mach</t>
  </si>
  <si>
    <t>Input Not taken</t>
  </si>
  <si>
    <t>Tul Construction</t>
  </si>
  <si>
    <t>Fabrication &amp; Erection</t>
  </si>
  <si>
    <t>C</t>
  </si>
  <si>
    <t>SCOT Enterprise</t>
  </si>
  <si>
    <t>GAYATRI DHARA</t>
  </si>
  <si>
    <t>civil</t>
  </si>
  <si>
    <t>RELIABLE ENTERPRISE</t>
  </si>
  <si>
    <t>RAMJEE PRASAD GUPTA</t>
  </si>
  <si>
    <t>Furnance caster</t>
  </si>
  <si>
    <t>PRAGYA ENTERPRISE</t>
  </si>
  <si>
    <t>EOT crane Erection</t>
  </si>
  <si>
    <t>A.M.CONSTRUCTOR</t>
  </si>
  <si>
    <t>Satyam Infra Project</t>
  </si>
  <si>
    <t>Furnance caster &amp; Civil</t>
  </si>
  <si>
    <t>Shree Shyam Diving</t>
  </si>
  <si>
    <t>Annu &amp; Company</t>
  </si>
  <si>
    <t>Electrical</t>
  </si>
  <si>
    <t>A. E. ENTERPRISE</t>
  </si>
  <si>
    <t>TECHNO PROJECT</t>
  </si>
  <si>
    <t>DASCON ENTERPRISES</t>
  </si>
  <si>
    <t>Takshvi Infra Pvt Ltd</t>
  </si>
  <si>
    <t>CONCAST (INDIA) LIMITED - MUMBAI</t>
  </si>
  <si>
    <t>Professional Service</t>
  </si>
  <si>
    <t>GENESIS INFRASTRUCTURE</t>
  </si>
  <si>
    <t>SMS ENGINEERING and CONSULTANTS</t>
  </si>
  <si>
    <t>ASIT KUMAR DATTA</t>
  </si>
  <si>
    <t>MOUNTAIN ENTERPRISES</t>
  </si>
  <si>
    <t>Hire Charges</t>
  </si>
  <si>
    <t>GUJRAL CONSTRUCTION</t>
  </si>
  <si>
    <t>Arcon Project Pvt. Ltd.</t>
  </si>
  <si>
    <t>DURGAPUR MECHANICAL ENTERPRISE</t>
  </si>
  <si>
    <t>C.P Infrastructure</t>
  </si>
  <si>
    <t>SUMAN  ENTERPRISE</t>
  </si>
  <si>
    <t>OMS LOGISTICS PVT LTD</t>
  </si>
  <si>
    <t>Transportation Charges</t>
  </si>
  <si>
    <t>SHIVGANGA TRANSPORT PRIVATE LTD</t>
  </si>
  <si>
    <t>Associated Road Carriers Limited</t>
  </si>
  <si>
    <t>PSP Road Carriers</t>
  </si>
  <si>
    <t>TCI FREIGHT</t>
  </si>
  <si>
    <t>GUJARAT CARGO CARRIERS</t>
  </si>
  <si>
    <t>GATI KINTETSU EXPRESS PVT. LTD</t>
  </si>
  <si>
    <t>Rolta</t>
  </si>
  <si>
    <t>CALCUTTA TRANSPORT COMPANY</t>
  </si>
  <si>
    <t>JAY MAA KALI TRANSPORT</t>
  </si>
  <si>
    <t>Sangam Road Carriers (Pune</t>
  </si>
  <si>
    <t>LAA SUPPLY SOLUTION</t>
  </si>
  <si>
    <t>WB Electricity Distribution Co.Ltd</t>
  </si>
  <si>
    <t>Miscelleneous</t>
  </si>
  <si>
    <t>SURAJ AGENCIES</t>
  </si>
  <si>
    <t>Other Miscelleneous Items</t>
  </si>
  <si>
    <t>B-</t>
  </si>
  <si>
    <t>TOTAL CIVIL WORK</t>
  </si>
  <si>
    <t>Bank Charges</t>
  </si>
  <si>
    <t>C-</t>
  </si>
  <si>
    <t>Ineterst Cost on Term Loan</t>
  </si>
  <si>
    <t>TOTAL PAYMENT FROM TL A/C (A+B+C)</t>
  </si>
  <si>
    <t>Less:</t>
  </si>
  <si>
    <t xml:space="preserve">Excluded items </t>
  </si>
  <si>
    <t xml:space="preserve">Calculation of GST Disallowed on Civil Work </t>
  </si>
  <si>
    <t>s</t>
  </si>
  <si>
    <t>Breakup</t>
  </si>
  <si>
    <t>Sheets for Shed</t>
  </si>
  <si>
    <t>Total GST Amt</t>
  </si>
  <si>
    <t>GST Disallowed</t>
  </si>
  <si>
    <t>Oct 20-Mar 21</t>
  </si>
  <si>
    <t>Total</t>
  </si>
  <si>
    <t>On Steel Structure</t>
  </si>
  <si>
    <t>Total Qty of Steel</t>
  </si>
  <si>
    <t>MT</t>
  </si>
  <si>
    <t>Used for Truses</t>
  </si>
  <si>
    <t>Total Disallowed on Steel Stucture</t>
  </si>
  <si>
    <t>Working for GST Disallowance on Manpower</t>
  </si>
  <si>
    <t>Manpower Supply for fabrication &amp; Erection</t>
  </si>
  <si>
    <t>Proportion of Disallowance(Rs.66 Lac/281.49Mt*101.437Mt.)</t>
  </si>
  <si>
    <t>GST Amount Disallowed</t>
  </si>
  <si>
    <t xml:space="preserve">Less : Input not taken </t>
  </si>
  <si>
    <t>GST Disallowed on Manpower</t>
  </si>
  <si>
    <t>Total Disallowed</t>
  </si>
  <si>
    <t>(A+B+C)</t>
  </si>
  <si>
    <t>CWIP converted into Plant &amp; Machinery</t>
  </si>
  <si>
    <t xml:space="preserve"> Plant &amp; machinery</t>
  </si>
  <si>
    <t>Add: GST Disallowed</t>
  </si>
  <si>
    <t>CALCULATION OF DEPRECIATION</t>
  </si>
  <si>
    <t>Particulars</t>
  </si>
  <si>
    <t>DOC</t>
  </si>
  <si>
    <t>Amount</t>
  </si>
  <si>
    <t>Useful Life(YRS)</t>
  </si>
  <si>
    <t xml:space="preserve">No of days </t>
  </si>
  <si>
    <t>Depreciation</t>
  </si>
  <si>
    <t>As per Note 12 FA</t>
  </si>
  <si>
    <t>Plant &amp; Machinery CWIP</t>
  </si>
  <si>
    <t>4A</t>
  </si>
  <si>
    <t>Salvage Value</t>
  </si>
  <si>
    <t>31.10.21</t>
  </si>
  <si>
    <t>30.11.21</t>
  </si>
  <si>
    <t>Assumed party figure incorporated</t>
  </si>
  <si>
    <t xml:space="preserve">suspense Party 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</si>
</sst>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  <numFmt numFmtId="167" formatCode="_(* #,##0.00_);_(* \(#,##0.00\);_(* \-??_);_(@_)"/>
    <numFmt numFmtId="168" formatCode="0.00_)"/>
    <numFmt numFmtId="169" formatCode="dd/mm/yyyy;@"/>
    <numFmt numFmtId="170" formatCode="0.0000000000"/>
    <numFmt numFmtId="171" formatCode="0.000000000"/>
    <numFmt numFmtId="172" formatCode="_ * #,##0_ ;_ * \-#,##0_ ;_ * &quot;-&quot;??_ ;_ @_ "/>
    <numFmt numFmtId="173" formatCode="_ * #,##0.000_ ;_ * \-#,##0.000_ ;_ * &quot;-&quot;??.0_ ;_ @_ "/>
    <numFmt numFmtId="174" formatCode="0_ "/>
    <numFmt numFmtId="175" formatCode="mmm\-yy"/>
    <numFmt numFmtId="176" formatCode="dd\-mm\-yyyy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34"/>
    </font>
    <font>
      <sz val="10"/>
      <name val="Trebuchet MS"/>
      <family val="2"/>
      <charset val="134"/>
    </font>
    <font>
      <b/>
      <sz val="10"/>
      <name val="Arial"/>
      <family val="2"/>
      <charset val="134"/>
    </font>
    <font>
      <sz val="12"/>
      <name val="Times New Roman"/>
      <family val="1"/>
    </font>
    <font>
      <b/>
      <sz val="10"/>
      <name val="Trebuchet MS"/>
      <family val="2"/>
      <charset val="134"/>
    </font>
    <font>
      <b/>
      <sz val="10"/>
      <color indexed="8"/>
      <name val="Trebuchet MS"/>
      <family val="2"/>
      <charset val="134"/>
    </font>
    <font>
      <sz val="10"/>
      <color indexed="8"/>
      <name val="Trebuchet MS"/>
      <family val="2"/>
      <charset val="134"/>
    </font>
    <font>
      <b/>
      <u/>
      <sz val="10"/>
      <name val="Trebuchet MS"/>
      <family val="2"/>
      <charset val="134"/>
    </font>
    <font>
      <sz val="10"/>
      <name val="Rupee"/>
    </font>
    <font>
      <sz val="10"/>
      <name val="Arial"/>
      <family val="2"/>
    </font>
    <font>
      <b/>
      <sz val="14"/>
      <color indexed="30"/>
      <name val="Book Antiqua"/>
      <family val="1"/>
      <charset val="134"/>
    </font>
    <font>
      <u/>
      <sz val="10"/>
      <color indexed="12"/>
      <name val="Arial"/>
      <family val="2"/>
      <charset val="134"/>
    </font>
    <font>
      <b/>
      <i/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1"/>
      <color indexed="8"/>
      <name val="Courier New"/>
      <family val="2"/>
      <charset val="134"/>
    </font>
    <font>
      <b/>
      <sz val="10"/>
      <name val="Trebuchet MS"/>
      <family val="2"/>
    </font>
    <font>
      <b/>
      <sz val="11"/>
      <color indexed="8"/>
      <name val="Trebuchet MS"/>
      <family val="2"/>
    </font>
    <font>
      <sz val="10"/>
      <name val="Trebuchet MS"/>
      <family val="2"/>
    </font>
    <font>
      <sz val="11"/>
      <color indexed="10"/>
      <name val="Trebuchet MS"/>
      <family val="2"/>
    </font>
    <font>
      <b/>
      <sz val="11"/>
      <color indexed="8"/>
      <name val="Calibri"/>
      <family val="2"/>
      <charset val="134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  <charset val="134"/>
    </font>
    <font>
      <sz val="11"/>
      <name val="Calibri"/>
      <family val="2"/>
      <scheme val="minor"/>
    </font>
    <font>
      <sz val="10"/>
      <color rgb="FFFF0000"/>
      <name val="Trebuchet MS"/>
      <family val="2"/>
    </font>
    <font>
      <sz val="11"/>
      <color rgb="FFFF0000"/>
      <name val="Trebuchet MS"/>
      <family val="2"/>
    </font>
    <font>
      <b/>
      <u/>
      <sz val="10"/>
      <name val="Trebuchet MS"/>
      <family val="2"/>
    </font>
    <font>
      <sz val="10"/>
      <name val="Arial"/>
      <family val="2"/>
    </font>
    <font>
      <sz val="10"/>
      <color rgb="FFFF0000"/>
      <name val="Trebuchet MS"/>
      <family val="2"/>
      <charset val="134"/>
    </font>
    <font>
      <b/>
      <sz val="10"/>
      <color rgb="FFFF0000"/>
      <name val="Arial"/>
      <family val="2"/>
      <charset val="134"/>
    </font>
    <font>
      <b/>
      <sz val="11"/>
      <name val="Trebuchet MS"/>
      <family val="2"/>
    </font>
    <font>
      <sz val="11"/>
      <name val="Calibri"/>
      <family val="2"/>
      <charset val="134"/>
    </font>
    <font>
      <sz val="11"/>
      <name val="Trebuchet MS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ourier New"/>
      <family val="3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5">
    <xf numFmtId="0" fontId="0" fillId="0" borderId="0"/>
    <xf numFmtId="0" fontId="2" fillId="0" borderId="0">
      <alignment vertical="center"/>
    </xf>
    <xf numFmtId="164" fontId="5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4" fontId="5" fillId="0" borderId="0" applyFont="0" applyFill="0" applyBorder="0" applyAlignment="0" applyProtection="0">
      <alignment vertical="center"/>
    </xf>
    <xf numFmtId="167" fontId="2" fillId="0" borderId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165" fontId="11" fillId="0" borderId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165" fontId="5" fillId="0" borderId="0" applyFont="0" applyFill="0" applyBorder="0" applyAlignment="0" applyProtection="0">
      <alignment vertical="center"/>
    </xf>
    <xf numFmtId="165" fontId="5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0" fontId="2" fillId="0" borderId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168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16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164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32" fillId="0" borderId="0"/>
    <xf numFmtId="0" fontId="11" fillId="0" borderId="0"/>
    <xf numFmtId="0" fontId="1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688">
    <xf numFmtId="0" fontId="0" fillId="0" borderId="0" xfId="0"/>
    <xf numFmtId="0" fontId="2" fillId="0" borderId="0" xfId="1" applyAlignment="1"/>
    <xf numFmtId="166" fontId="2" fillId="0" borderId="0" xfId="1" applyNumberFormat="1" applyAlignment="1"/>
    <xf numFmtId="0" fontId="4" fillId="0" borderId="0" xfId="1" applyFont="1" applyAlignment="1"/>
    <xf numFmtId="166" fontId="3" fillId="0" borderId="1" xfId="2" applyNumberFormat="1" applyFont="1" applyFill="1" applyBorder="1" applyAlignment="1"/>
    <xf numFmtId="166" fontId="6" fillId="0" borderId="2" xfId="2" applyNumberFormat="1" applyFont="1" applyFill="1" applyBorder="1" applyAlignment="1"/>
    <xf numFmtId="166" fontId="3" fillId="0" borderId="1" xfId="3" applyNumberFormat="1" applyFont="1" applyFill="1" applyBorder="1" applyAlignment="1"/>
    <xf numFmtId="166" fontId="3" fillId="0" borderId="1" xfId="1" applyNumberFormat="1" applyFont="1" applyFill="1" applyBorder="1" applyAlignment="1"/>
    <xf numFmtId="166" fontId="3" fillId="0" borderId="2" xfId="2" applyNumberFormat="1" applyFont="1" applyFill="1" applyBorder="1" applyAlignment="1"/>
    <xf numFmtId="166" fontId="3" fillId="0" borderId="3" xfId="2" applyNumberFormat="1" applyFont="1" applyFill="1" applyBorder="1" applyAlignment="1"/>
    <xf numFmtId="0" fontId="6" fillId="0" borderId="4" xfId="1" applyFont="1" applyFill="1" applyBorder="1" applyAlignment="1">
      <alignment horizontal="right"/>
    </xf>
    <xf numFmtId="0" fontId="3" fillId="0" borderId="5" xfId="1" applyFont="1" applyFill="1" applyBorder="1" applyAlignment="1">
      <alignment horizontal="right"/>
    </xf>
    <xf numFmtId="0" fontId="3" fillId="0" borderId="6" xfId="1" applyFont="1" applyFill="1" applyBorder="1" applyAlignment="1"/>
    <xf numFmtId="0" fontId="3" fillId="0" borderId="0" xfId="1" applyFont="1" applyAlignment="1"/>
    <xf numFmtId="166" fontId="6" fillId="0" borderId="4" xfId="2" applyNumberFormat="1" applyFont="1" applyFill="1" applyBorder="1" applyAlignment="1"/>
    <xf numFmtId="0" fontId="6" fillId="0" borderId="7" xfId="1" applyFont="1" applyFill="1" applyBorder="1" applyAlignment="1">
      <alignment horizontal="right"/>
    </xf>
    <xf numFmtId="0" fontId="6" fillId="0" borderId="8" xfId="1" applyFont="1" applyFill="1" applyBorder="1" applyAlignment="1">
      <alignment horizontal="right"/>
    </xf>
    <xf numFmtId="0" fontId="3" fillId="0" borderId="9" xfId="1" applyFont="1" applyFill="1" applyBorder="1" applyAlignment="1"/>
    <xf numFmtId="0" fontId="2" fillId="0" borderId="0" xfId="1" applyAlignment="1">
      <alignment vertical="center"/>
    </xf>
    <xf numFmtId="166" fontId="7" fillId="0" borderId="10" xfId="2" applyNumberFormat="1" applyFont="1" applyFill="1" applyBorder="1" applyAlignment="1">
      <alignment vertical="center"/>
    </xf>
    <xf numFmtId="166" fontId="7" fillId="0" borderId="10" xfId="1" applyNumberFormat="1" applyFont="1" applyFill="1" applyBorder="1" applyAlignment="1">
      <alignment vertical="center"/>
    </xf>
    <xf numFmtId="166" fontId="6" fillId="0" borderId="9" xfId="2" applyNumberFormat="1" applyFont="1" applyFill="1" applyBorder="1" applyAlignment="1">
      <alignment vertical="center"/>
    </xf>
    <xf numFmtId="10" fontId="3" fillId="0" borderId="0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right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166" fontId="8" fillId="0" borderId="5" xfId="2" applyNumberFormat="1" applyFont="1" applyFill="1" applyBorder="1" applyAlignment="1">
      <alignment vertical="center"/>
    </xf>
    <xf numFmtId="166" fontId="7" fillId="0" borderId="5" xfId="3" applyNumberFormat="1" applyFont="1" applyFill="1" applyBorder="1" applyAlignment="1">
      <alignment vertical="center"/>
    </xf>
    <xf numFmtId="166" fontId="8" fillId="0" borderId="5" xfId="1" applyNumberFormat="1" applyFont="1" applyFill="1" applyBorder="1" applyAlignment="1">
      <alignment vertical="center"/>
    </xf>
    <xf numFmtId="166" fontId="7" fillId="0" borderId="5" xfId="2" applyNumberFormat="1" applyFont="1" applyFill="1" applyBorder="1" applyAlignment="1">
      <alignment vertical="center"/>
    </xf>
    <xf numFmtId="166" fontId="8" fillId="0" borderId="6" xfId="3" applyNumberFormat="1" applyFont="1" applyFill="1" applyBorder="1" applyAlignment="1">
      <alignment vertical="center"/>
    </xf>
    <xf numFmtId="166" fontId="3" fillId="0" borderId="6" xfId="2" applyNumberFormat="1" applyFont="1" applyFill="1" applyBorder="1" applyAlignment="1">
      <alignment vertical="center"/>
    </xf>
    <xf numFmtId="0" fontId="3" fillId="0" borderId="10" xfId="1" applyFont="1" applyFill="1" applyBorder="1" applyAlignment="1">
      <alignment vertical="center" wrapText="1"/>
    </xf>
    <xf numFmtId="166" fontId="8" fillId="0" borderId="10" xfId="2" applyNumberFormat="1" applyFont="1" applyFill="1" applyBorder="1" applyAlignment="1"/>
    <xf numFmtId="166" fontId="7" fillId="0" borderId="10" xfId="1" applyNumberFormat="1" applyFont="1" applyFill="1" applyBorder="1" applyAlignment="1"/>
    <xf numFmtId="166" fontId="7" fillId="0" borderId="10" xfId="3" applyNumberFormat="1" applyFont="1" applyFill="1" applyBorder="1" applyAlignment="1"/>
    <xf numFmtId="166" fontId="8" fillId="0" borderId="10" xfId="1" applyNumberFormat="1" applyFont="1" applyFill="1" applyBorder="1" applyAlignment="1"/>
    <xf numFmtId="166" fontId="7" fillId="0" borderId="10" xfId="2" applyNumberFormat="1" applyFont="1" applyFill="1" applyBorder="1" applyAlignment="1"/>
    <xf numFmtId="166" fontId="8" fillId="0" borderId="9" xfId="3" applyNumberFormat="1" applyFont="1" applyFill="1" applyBorder="1" applyAlignment="1"/>
    <xf numFmtId="166" fontId="3" fillId="0" borderId="9" xfId="2" applyNumberFormat="1" applyFont="1" applyFill="1" applyBorder="1" applyAlignment="1"/>
    <xf numFmtId="10" fontId="3" fillId="0" borderId="0" xfId="1" applyNumberFormat="1" applyFont="1" applyFill="1" applyBorder="1" applyAlignment="1">
      <alignment horizontal="center"/>
    </xf>
    <xf numFmtId="0" fontId="9" fillId="0" borderId="10" xfId="1" applyFont="1" applyFill="1" applyBorder="1" applyAlignment="1"/>
    <xf numFmtId="0" fontId="9" fillId="0" borderId="9" xfId="1" applyFont="1" applyFill="1" applyBorder="1" applyAlignment="1">
      <alignment horizontal="center"/>
    </xf>
    <xf numFmtId="166" fontId="7" fillId="0" borderId="11" xfId="1" applyNumberFormat="1" applyFont="1" applyFill="1" applyBorder="1" applyAlignment="1"/>
    <xf numFmtId="166" fontId="7" fillId="0" borderId="9" xfId="3" applyNumberFormat="1" applyFont="1" applyFill="1" applyBorder="1" applyAlignment="1"/>
    <xf numFmtId="166" fontId="6" fillId="0" borderId="9" xfId="2" applyNumberFormat="1" applyFont="1" applyFill="1" applyBorder="1" applyAlignment="1"/>
    <xf numFmtId="0" fontId="3" fillId="0" borderId="9" xfId="1" applyFont="1" applyFill="1" applyBorder="1" applyAlignment="1">
      <alignment horizontal="center"/>
    </xf>
    <xf numFmtId="166" fontId="8" fillId="0" borderId="5" xfId="2" applyNumberFormat="1" applyFont="1" applyFill="1" applyBorder="1" applyAlignment="1"/>
    <xf numFmtId="166" fontId="7" fillId="0" borderId="6" xfId="3" applyNumberFormat="1" applyFont="1" applyFill="1" applyBorder="1" applyAlignment="1"/>
    <xf numFmtId="166" fontId="8" fillId="0" borderId="5" xfId="1" applyNumberFormat="1" applyFont="1" applyFill="1" applyBorder="1" applyAlignment="1"/>
    <xf numFmtId="166" fontId="7" fillId="0" borderId="5" xfId="2" applyNumberFormat="1" applyFont="1" applyFill="1" applyBorder="1" applyAlignment="1"/>
    <xf numFmtId="166" fontId="8" fillId="0" borderId="6" xfId="3" applyNumberFormat="1" applyFont="1" applyFill="1" applyBorder="1" applyAlignment="1"/>
    <xf numFmtId="0" fontId="3" fillId="0" borderId="10" xfId="1" applyFont="1" applyFill="1" applyBorder="1" applyAlignment="1"/>
    <xf numFmtId="166" fontId="8" fillId="0" borderId="10" xfId="3" applyNumberFormat="1" applyFont="1" applyFill="1" applyBorder="1" applyAlignment="1"/>
    <xf numFmtId="0" fontId="2" fillId="0" borderId="0" xfId="1" applyFill="1" applyAlignment="1"/>
    <xf numFmtId="0" fontId="3" fillId="0" borderId="0" xfId="1" applyFont="1" applyFill="1" applyAlignment="1"/>
    <xf numFmtId="166" fontId="6" fillId="0" borderId="10" xfId="3" applyNumberFormat="1" applyFont="1" applyFill="1" applyBorder="1" applyAlignment="1"/>
    <xf numFmtId="165" fontId="3" fillId="0" borderId="0" xfId="3" applyNumberFormat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left"/>
    </xf>
    <xf numFmtId="0" fontId="10" fillId="0" borderId="5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14" fontId="6" fillId="0" borderId="6" xfId="1" applyNumberFormat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0" xfId="1" applyFont="1" applyAlignment="1"/>
    <xf numFmtId="14" fontId="6" fillId="0" borderId="0" xfId="1" quotePrefix="1" applyNumberFormat="1" applyFont="1" applyFill="1" applyBorder="1" applyAlignment="1">
      <alignment horizontal="center"/>
    </xf>
    <xf numFmtId="49" fontId="6" fillId="0" borderId="9" xfId="1" quotePrefix="1" applyNumberFormat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4" xfId="1" applyFont="1" applyFill="1" applyBorder="1" applyAlignment="1"/>
    <xf numFmtId="0" fontId="6" fillId="0" borderId="11" xfId="1" applyFont="1" applyFill="1" applyBorder="1" applyAlignment="1"/>
    <xf numFmtId="0" fontId="9" fillId="0" borderId="0" xfId="1" applyFont="1" applyAlignment="1"/>
    <xf numFmtId="0" fontId="3" fillId="0" borderId="0" xfId="1" applyFont="1" applyAlignment="1">
      <alignment horizontal="center"/>
    </xf>
    <xf numFmtId="0" fontId="12" fillId="0" borderId="0" xfId="4" applyFont="1" applyFill="1" applyBorder="1" applyAlignment="1">
      <alignment horizontal="left"/>
    </xf>
    <xf numFmtId="0" fontId="17" fillId="2" borderId="4" xfId="4" applyFont="1" applyFill="1" applyBorder="1" applyAlignment="1">
      <alignment horizontal="left" vertical="center"/>
    </xf>
    <xf numFmtId="168" fontId="17" fillId="2" borderId="4" xfId="4" applyNumberFormat="1" applyFont="1" applyFill="1" applyBorder="1" applyAlignment="1" applyProtection="1">
      <alignment horizontal="left" vertical="center" wrapText="1"/>
    </xf>
    <xf numFmtId="164" fontId="17" fillId="2" borderId="4" xfId="5" applyFont="1" applyFill="1" applyBorder="1" applyAlignment="1" applyProtection="1">
      <alignment horizontal="left" vertical="center" wrapText="1"/>
    </xf>
    <xf numFmtId="2" fontId="17" fillId="2" borderId="4" xfId="5" applyNumberFormat="1" applyFont="1" applyFill="1" applyBorder="1" applyAlignment="1" applyProtection="1">
      <alignment horizontal="left" vertical="center" wrapText="1"/>
    </xf>
    <xf numFmtId="164" fontId="17" fillId="2" borderId="4" xfId="5" quotePrefix="1" applyFont="1" applyFill="1" applyBorder="1" applyAlignment="1" applyProtection="1">
      <alignment vertical="center" wrapText="1"/>
    </xf>
    <xf numFmtId="0" fontId="18" fillId="2" borderId="4" xfId="4" applyFont="1" applyFill="1" applyBorder="1" applyAlignment="1">
      <alignment vertical="center" wrapText="1"/>
    </xf>
    <xf numFmtId="0" fontId="18" fillId="2" borderId="4" xfId="4" applyFont="1" applyFill="1" applyBorder="1" applyAlignment="1">
      <alignment horizontal="center" vertical="center" wrapText="1"/>
    </xf>
    <xf numFmtId="0" fontId="17" fillId="2" borderId="4" xfId="4" applyFont="1" applyFill="1" applyBorder="1" applyAlignment="1">
      <alignment vertical="center" wrapText="1"/>
    </xf>
    <xf numFmtId="2" fontId="17" fillId="2" borderId="4" xfId="4" applyNumberFormat="1" applyFont="1" applyFill="1" applyBorder="1" applyAlignment="1">
      <alignment vertical="center" wrapText="1"/>
    </xf>
    <xf numFmtId="1" fontId="17" fillId="2" borderId="4" xfId="4" applyNumberFormat="1" applyFont="1" applyFill="1" applyBorder="1" applyAlignment="1">
      <alignment vertical="center" wrapText="1"/>
    </xf>
    <xf numFmtId="0" fontId="19" fillId="0" borderId="0" xfId="4" applyFont="1" applyAlignment="1"/>
    <xf numFmtId="0" fontId="17" fillId="0" borderId="4" xfId="4" applyFont="1" applyFill="1" applyBorder="1" applyAlignment="1">
      <alignment horizontal="left"/>
    </xf>
    <xf numFmtId="168" fontId="17" fillId="0" borderId="4" xfId="4" applyNumberFormat="1" applyFont="1" applyFill="1" applyBorder="1" applyAlignment="1" applyProtection="1">
      <alignment horizontal="left" wrapText="1"/>
    </xf>
    <xf numFmtId="164" fontId="17" fillId="0" borderId="4" xfId="5" applyFont="1" applyFill="1" applyBorder="1" applyAlignment="1" applyProtection="1">
      <alignment horizontal="left" wrapText="1"/>
    </xf>
    <xf numFmtId="2" fontId="17" fillId="0" borderId="4" xfId="5" applyNumberFormat="1" applyFont="1" applyFill="1" applyBorder="1" applyAlignment="1" applyProtection="1">
      <alignment horizontal="left" wrapText="1"/>
    </xf>
    <xf numFmtId="164" fontId="17" fillId="0" borderId="4" xfId="5" quotePrefix="1" applyFont="1" applyFill="1" applyBorder="1" applyAlignment="1" applyProtection="1">
      <alignment wrapText="1"/>
    </xf>
    <xf numFmtId="0" fontId="18" fillId="0" borderId="4" xfId="4" applyFont="1" applyFill="1" applyBorder="1" applyAlignment="1">
      <alignment wrapText="1"/>
    </xf>
    <xf numFmtId="0" fontId="18" fillId="0" borderId="4" xfId="4" applyFont="1" applyFill="1" applyBorder="1" applyAlignment="1">
      <alignment horizontal="center" wrapText="1"/>
    </xf>
    <xf numFmtId="169" fontId="19" fillId="3" borderId="4" xfId="4" applyNumberFormat="1" applyFont="1" applyFill="1" applyBorder="1" applyAlignment="1"/>
    <xf numFmtId="2" fontId="19" fillId="0" borderId="4" xfId="4" applyNumberFormat="1" applyFont="1" applyBorder="1" applyAlignment="1"/>
    <xf numFmtId="1" fontId="19" fillId="0" borderId="4" xfId="4" applyNumberFormat="1" applyFont="1" applyBorder="1" applyAlignment="1"/>
    <xf numFmtId="0" fontId="18" fillId="0" borderId="4" xfId="4" applyFont="1" applyFill="1" applyBorder="1" applyAlignment="1"/>
    <xf numFmtId="164" fontId="17" fillId="0" borderId="4" xfId="5" applyFont="1" applyFill="1" applyBorder="1" applyAlignment="1" applyProtection="1">
      <alignment wrapText="1"/>
    </xf>
    <xf numFmtId="0" fontId="18" fillId="0" borderId="4" xfId="4" applyFont="1" applyBorder="1" applyAlignment="1">
      <alignment wrapText="1"/>
    </xf>
    <xf numFmtId="0" fontId="18" fillId="0" borderId="4" xfId="4" applyFont="1" applyBorder="1" applyAlignment="1">
      <alignment horizontal="center" wrapText="1"/>
    </xf>
    <xf numFmtId="169" fontId="19" fillId="0" borderId="4" xfId="4" applyNumberFormat="1" applyFont="1" applyBorder="1" applyAlignment="1"/>
    <xf numFmtId="2" fontId="19" fillId="3" borderId="4" xfId="4" applyNumberFormat="1" applyFont="1" applyFill="1" applyBorder="1" applyAlignment="1"/>
    <xf numFmtId="0" fontId="19" fillId="0" borderId="4" xfId="4" applyFont="1" applyBorder="1" applyAlignment="1"/>
    <xf numFmtId="2" fontId="19" fillId="4" borderId="4" xfId="4" applyNumberFormat="1" applyFont="1" applyFill="1" applyBorder="1" applyAlignment="1"/>
    <xf numFmtId="170" fontId="19" fillId="0" borderId="4" xfId="4" applyNumberFormat="1" applyFont="1" applyBorder="1" applyAlignment="1"/>
    <xf numFmtId="0" fontId="17" fillId="2" borderId="4" xfId="4" applyFont="1" applyFill="1" applyBorder="1" applyAlignment="1"/>
    <xf numFmtId="0" fontId="19" fillId="0" borderId="4" xfId="4" applyFont="1" applyFill="1" applyBorder="1" applyAlignment="1"/>
    <xf numFmtId="2" fontId="19" fillId="5" borderId="4" xfId="4" applyNumberFormat="1" applyFont="1" applyFill="1" applyBorder="1" applyAlignment="1"/>
    <xf numFmtId="1" fontId="17" fillId="0" borderId="4" xfId="4" applyNumberFormat="1" applyFont="1" applyBorder="1" applyAlignment="1"/>
    <xf numFmtId="2" fontId="19" fillId="0" borderId="4" xfId="4" applyNumberFormat="1" applyFont="1" applyFill="1" applyBorder="1" applyAlignment="1"/>
    <xf numFmtId="1" fontId="17" fillId="5" borderId="4" xfId="4" applyNumberFormat="1" applyFont="1" applyFill="1" applyBorder="1" applyAlignment="1"/>
    <xf numFmtId="1" fontId="17" fillId="2" borderId="4" xfId="4" applyNumberFormat="1" applyFont="1" applyFill="1" applyBorder="1" applyAlignment="1"/>
    <xf numFmtId="0" fontId="17" fillId="0" borderId="4" xfId="4" applyFont="1" applyFill="1" applyBorder="1" applyAlignment="1"/>
    <xf numFmtId="1" fontId="19" fillId="0" borderId="4" xfId="4" applyNumberFormat="1" applyFont="1" applyFill="1" applyBorder="1" applyAlignment="1"/>
    <xf numFmtId="1" fontId="17" fillId="0" borderId="4" xfId="4" applyNumberFormat="1" applyFont="1" applyFill="1" applyBorder="1" applyAlignment="1"/>
    <xf numFmtId="0" fontId="19" fillId="0" borderId="0" xfId="4" applyFont="1" applyFill="1" applyAlignment="1"/>
    <xf numFmtId="2" fontId="19" fillId="3" borderId="4" xfId="5" applyNumberFormat="1" applyFont="1" applyFill="1" applyBorder="1" applyAlignment="1"/>
    <xf numFmtId="2" fontId="19" fillId="0" borderId="4" xfId="5" applyNumberFormat="1" applyFont="1" applyBorder="1" applyAlignment="1"/>
    <xf numFmtId="169" fontId="19" fillId="0" borderId="4" xfId="4" applyNumberFormat="1" applyFont="1" applyFill="1" applyBorder="1" applyAlignment="1"/>
    <xf numFmtId="0" fontId="19" fillId="0" borderId="4" xfId="4" applyNumberFormat="1" applyFont="1" applyFill="1" applyBorder="1" applyAlignment="1"/>
    <xf numFmtId="0" fontId="19" fillId="0" borderId="4" xfId="4" applyFont="1" applyBorder="1" applyAlignment="1">
      <alignment horizontal="left"/>
    </xf>
    <xf numFmtId="0" fontId="2" fillId="0" borderId="4" xfId="4" applyFont="1" applyFill="1" applyBorder="1" applyAlignment="1"/>
    <xf numFmtId="0" fontId="11" fillId="0" borderId="4" xfId="4" applyFont="1" applyFill="1" applyBorder="1" applyAlignment="1"/>
    <xf numFmtId="0" fontId="15" fillId="0" borderId="4" xfId="0" applyFont="1" applyFill="1" applyBorder="1" applyAlignment="1"/>
    <xf numFmtId="14" fontId="0" fillId="0" borderId="4" xfId="0" applyNumberFormat="1" applyFill="1" applyBorder="1" applyAlignment="1"/>
    <xf numFmtId="0" fontId="2" fillId="6" borderId="4" xfId="0" applyFont="1" applyFill="1" applyBorder="1" applyAlignment="1"/>
    <xf numFmtId="0" fontId="2" fillId="0" borderId="4" xfId="0" applyFont="1" applyFill="1" applyBorder="1" applyAlignment="1"/>
    <xf numFmtId="0" fontId="18" fillId="0" borderId="4" xfId="4" applyFont="1" applyBorder="1" applyAlignment="1"/>
    <xf numFmtId="0" fontId="19" fillId="7" borderId="4" xfId="4" applyFont="1" applyFill="1" applyBorder="1" applyAlignment="1"/>
    <xf numFmtId="169" fontId="19" fillId="7" borderId="4" xfId="4" applyNumberFormat="1" applyFont="1" applyFill="1" applyBorder="1" applyAlignment="1"/>
    <xf numFmtId="2" fontId="19" fillId="7" borderId="4" xfId="4" applyNumberFormat="1" applyFont="1" applyFill="1" applyBorder="1" applyAlignment="1"/>
    <xf numFmtId="1" fontId="19" fillId="7" borderId="4" xfId="4" applyNumberFormat="1" applyFont="1" applyFill="1" applyBorder="1" applyAlignment="1"/>
    <xf numFmtId="2" fontId="19" fillId="7" borderId="4" xfId="5" applyNumberFormat="1" applyFont="1" applyFill="1" applyBorder="1" applyAlignment="1"/>
    <xf numFmtId="2" fontId="19" fillId="0" borderId="4" xfId="5" applyNumberFormat="1" applyFont="1" applyFill="1" applyBorder="1" applyAlignment="1"/>
    <xf numFmtId="0" fontId="11" fillId="0" borderId="4" xfId="4" applyBorder="1" applyAlignment="1"/>
    <xf numFmtId="0" fontId="15" fillId="0" borderId="4" xfId="4" applyFont="1" applyFill="1" applyBorder="1" applyAlignment="1"/>
    <xf numFmtId="2" fontId="19" fillId="0" borderId="0" xfId="4" applyNumberFormat="1" applyFont="1" applyAlignment="1"/>
    <xf numFmtId="171" fontId="19" fillId="0" borderId="0" xfId="4" applyNumberFormat="1" applyFont="1" applyAlignment="1"/>
    <xf numFmtId="0" fontId="20" fillId="4" borderId="4" xfId="4" applyFont="1" applyFill="1" applyBorder="1" applyAlignment="1"/>
    <xf numFmtId="0" fontId="11" fillId="0" borderId="4" xfId="4" applyFill="1" applyBorder="1" applyAlignment="1"/>
    <xf numFmtId="1" fontId="19" fillId="0" borderId="0" xfId="4" applyNumberFormat="1" applyFont="1" applyAlignment="1"/>
    <xf numFmtId="1" fontId="17" fillId="0" borderId="0" xfId="4" applyNumberFormat="1" applyFont="1" applyAlignment="1"/>
    <xf numFmtId="1" fontId="19" fillId="8" borderId="0" xfId="4" applyNumberFormat="1" applyFont="1" applyFill="1" applyAlignment="1"/>
    <xf numFmtId="0" fontId="11" fillId="0" borderId="0" xfId="4" applyAlignment="1"/>
    <xf numFmtId="2" fontId="4" fillId="2" borderId="4" xfId="4" applyNumberFormat="1" applyFont="1" applyFill="1" applyBorder="1" applyAlignment="1"/>
    <xf numFmtId="0" fontId="4" fillId="2" borderId="4" xfId="4" applyFont="1" applyFill="1" applyBorder="1" applyAlignment="1"/>
    <xf numFmtId="0" fontId="21" fillId="2" borderId="0" xfId="4" applyFont="1" applyFill="1" applyBorder="1" applyAlignment="1"/>
    <xf numFmtId="0" fontId="4" fillId="0" borderId="0" xfId="4" applyFont="1" applyFill="1" applyBorder="1" applyAlignment="1"/>
    <xf numFmtId="0" fontId="11" fillId="0" borderId="0" xfId="4" applyFill="1" applyBorder="1" applyAlignment="1"/>
    <xf numFmtId="14" fontId="11" fillId="3" borderId="0" xfId="4" applyNumberFormat="1" applyFill="1" applyBorder="1" applyAlignment="1"/>
    <xf numFmtId="0" fontId="11" fillId="0" borderId="0" xfId="4" applyFill="1" applyAlignment="1"/>
    <xf numFmtId="0" fontId="2" fillId="6" borderId="4" xfId="4" applyFont="1" applyFill="1" applyBorder="1" applyAlignment="1"/>
    <xf numFmtId="14" fontId="11" fillId="0" borderId="4" xfId="4" applyNumberFormat="1" applyFill="1" applyBorder="1" applyAlignment="1"/>
    <xf numFmtId="1" fontId="11" fillId="0" borderId="4" xfId="4" applyNumberFormat="1" applyBorder="1" applyAlignment="1"/>
    <xf numFmtId="1" fontId="11" fillId="0" borderId="4" xfId="4" applyNumberFormat="1" applyFont="1" applyFill="1" applyBorder="1" applyAlignment="1"/>
    <xf numFmtId="0" fontId="22" fillId="0" borderId="4" xfId="4" applyFont="1" applyFill="1" applyBorder="1" applyAlignment="1"/>
    <xf numFmtId="1" fontId="22" fillId="2" borderId="4" xfId="4" applyNumberFormat="1" applyFont="1" applyFill="1" applyBorder="1" applyAlignment="1"/>
    <xf numFmtId="1" fontId="11" fillId="0" borderId="4" xfId="4" applyNumberFormat="1" applyFill="1" applyBorder="1" applyAlignment="1"/>
    <xf numFmtId="1" fontId="4" fillId="2" borderId="4" xfId="4" applyNumberFormat="1" applyFont="1" applyFill="1" applyBorder="1" applyAlignment="1"/>
    <xf numFmtId="1" fontId="11" fillId="0" borderId="0" xfId="4" applyNumberFormat="1" applyAlignment="1"/>
    <xf numFmtId="2" fontId="22" fillId="0" borderId="4" xfId="4" applyNumberFormat="1" applyFont="1" applyFill="1" applyBorder="1" applyAlignment="1"/>
    <xf numFmtId="14" fontId="11" fillId="0" borderId="4" xfId="4" applyNumberFormat="1" applyFill="1" applyBorder="1" applyAlignment="1">
      <alignment horizontal="right"/>
    </xf>
    <xf numFmtId="1" fontId="19" fillId="8" borderId="4" xfId="4" applyNumberFormat="1" applyFont="1" applyFill="1" applyBorder="1" applyAlignment="1"/>
    <xf numFmtId="0" fontId="21" fillId="2" borderId="4" xfId="4" applyFont="1" applyFill="1" applyBorder="1" applyAlignment="1">
      <alignment wrapText="1"/>
    </xf>
    <xf numFmtId="0" fontId="4" fillId="2" borderId="4" xfId="4" applyFont="1" applyFill="1" applyBorder="1" applyAlignment="1">
      <alignment wrapText="1"/>
    </xf>
    <xf numFmtId="1" fontId="11" fillId="0" borderId="0" xfId="4" applyNumberFormat="1" applyFill="1" applyAlignment="1"/>
    <xf numFmtId="2" fontId="11" fillId="0" borderId="0" xfId="4" applyNumberFormat="1" applyAlignment="1"/>
    <xf numFmtId="166" fontId="11" fillId="0" borderId="0" xfId="177" applyNumberFormat="1" applyFont="1" applyAlignment="1"/>
    <xf numFmtId="166" fontId="4" fillId="2" borderId="4" xfId="177" applyNumberFormat="1" applyFont="1" applyFill="1" applyBorder="1" applyAlignment="1">
      <alignment wrapText="1"/>
    </xf>
    <xf numFmtId="166" fontId="4" fillId="0" borderId="0" xfId="177" applyNumberFormat="1" applyFont="1" applyFill="1" applyBorder="1" applyAlignment="1"/>
    <xf numFmtId="166" fontId="4" fillId="2" borderId="4" xfId="177" applyNumberFormat="1" applyFont="1" applyFill="1" applyBorder="1" applyAlignment="1"/>
    <xf numFmtId="166" fontId="11" fillId="0" borderId="4" xfId="177" applyNumberFormat="1" applyFont="1" applyFill="1" applyBorder="1" applyAlignment="1"/>
    <xf numFmtId="166" fontId="22" fillId="2" borderId="4" xfId="177" applyNumberFormat="1" applyFont="1" applyFill="1" applyBorder="1" applyAlignment="1"/>
    <xf numFmtId="166" fontId="22" fillId="0" borderId="4" xfId="177" applyNumberFormat="1" applyFont="1" applyFill="1" applyBorder="1" applyAlignment="1"/>
    <xf numFmtId="1" fontId="11" fillId="8" borderId="4" xfId="4" applyNumberFormat="1" applyFill="1" applyBorder="1" applyAlignment="1"/>
    <xf numFmtId="0" fontId="11" fillId="8" borderId="4" xfId="4" applyFill="1" applyBorder="1" applyAlignment="1"/>
    <xf numFmtId="166" fontId="11" fillId="8" borderId="4" xfId="177" applyNumberFormat="1" applyFont="1" applyFill="1" applyBorder="1" applyAlignment="1"/>
    <xf numFmtId="1" fontId="11" fillId="8" borderId="4" xfId="4" applyNumberFormat="1" applyFont="1" applyFill="1" applyBorder="1" applyAlignment="1"/>
    <xf numFmtId="166" fontId="3" fillId="0" borderId="6" xfId="2" applyNumberFormat="1" applyFont="1" applyFill="1" applyBorder="1" applyAlignment="1"/>
    <xf numFmtId="166" fontId="21" fillId="2" borderId="4" xfId="177" applyNumberFormat="1" applyFont="1" applyFill="1" applyBorder="1" applyAlignment="1">
      <alignment wrapText="1"/>
    </xf>
    <xf numFmtId="166" fontId="4" fillId="0" borderId="4" xfId="177" applyNumberFormat="1" applyFont="1" applyFill="1" applyBorder="1" applyAlignment="1"/>
    <xf numFmtId="166" fontId="2" fillId="0" borderId="4" xfId="177" applyNumberFormat="1" applyFont="1" applyFill="1" applyBorder="1" applyAlignment="1"/>
    <xf numFmtId="0" fontId="24" fillId="0" borderId="4" xfId="4" applyFont="1" applyFill="1" applyBorder="1" applyAlignment="1"/>
    <xf numFmtId="166" fontId="22" fillId="8" borderId="4" xfId="177" applyNumberFormat="1" applyFont="1" applyFill="1" applyBorder="1" applyAlignment="1"/>
    <xf numFmtId="0" fontId="18" fillId="8" borderId="4" xfId="4" applyFont="1" applyFill="1" applyBorder="1" applyAlignment="1"/>
    <xf numFmtId="0" fontId="19" fillId="8" borderId="4" xfId="4" applyFont="1" applyFill="1" applyBorder="1" applyAlignment="1"/>
    <xf numFmtId="2" fontId="19" fillId="8" borderId="4" xfId="4" applyNumberFormat="1" applyFont="1" applyFill="1" applyBorder="1" applyAlignment="1"/>
    <xf numFmtId="0" fontId="19" fillId="8" borderId="0" xfId="4" applyFont="1" applyFill="1" applyAlignment="1"/>
    <xf numFmtId="169" fontId="19" fillId="8" borderId="4" xfId="4" applyNumberFormat="1" applyFont="1" applyFill="1" applyBorder="1" applyAlignment="1"/>
    <xf numFmtId="0" fontId="20" fillId="8" borderId="4" xfId="4" applyFont="1" applyFill="1" applyBorder="1" applyAlignment="1"/>
    <xf numFmtId="0" fontId="15" fillId="8" borderId="4" xfId="4" applyFont="1" applyFill="1" applyBorder="1" applyAlignment="1"/>
    <xf numFmtId="0" fontId="2" fillId="8" borderId="4" xfId="4" applyFont="1" applyFill="1" applyBorder="1" applyAlignment="1"/>
    <xf numFmtId="0" fontId="15" fillId="8" borderId="4" xfId="0" applyFont="1" applyFill="1" applyBorder="1" applyAlignment="1"/>
    <xf numFmtId="0" fontId="2" fillId="8" borderId="4" xfId="0" applyFont="1" applyFill="1" applyBorder="1" applyAlignment="1"/>
    <xf numFmtId="14" fontId="11" fillId="8" borderId="4" xfId="4" applyNumberFormat="1" applyFill="1" applyBorder="1" applyAlignment="1"/>
    <xf numFmtId="166" fontId="26" fillId="0" borderId="4" xfId="177" applyNumberFormat="1" applyFont="1" applyFill="1" applyBorder="1" applyAlignment="1"/>
    <xf numFmtId="1" fontId="26" fillId="0" borderId="4" xfId="4" applyNumberFormat="1" applyFont="1" applyBorder="1" applyAlignment="1"/>
    <xf numFmtId="0" fontId="26" fillId="0" borderId="4" xfId="4" applyFont="1" applyBorder="1" applyAlignment="1"/>
    <xf numFmtId="0" fontId="26" fillId="0" borderId="4" xfId="4" applyFont="1" applyFill="1" applyBorder="1" applyAlignment="1"/>
    <xf numFmtId="1" fontId="26" fillId="0" borderId="4" xfId="4" applyNumberFormat="1" applyFont="1" applyFill="1" applyBorder="1" applyAlignment="1"/>
    <xf numFmtId="0" fontId="25" fillId="0" borderId="0" xfId="0" applyFont="1" applyFill="1"/>
    <xf numFmtId="1" fontId="19" fillId="5" borderId="4" xfId="4" applyNumberFormat="1" applyFont="1" applyFill="1" applyBorder="1" applyAlignment="1"/>
    <xf numFmtId="2" fontId="29" fillId="0" borderId="4" xfId="4" applyNumberFormat="1" applyFont="1" applyFill="1" applyBorder="1" applyAlignment="1"/>
    <xf numFmtId="1" fontId="29" fillId="0" borderId="4" xfId="4" applyNumberFormat="1" applyFont="1" applyFill="1" applyBorder="1" applyAlignment="1"/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166" fontId="7" fillId="9" borderId="5" xfId="1" applyNumberFormat="1" applyFont="1" applyFill="1" applyBorder="1" applyAlignment="1">
      <alignment vertical="center"/>
    </xf>
    <xf numFmtId="166" fontId="7" fillId="9" borderId="10" xfId="1" applyNumberFormat="1" applyFont="1" applyFill="1" applyBorder="1" applyAlignment="1"/>
    <xf numFmtId="164" fontId="17" fillId="0" borderId="4" xfId="5" applyFont="1" applyFill="1" applyBorder="1" applyAlignment="1" applyProtection="1">
      <alignment horizontal="left" vertical="center" wrapText="1"/>
    </xf>
    <xf numFmtId="0" fontId="29" fillId="0" borderId="4" xfId="4" applyFont="1" applyFill="1" applyBorder="1" applyAlignment="1"/>
    <xf numFmtId="1" fontId="19" fillId="0" borderId="0" xfId="4" applyNumberFormat="1" applyFont="1" applyFill="1" applyAlignment="1"/>
    <xf numFmtId="0" fontId="3" fillId="0" borderId="0" xfId="1" applyFont="1" applyFill="1" applyAlignment="1">
      <alignment horizontal="center"/>
    </xf>
    <xf numFmtId="166" fontId="2" fillId="0" borderId="0" xfId="1" applyNumberFormat="1" applyFill="1" applyAlignment="1"/>
    <xf numFmtId="166" fontId="7" fillId="8" borderId="10" xfId="2" applyNumberFormat="1" applyFont="1" applyFill="1" applyBorder="1" applyAlignment="1"/>
    <xf numFmtId="166" fontId="17" fillId="0" borderId="4" xfId="177" applyNumberFormat="1" applyFont="1" applyFill="1" applyBorder="1" applyAlignment="1"/>
    <xf numFmtId="166" fontId="0" fillId="0" borderId="0" xfId="0" applyNumberFormat="1"/>
    <xf numFmtId="164" fontId="19" fillId="0" borderId="0" xfId="177" applyFont="1" applyFill="1" applyAlignment="1"/>
    <xf numFmtId="4" fontId="11" fillId="10" borderId="4" xfId="188" applyNumberFormat="1" applyFill="1" applyBorder="1" applyAlignment="1">
      <alignment horizontal="right" vertical="top"/>
    </xf>
    <xf numFmtId="0" fontId="21" fillId="2" borderId="9" xfId="4" applyFont="1" applyFill="1" applyBorder="1" applyAlignment="1">
      <alignment wrapText="1"/>
    </xf>
    <xf numFmtId="1" fontId="11" fillId="0" borderId="4" xfId="4" applyNumberFormat="1" applyFont="1" applyBorder="1" applyAlignment="1"/>
    <xf numFmtId="0" fontId="11" fillId="0" borderId="4" xfId="4" applyFont="1" applyBorder="1" applyAlignment="1"/>
    <xf numFmtId="164" fontId="0" fillId="5" borderId="0" xfId="177" applyFont="1" applyFill="1"/>
    <xf numFmtId="166" fontId="0" fillId="5" borderId="0" xfId="177" applyNumberFormat="1" applyFont="1" applyFill="1"/>
    <xf numFmtId="166" fontId="0" fillId="0" borderId="0" xfId="177" applyNumberFormat="1" applyFont="1"/>
    <xf numFmtId="4" fontId="25" fillId="6" borderId="0" xfId="0" applyNumberFormat="1" applyFont="1" applyFill="1"/>
    <xf numFmtId="4" fontId="28" fillId="5" borderId="0" xfId="0" applyNumberFormat="1" applyFont="1" applyFill="1"/>
    <xf numFmtId="169" fontId="29" fillId="0" borderId="4" xfId="4" applyNumberFormat="1" applyFont="1" applyFill="1" applyBorder="1" applyAlignment="1"/>
    <xf numFmtId="166" fontId="19" fillId="0" borderId="0" xfId="177" applyNumberFormat="1" applyFont="1" applyFill="1" applyAlignment="1"/>
    <xf numFmtId="0" fontId="17" fillId="0" borderId="4" xfId="4" applyFont="1" applyFill="1" applyBorder="1" applyAlignment="1">
      <alignment horizontal="left" vertical="center"/>
    </xf>
    <xf numFmtId="168" fontId="17" fillId="0" borderId="4" xfId="4" applyNumberFormat="1" applyFont="1" applyFill="1" applyBorder="1" applyAlignment="1" applyProtection="1">
      <alignment horizontal="left" vertical="center" wrapText="1"/>
    </xf>
    <xf numFmtId="2" fontId="17" fillId="0" borderId="4" xfId="5" applyNumberFormat="1" applyFont="1" applyFill="1" applyBorder="1" applyAlignment="1" applyProtection="1">
      <alignment horizontal="left" vertical="center" wrapText="1"/>
    </xf>
    <xf numFmtId="164" fontId="17" fillId="0" borderId="4" xfId="5" quotePrefix="1" applyFont="1" applyFill="1" applyBorder="1" applyAlignment="1" applyProtection="1">
      <alignment vertical="center" wrapText="1"/>
    </xf>
    <xf numFmtId="0" fontId="17" fillId="0" borderId="4" xfId="4" applyFont="1" applyFill="1" applyBorder="1" applyAlignment="1">
      <alignment vertical="center" wrapText="1"/>
    </xf>
    <xf numFmtId="2" fontId="17" fillId="0" borderId="4" xfId="4" applyNumberFormat="1" applyFont="1" applyFill="1" applyBorder="1" applyAlignment="1">
      <alignment vertical="center" wrapText="1"/>
    </xf>
    <xf numFmtId="1" fontId="17" fillId="0" borderId="4" xfId="4" applyNumberFormat="1" applyFont="1" applyFill="1" applyBorder="1" applyAlignment="1">
      <alignment vertical="center" wrapText="1"/>
    </xf>
    <xf numFmtId="0" fontId="19" fillId="0" borderId="4" xfId="4" applyFont="1" applyFill="1" applyBorder="1" applyAlignment="1">
      <alignment horizontal="left"/>
    </xf>
    <xf numFmtId="164" fontId="29" fillId="0" borderId="0" xfId="177" applyFont="1" applyFill="1" applyAlignment="1"/>
    <xf numFmtId="0" fontId="29" fillId="0" borderId="0" xfId="4" applyFont="1" applyFill="1" applyAlignment="1"/>
    <xf numFmtId="166" fontId="19" fillId="0" borderId="4" xfId="177" applyNumberFormat="1" applyFont="1" applyFill="1" applyBorder="1" applyAlignment="1"/>
    <xf numFmtId="166" fontId="29" fillId="0" borderId="0" xfId="177" applyNumberFormat="1" applyFont="1" applyFill="1" applyAlignment="1"/>
    <xf numFmtId="2" fontId="19" fillId="0" borderId="0" xfId="4" applyNumberFormat="1" applyFont="1" applyFill="1" applyAlignment="1"/>
    <xf numFmtId="1" fontId="17" fillId="0" borderId="0" xfId="4" applyNumberFormat="1" applyFont="1" applyFill="1" applyAlignment="1"/>
    <xf numFmtId="164" fontId="0" fillId="0" borderId="0" xfId="0" applyNumberFormat="1"/>
    <xf numFmtId="166" fontId="19" fillId="8" borderId="0" xfId="177" applyNumberFormat="1" applyFont="1" applyFill="1" applyAlignment="1"/>
    <xf numFmtId="166" fontId="19" fillId="8" borderId="4" xfId="177" applyNumberFormat="1" applyFont="1" applyFill="1" applyBorder="1" applyAlignment="1"/>
    <xf numFmtId="166" fontId="19" fillId="11" borderId="0" xfId="177" applyNumberFormat="1" applyFont="1" applyFill="1" applyAlignment="1"/>
    <xf numFmtId="1" fontId="31" fillId="0" borderId="0" xfId="4" applyNumberFormat="1" applyFont="1" applyFill="1" applyAlignment="1"/>
    <xf numFmtId="166" fontId="19" fillId="0" borderId="0" xfId="4" applyNumberFormat="1" applyFont="1" applyFill="1" applyAlignment="1"/>
    <xf numFmtId="166" fontId="17" fillId="0" borderId="0" xfId="177" applyNumberFormat="1" applyFont="1" applyFill="1" applyAlignment="1"/>
    <xf numFmtId="166" fontId="19" fillId="5" borderId="0" xfId="177" applyNumberFormat="1" applyFont="1" applyFill="1" applyAlignment="1"/>
    <xf numFmtId="166" fontId="19" fillId="12" borderId="0" xfId="4" applyNumberFormat="1" applyFont="1" applyFill="1" applyAlignment="1"/>
    <xf numFmtId="0" fontId="4" fillId="0" borderId="0" xfId="1" applyFont="1" applyFill="1" applyAlignment="1"/>
    <xf numFmtId="166" fontId="7" fillId="0" borderId="5" xfId="1" applyNumberFormat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166" fontId="22" fillId="13" borderId="4" xfId="177" applyNumberFormat="1" applyFont="1" applyFill="1" applyBorder="1" applyAlignment="1"/>
    <xf numFmtId="0" fontId="33" fillId="0" borderId="10" xfId="1" applyFont="1" applyFill="1" applyBorder="1" applyAlignment="1"/>
    <xf numFmtId="166" fontId="0" fillId="13" borderId="0" xfId="0" applyNumberFormat="1" applyFill="1"/>
    <xf numFmtId="164" fontId="0" fillId="13" borderId="0" xfId="0" applyNumberFormat="1" applyFill="1"/>
    <xf numFmtId="4" fontId="0" fillId="13" borderId="0" xfId="0" applyNumberFormat="1" applyFill="1"/>
    <xf numFmtId="166" fontId="3" fillId="8" borderId="3" xfId="2" applyNumberFormat="1" applyFont="1" applyFill="1" applyBorder="1" applyAlignment="1"/>
    <xf numFmtId="166" fontId="3" fillId="8" borderId="2" xfId="2" applyNumberFormat="1" applyFont="1" applyFill="1" applyBorder="1" applyAlignment="1"/>
    <xf numFmtId="166" fontId="3" fillId="8" borderId="1" xfId="3" applyNumberFormat="1" applyFont="1" applyFill="1" applyBorder="1" applyAlignment="1"/>
    <xf numFmtId="166" fontId="3" fillId="8" borderId="1" xfId="2" applyNumberFormat="1" applyFont="1" applyFill="1" applyBorder="1" applyAlignment="1"/>
    <xf numFmtId="166" fontId="3" fillId="8" borderId="1" xfId="1" applyNumberFormat="1" applyFont="1" applyFill="1" applyBorder="1" applyAlignment="1"/>
    <xf numFmtId="166" fontId="6" fillId="8" borderId="2" xfId="2" applyNumberFormat="1" applyFont="1" applyFill="1" applyBorder="1" applyAlignment="1"/>
    <xf numFmtId="164" fontId="19" fillId="12" borderId="0" xfId="4" applyNumberFormat="1" applyFont="1" applyFill="1" applyAlignment="1"/>
    <xf numFmtId="168" fontId="17" fillId="11" borderId="4" xfId="4" applyNumberFormat="1" applyFont="1" applyFill="1" applyBorder="1" applyAlignment="1" applyProtection="1">
      <alignment horizontal="left" wrapText="1"/>
    </xf>
    <xf numFmtId="164" fontId="17" fillId="11" borderId="4" xfId="5" applyFont="1" applyFill="1" applyBorder="1" applyAlignment="1" applyProtection="1">
      <alignment horizontal="left" wrapText="1"/>
    </xf>
    <xf numFmtId="2" fontId="17" fillId="11" borderId="4" xfId="5" applyNumberFormat="1" applyFont="1" applyFill="1" applyBorder="1" applyAlignment="1" applyProtection="1">
      <alignment horizontal="left" wrapText="1"/>
    </xf>
    <xf numFmtId="164" fontId="17" fillId="11" borderId="4" xfId="5" applyFont="1" applyFill="1" applyBorder="1" applyAlignment="1" applyProtection="1">
      <alignment wrapText="1"/>
    </xf>
    <xf numFmtId="169" fontId="19" fillId="11" borderId="4" xfId="4" applyNumberFormat="1" applyFont="1" applyFill="1" applyBorder="1" applyAlignment="1"/>
    <xf numFmtId="2" fontId="19" fillId="11" borderId="4" xfId="4" applyNumberFormat="1" applyFont="1" applyFill="1" applyBorder="1" applyAlignment="1"/>
    <xf numFmtId="1" fontId="19" fillId="11" borderId="4" xfId="4" applyNumberFormat="1" applyFont="1" applyFill="1" applyBorder="1" applyAlignment="1"/>
    <xf numFmtId="0" fontId="19" fillId="11" borderId="0" xfId="4" applyFont="1" applyFill="1" applyAlignment="1"/>
    <xf numFmtId="164" fontId="19" fillId="11" borderId="0" xfId="177" applyFont="1" applyFill="1" applyAlignment="1"/>
    <xf numFmtId="0" fontId="19" fillId="11" borderId="4" xfId="4" applyFont="1" applyFill="1" applyBorder="1" applyAlignment="1"/>
    <xf numFmtId="170" fontId="19" fillId="11" borderId="4" xfId="4" applyNumberFormat="1" applyFont="1" applyFill="1" applyBorder="1" applyAlignment="1"/>
    <xf numFmtId="0" fontId="11" fillId="11" borderId="4" xfId="4" applyFill="1" applyBorder="1" applyAlignment="1"/>
    <xf numFmtId="14" fontId="11" fillId="11" borderId="4" xfId="4" applyNumberFormat="1" applyFill="1" applyBorder="1" applyAlignment="1"/>
    <xf numFmtId="166" fontId="11" fillId="11" borderId="4" xfId="177" applyNumberFormat="1" applyFont="1" applyFill="1" applyBorder="1" applyAlignment="1"/>
    <xf numFmtId="0" fontId="17" fillId="11" borderId="4" xfId="4" applyFont="1" applyFill="1" applyBorder="1" applyAlignment="1"/>
    <xf numFmtId="2" fontId="17" fillId="11" borderId="4" xfId="4" applyNumberFormat="1" applyFont="1" applyFill="1" applyBorder="1" applyAlignment="1"/>
    <xf numFmtId="1" fontId="17" fillId="11" borderId="4" xfId="4" applyNumberFormat="1" applyFont="1" applyFill="1" applyBorder="1" applyAlignment="1"/>
    <xf numFmtId="2" fontId="19" fillId="11" borderId="4" xfId="5" applyNumberFormat="1" applyFont="1" applyFill="1" applyBorder="1" applyAlignment="1"/>
    <xf numFmtId="0" fontId="0" fillId="11" borderId="0" xfId="0" applyFill="1" applyAlignment="1">
      <alignment vertical="top"/>
    </xf>
    <xf numFmtId="14" fontId="0" fillId="11" borderId="0" xfId="0" applyNumberFormat="1" applyFill="1" applyAlignment="1">
      <alignment horizontal="right" vertical="top"/>
    </xf>
    <xf numFmtId="0" fontId="24" fillId="11" borderId="4" xfId="4" applyFont="1" applyFill="1" applyBorder="1" applyAlignment="1"/>
    <xf numFmtId="166" fontId="17" fillId="11" borderId="4" xfId="177" applyNumberFormat="1" applyFont="1" applyFill="1" applyBorder="1" applyAlignment="1"/>
    <xf numFmtId="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14" fontId="11" fillId="0" borderId="6" xfId="4" applyNumberFormat="1" applyFill="1" applyBorder="1" applyAlignment="1"/>
    <xf numFmtId="166" fontId="11" fillId="0" borderId="6" xfId="177" applyNumberFormat="1" applyFont="1" applyFill="1" applyBorder="1" applyAlignment="1"/>
    <xf numFmtId="0" fontId="19" fillId="0" borderId="6" xfId="4" applyFont="1" applyFill="1" applyBorder="1" applyAlignment="1"/>
    <xf numFmtId="2" fontId="19" fillId="0" borderId="6" xfId="4" applyNumberFormat="1" applyFont="1" applyFill="1" applyBorder="1" applyAlignment="1"/>
    <xf numFmtId="1" fontId="19" fillId="0" borderId="6" xfId="4" applyNumberFormat="1" applyFont="1" applyFill="1" applyBorder="1" applyAlignment="1"/>
    <xf numFmtId="164" fontId="0" fillId="0" borderId="0" xfId="177" applyFont="1" applyAlignment="1">
      <alignment horizontal="right" vertical="top"/>
    </xf>
    <xf numFmtId="0" fontId="19" fillId="11" borderId="11" xfId="4" applyFont="1" applyFill="1" applyBorder="1" applyAlignment="1"/>
    <xf numFmtId="2" fontId="19" fillId="11" borderId="11" xfId="4" applyNumberFormat="1" applyFont="1" applyFill="1" applyBorder="1" applyAlignment="1"/>
    <xf numFmtId="0" fontId="11" fillId="11" borderId="15" xfId="4" applyFill="1" applyBorder="1" applyAlignment="1"/>
    <xf numFmtId="0" fontId="15" fillId="11" borderId="4" xfId="4" applyFont="1" applyFill="1" applyBorder="1" applyAlignment="1"/>
    <xf numFmtId="0" fontId="2" fillId="11" borderId="4" xfId="4" applyFont="1" applyFill="1" applyBorder="1" applyAlignment="1"/>
    <xf numFmtId="0" fontId="26" fillId="11" borderId="4" xfId="4" applyFont="1" applyFill="1" applyBorder="1" applyAlignment="1"/>
    <xf numFmtId="14" fontId="26" fillId="11" borderId="4" xfId="4" applyNumberFormat="1" applyFont="1" applyFill="1" applyBorder="1" applyAlignment="1"/>
    <xf numFmtId="0" fontId="29" fillId="11" borderId="4" xfId="4" applyFont="1" applyFill="1" applyBorder="1" applyAlignment="1"/>
    <xf numFmtId="2" fontId="29" fillId="11" borderId="4" xfId="4" applyNumberFormat="1" applyFont="1" applyFill="1" applyBorder="1" applyAlignment="1"/>
    <xf numFmtId="1" fontId="29" fillId="11" borderId="4" xfId="4" applyNumberFormat="1" applyFont="1" applyFill="1" applyBorder="1" applyAlignment="1"/>
    <xf numFmtId="0" fontId="11" fillId="11" borderId="4" xfId="4" applyFont="1" applyFill="1" applyBorder="1" applyAlignment="1"/>
    <xf numFmtId="14" fontId="11" fillId="11" borderId="4" xfId="4" applyNumberFormat="1" applyFont="1" applyFill="1" applyBorder="1" applyAlignment="1">
      <alignment horizontal="right"/>
    </xf>
    <xf numFmtId="0" fontId="19" fillId="11" borderId="4" xfId="4" applyFont="1" applyFill="1" applyBorder="1" applyAlignment="1">
      <alignment horizontal="left"/>
    </xf>
    <xf numFmtId="0" fontId="2" fillId="11" borderId="4" xfId="0" applyFont="1" applyFill="1" applyBorder="1" applyAlignment="1"/>
    <xf numFmtId="2" fontId="19" fillId="5" borderId="4" xfId="5" applyNumberFormat="1" applyFont="1" applyFill="1" applyBorder="1" applyAlignment="1"/>
    <xf numFmtId="0" fontId="19" fillId="5" borderId="4" xfId="4" applyFont="1" applyFill="1" applyBorder="1" applyAlignment="1"/>
    <xf numFmtId="169" fontId="19" fillId="5" borderId="4" xfId="4" applyNumberFormat="1" applyFont="1" applyFill="1" applyBorder="1" applyAlignment="1"/>
    <xf numFmtId="166" fontId="11" fillId="11" borderId="11" xfId="177" applyNumberFormat="1" applyFont="1" applyFill="1" applyBorder="1" applyAlignment="1"/>
    <xf numFmtId="0" fontId="19" fillId="9" borderId="4" xfId="4" applyFont="1" applyFill="1" applyBorder="1" applyAlignment="1"/>
    <xf numFmtId="164" fontId="19" fillId="9" borderId="0" xfId="177" applyFont="1" applyFill="1" applyAlignment="1"/>
    <xf numFmtId="166" fontId="11" fillId="9" borderId="0" xfId="177" applyNumberFormat="1" applyFont="1" applyFill="1" applyAlignment="1">
      <alignment horizontal="right" vertical="top"/>
    </xf>
    <xf numFmtId="0" fontId="19" fillId="9" borderId="4" xfId="4" applyNumberFormat="1" applyFont="1" applyFill="1" applyBorder="1" applyAlignment="1"/>
    <xf numFmtId="0" fontId="2" fillId="9" borderId="4" xfId="4" applyFont="1" applyFill="1" applyBorder="1" applyAlignment="1"/>
    <xf numFmtId="0" fontId="11" fillId="9" borderId="4" xfId="4" applyFont="1" applyFill="1" applyBorder="1" applyAlignment="1"/>
    <xf numFmtId="0" fontId="2" fillId="9" borderId="4" xfId="0" applyFont="1" applyFill="1" applyBorder="1" applyAlignment="1"/>
    <xf numFmtId="166" fontId="11" fillId="9" borderId="4" xfId="177" applyNumberFormat="1" applyFont="1" applyFill="1" applyBorder="1" applyAlignment="1"/>
    <xf numFmtId="166" fontId="2" fillId="9" borderId="4" xfId="177" applyNumberFormat="1" applyFont="1" applyFill="1" applyBorder="1" applyAlignment="1"/>
    <xf numFmtId="4" fontId="0" fillId="9" borderId="0" xfId="0" applyNumberFormat="1" applyFill="1" applyAlignment="1">
      <alignment horizontal="right" vertical="top"/>
    </xf>
    <xf numFmtId="164" fontId="29" fillId="9" borderId="0" xfId="177" applyFont="1" applyFill="1" applyAlignment="1"/>
    <xf numFmtId="166" fontId="19" fillId="9" borderId="0" xfId="177" applyNumberFormat="1" applyFont="1" applyFill="1" applyAlignment="1"/>
    <xf numFmtId="164" fontId="19" fillId="9" borderId="4" xfId="177" applyFont="1" applyFill="1" applyBorder="1" applyAlignment="1"/>
    <xf numFmtId="0" fontId="11" fillId="9" borderId="4" xfId="4" applyFill="1" applyBorder="1" applyAlignment="1"/>
    <xf numFmtId="0" fontId="30" fillId="9" borderId="4" xfId="4" applyFont="1" applyFill="1" applyBorder="1" applyAlignment="1"/>
    <xf numFmtId="166" fontId="19" fillId="9" borderId="4" xfId="177" applyNumberFormat="1" applyFont="1" applyFill="1" applyBorder="1" applyAlignment="1"/>
    <xf numFmtId="166" fontId="29" fillId="9" borderId="0" xfId="177" applyNumberFormat="1" applyFont="1" applyFill="1" applyAlignment="1"/>
    <xf numFmtId="166" fontId="26" fillId="9" borderId="4" xfId="177" applyNumberFormat="1" applyFont="1" applyFill="1" applyBorder="1" applyAlignment="1"/>
    <xf numFmtId="0" fontId="0" fillId="8" borderId="0" xfId="0" applyFill="1" applyAlignment="1">
      <alignment vertical="top"/>
    </xf>
    <xf numFmtId="14" fontId="0" fillId="8" borderId="0" xfId="0" applyNumberFormat="1" applyFill="1" applyAlignment="1">
      <alignment horizontal="right" vertical="top"/>
    </xf>
    <xf numFmtId="4" fontId="0" fillId="8" borderId="0" xfId="0" applyNumberFormat="1" applyFill="1" applyAlignment="1">
      <alignment horizontal="right" vertical="top"/>
    </xf>
    <xf numFmtId="0" fontId="28" fillId="11" borderId="0" xfId="0" applyFont="1" applyFill="1" applyAlignment="1">
      <alignment vertical="top"/>
    </xf>
    <xf numFmtId="14" fontId="28" fillId="11" borderId="4" xfId="0" applyNumberFormat="1" applyFont="1" applyFill="1" applyBorder="1" applyAlignment="1">
      <alignment horizontal="right" vertical="top"/>
    </xf>
    <xf numFmtId="4" fontId="28" fillId="9" borderId="4" xfId="0" applyNumberFormat="1" applyFont="1" applyFill="1" applyBorder="1" applyAlignment="1">
      <alignment horizontal="right" vertical="top"/>
    </xf>
    <xf numFmtId="164" fontId="28" fillId="0" borderId="0" xfId="177" applyFont="1" applyAlignment="1">
      <alignment horizontal="right" vertical="top"/>
    </xf>
    <xf numFmtId="0" fontId="18" fillId="0" borderId="11" xfId="4" applyFont="1" applyBorder="1" applyAlignment="1"/>
    <xf numFmtId="166" fontId="2" fillId="0" borderId="11" xfId="177" applyNumberFormat="1" applyFont="1" applyFill="1" applyBorder="1" applyAlignment="1"/>
    <xf numFmtId="14" fontId="11" fillId="0" borderId="11" xfId="4" applyNumberFormat="1" applyFill="1" applyBorder="1" applyAlignment="1"/>
    <xf numFmtId="1" fontId="11" fillId="0" borderId="11" xfId="4" applyNumberFormat="1" applyBorder="1" applyAlignment="1"/>
    <xf numFmtId="0" fontId="11" fillId="0" borderId="11" xfId="4" applyBorder="1" applyAlignment="1"/>
    <xf numFmtId="0" fontId="11" fillId="0" borderId="11" xfId="4" applyFill="1" applyBorder="1" applyAlignment="1"/>
    <xf numFmtId="166" fontId="11" fillId="0" borderId="11" xfId="177" applyNumberFormat="1" applyFont="1" applyFill="1" applyBorder="1" applyAlignment="1"/>
    <xf numFmtId="1" fontId="11" fillId="0" borderId="11" xfId="4" applyNumberFormat="1" applyFont="1" applyFill="1" applyBorder="1" applyAlignment="1"/>
    <xf numFmtId="0" fontId="18" fillId="0" borderId="6" xfId="4" applyFont="1" applyBorder="1" applyAlignment="1"/>
    <xf numFmtId="166" fontId="2" fillId="0" borderId="6" xfId="177" applyNumberFormat="1" applyFont="1" applyFill="1" applyBorder="1" applyAlignment="1"/>
    <xf numFmtId="1" fontId="11" fillId="0" borderId="6" xfId="4" applyNumberFormat="1" applyBorder="1" applyAlignment="1"/>
    <xf numFmtId="0" fontId="11" fillId="0" borderId="6" xfId="4" applyBorder="1" applyAlignment="1"/>
    <xf numFmtId="0" fontId="11" fillId="0" borderId="6" xfId="4" applyFill="1" applyBorder="1" applyAlignment="1"/>
    <xf numFmtId="1" fontId="11" fillId="0" borderId="6" xfId="4" applyNumberFormat="1" applyFont="1" applyFill="1" applyBorder="1" applyAlignment="1"/>
    <xf numFmtId="0" fontId="0" fillId="8" borderId="4" xfId="0" applyFill="1" applyBorder="1" applyAlignment="1">
      <alignment vertical="top"/>
    </xf>
    <xf numFmtId="4" fontId="0" fillId="8" borderId="4" xfId="0" applyNumberFormat="1" applyFill="1" applyBorder="1" applyAlignment="1">
      <alignment horizontal="right" vertical="top"/>
    </xf>
    <xf numFmtId="14" fontId="0" fillId="8" borderId="4" xfId="0" applyNumberFormat="1" applyFill="1" applyBorder="1" applyAlignment="1">
      <alignment horizontal="right" vertical="top"/>
    </xf>
    <xf numFmtId="166" fontId="0" fillId="5" borderId="4" xfId="177" applyNumberFormat="1" applyFont="1" applyFill="1" applyBorder="1"/>
    <xf numFmtId="4" fontId="2" fillId="0" borderId="0" xfId="1" applyNumberFormat="1" applyFill="1" applyAlignment="1"/>
    <xf numFmtId="4" fontId="2" fillId="0" borderId="0" xfId="1" applyNumberFormat="1" applyAlignment="1"/>
    <xf numFmtId="4" fontId="2" fillId="0" borderId="0" xfId="1" applyNumberFormat="1" applyAlignment="1">
      <alignment vertical="center"/>
    </xf>
    <xf numFmtId="0" fontId="34" fillId="12" borderId="0" xfId="1" applyFont="1" applyFill="1" applyAlignment="1"/>
    <xf numFmtId="0" fontId="27" fillId="12" borderId="0" xfId="1" applyFont="1" applyFill="1" applyAlignment="1"/>
    <xf numFmtId="166" fontId="27" fillId="12" borderId="0" xfId="1" applyNumberFormat="1" applyFont="1" applyFill="1" applyAlignment="1"/>
    <xf numFmtId="164" fontId="27" fillId="12" borderId="0" xfId="177" applyFont="1" applyFill="1" applyAlignment="1"/>
    <xf numFmtId="4" fontId="27" fillId="12" borderId="0" xfId="1" applyNumberFormat="1" applyFont="1" applyFill="1" applyAlignment="1"/>
    <xf numFmtId="169" fontId="29" fillId="11" borderId="11" xfId="4" applyNumberFormat="1" applyFont="1" applyFill="1" applyBorder="1" applyAlignment="1"/>
    <xf numFmtId="0" fontId="29" fillId="9" borderId="11" xfId="4" applyFont="1" applyFill="1" applyBorder="1" applyAlignment="1"/>
    <xf numFmtId="0" fontId="29" fillId="11" borderId="11" xfId="4" applyFont="1" applyFill="1" applyBorder="1" applyAlignment="1"/>
    <xf numFmtId="2" fontId="29" fillId="11" borderId="11" xfId="4" applyNumberFormat="1" applyFont="1" applyFill="1" applyBorder="1" applyAlignment="1"/>
    <xf numFmtId="1" fontId="29" fillId="11" borderId="11" xfId="4" applyNumberFormat="1" applyFont="1" applyFill="1" applyBorder="1" applyAlignment="1"/>
    <xf numFmtId="0" fontId="35" fillId="0" borderId="4" xfId="4" applyFont="1" applyFill="1" applyBorder="1" applyAlignment="1">
      <alignment vertical="center" wrapText="1"/>
    </xf>
    <xf numFmtId="0" fontId="35" fillId="0" borderId="4" xfId="4" applyFont="1" applyFill="1" applyBorder="1" applyAlignment="1">
      <alignment horizontal="center" vertical="center" wrapText="1"/>
    </xf>
    <xf numFmtId="0" fontId="35" fillId="0" borderId="4" xfId="4" applyFont="1" applyFill="1" applyBorder="1" applyAlignment="1">
      <alignment wrapText="1"/>
    </xf>
    <xf numFmtId="0" fontId="35" fillId="0" borderId="4" xfId="4" applyFont="1" applyFill="1" applyBorder="1" applyAlignment="1">
      <alignment horizontal="center" wrapText="1"/>
    </xf>
    <xf numFmtId="0" fontId="35" fillId="11" borderId="4" xfId="4" applyFont="1" applyFill="1" applyBorder="1" applyAlignment="1"/>
    <xf numFmtId="0" fontId="35" fillId="11" borderId="4" xfId="4" applyFont="1" applyFill="1" applyBorder="1" applyAlignment="1">
      <alignment wrapText="1"/>
    </xf>
    <xf numFmtId="0" fontId="35" fillId="11" borderId="4" xfId="4" applyFont="1" applyFill="1" applyBorder="1" applyAlignment="1">
      <alignment horizontal="center" wrapText="1"/>
    </xf>
    <xf numFmtId="4" fontId="28" fillId="9" borderId="0" xfId="0" applyNumberFormat="1" applyFont="1" applyFill="1" applyAlignment="1">
      <alignment horizontal="right" vertical="top"/>
    </xf>
    <xf numFmtId="164" fontId="28" fillId="11" borderId="0" xfId="177" applyFont="1" applyFill="1" applyAlignment="1">
      <alignment horizontal="right" vertical="top"/>
    </xf>
    <xf numFmtId="14" fontId="11" fillId="11" borderId="4" xfId="4" applyNumberFormat="1" applyFont="1" applyFill="1" applyBorder="1" applyAlignment="1"/>
    <xf numFmtId="0" fontId="35" fillId="0" borderId="4" xfId="4" applyFont="1" applyFill="1" applyBorder="1" applyAlignment="1"/>
    <xf numFmtId="0" fontId="36" fillId="11" borderId="4" xfId="0" applyFont="1" applyFill="1" applyBorder="1" applyAlignment="1"/>
    <xf numFmtId="14" fontId="28" fillId="11" borderId="4" xfId="0" applyNumberFormat="1" applyFont="1" applyFill="1" applyBorder="1" applyAlignment="1"/>
    <xf numFmtId="0" fontId="36" fillId="0" borderId="4" xfId="0" applyFont="1" applyFill="1" applyBorder="1" applyAlignment="1"/>
    <xf numFmtId="0" fontId="36" fillId="11" borderId="4" xfId="4" applyFont="1" applyFill="1" applyBorder="1" applyAlignment="1"/>
    <xf numFmtId="0" fontId="36" fillId="0" borderId="4" xfId="4" applyFont="1" applyFill="1" applyBorder="1" applyAlignment="1"/>
    <xf numFmtId="0" fontId="36" fillId="5" borderId="4" xfId="0" applyFont="1" applyFill="1" applyBorder="1" applyAlignment="1"/>
    <xf numFmtId="14" fontId="28" fillId="5" borderId="4" xfId="0" applyNumberFormat="1" applyFont="1" applyFill="1" applyBorder="1" applyAlignment="1"/>
    <xf numFmtId="0" fontId="36" fillId="5" borderId="4" xfId="4" applyFont="1" applyFill="1" applyBorder="1" applyAlignment="1"/>
    <xf numFmtId="14" fontId="11" fillId="5" borderId="4" xfId="4" applyNumberFormat="1" applyFont="1" applyFill="1" applyBorder="1" applyAlignment="1"/>
    <xf numFmtId="14" fontId="28" fillId="11" borderId="0" xfId="0" applyNumberFormat="1" applyFont="1" applyFill="1" applyAlignment="1">
      <alignment horizontal="right" vertical="top"/>
    </xf>
    <xf numFmtId="166" fontId="19" fillId="11" borderId="0" xfId="177" applyNumberFormat="1" applyFont="1" applyFill="1" applyBorder="1" applyAlignment="1">
      <alignment horizontal="center" vertical="center"/>
    </xf>
    <xf numFmtId="166" fontId="28" fillId="9" borderId="0" xfId="177" applyNumberFormat="1" applyFont="1" applyFill="1" applyAlignment="1">
      <alignment horizontal="right" vertical="top"/>
    </xf>
    <xf numFmtId="4" fontId="11" fillId="0" borderId="0" xfId="4" applyNumberFormat="1" applyFont="1" applyFill="1" applyAlignment="1">
      <alignment horizontal="right" vertical="top"/>
    </xf>
    <xf numFmtId="4" fontId="28" fillId="0" borderId="0" xfId="0" applyNumberFormat="1" applyFont="1" applyFill="1" applyAlignment="1">
      <alignment horizontal="right" vertical="top"/>
    </xf>
    <xf numFmtId="0" fontId="11" fillId="11" borderId="11" xfId="4" applyFont="1" applyFill="1" applyBorder="1" applyAlignment="1"/>
    <xf numFmtId="14" fontId="11" fillId="11" borderId="11" xfId="4" applyNumberFormat="1" applyFont="1" applyFill="1" applyBorder="1" applyAlignment="1">
      <alignment horizontal="right"/>
    </xf>
    <xf numFmtId="0" fontId="28" fillId="11" borderId="4" xfId="0" applyFont="1" applyFill="1" applyBorder="1" applyAlignment="1">
      <alignment vertical="top"/>
    </xf>
    <xf numFmtId="4" fontId="28" fillId="11" borderId="4" xfId="0" applyNumberFormat="1" applyFont="1" applyFill="1" applyBorder="1" applyAlignment="1">
      <alignment horizontal="right" vertical="top"/>
    </xf>
    <xf numFmtId="4" fontId="28" fillId="0" borderId="4" xfId="0" applyNumberFormat="1" applyFont="1" applyFill="1" applyBorder="1" applyAlignment="1">
      <alignment horizontal="right" vertical="top"/>
    </xf>
    <xf numFmtId="4" fontId="28" fillId="0" borderId="0" xfId="0" applyNumberFormat="1" applyFont="1" applyAlignment="1">
      <alignment horizontal="right" vertical="top"/>
    </xf>
    <xf numFmtId="4" fontId="28" fillId="11" borderId="0" xfId="0" applyNumberFormat="1" applyFont="1" applyFill="1" applyAlignment="1">
      <alignment horizontal="right" vertical="top"/>
    </xf>
    <xf numFmtId="0" fontId="28" fillId="0" borderId="0" xfId="0" applyFont="1" applyAlignment="1">
      <alignment vertical="top"/>
    </xf>
    <xf numFmtId="14" fontId="28" fillId="0" borderId="0" xfId="0" applyNumberFormat="1" applyFont="1" applyAlignment="1">
      <alignment horizontal="right" vertical="top"/>
    </xf>
    <xf numFmtId="0" fontId="37" fillId="9" borderId="4" xfId="4" applyFont="1" applyFill="1" applyBorder="1" applyAlignment="1"/>
    <xf numFmtId="0" fontId="39" fillId="0" borderId="0" xfId="0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43" fontId="0" fillId="0" borderId="0" xfId="177" applyNumberFormat="1" applyFont="1"/>
    <xf numFmtId="0" fontId="40" fillId="0" borderId="0" xfId="0" applyFont="1" applyFill="1" applyAlignment="1"/>
    <xf numFmtId="43" fontId="1" fillId="0" borderId="4" xfId="177" applyNumberFormat="1" applyFont="1" applyBorder="1" applyAlignment="1">
      <alignment vertical="center"/>
    </xf>
    <xf numFmtId="43" fontId="1" fillId="0" borderId="0" xfId="177" applyNumberFormat="1" applyFont="1"/>
    <xf numFmtId="0" fontId="38" fillId="15" borderId="4" xfId="0" applyFont="1" applyFill="1" applyBorder="1" applyAlignment="1">
      <alignment horizontal="left" vertical="center"/>
    </xf>
    <xf numFmtId="43" fontId="38" fillId="15" borderId="4" xfId="177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/>
    <xf numFmtId="0" fontId="41" fillId="0" borderId="4" xfId="4" applyFont="1" applyFill="1" applyBorder="1" applyAlignment="1">
      <alignment vertical="top"/>
    </xf>
    <xf numFmtId="0" fontId="0" fillId="0" borderId="8" xfId="0" applyFont="1" applyFill="1" applyBorder="1" applyAlignment="1"/>
    <xf numFmtId="172" fontId="0" fillId="0" borderId="4" xfId="177" applyNumberFormat="1" applyFont="1" applyFill="1" applyBorder="1"/>
    <xf numFmtId="43" fontId="0" fillId="0" borderId="4" xfId="177" applyNumberFormat="1" applyFont="1" applyFill="1" applyBorder="1"/>
    <xf numFmtId="0" fontId="0" fillId="0" borderId="10" xfId="0" applyFont="1" applyFill="1" applyBorder="1" applyAlignment="1"/>
    <xf numFmtId="172" fontId="0" fillId="0" borderId="9" xfId="177" applyNumberFormat="1" applyFont="1" applyFill="1" applyBorder="1"/>
    <xf numFmtId="0" fontId="11" fillId="0" borderId="4" xfId="4" applyFont="1" applyFill="1" applyBorder="1" applyAlignment="1">
      <alignment vertical="top"/>
    </xf>
    <xf numFmtId="172" fontId="11" fillId="0" borderId="0" xfId="177" applyNumberFormat="1" applyFont="1" applyFill="1" applyAlignment="1">
      <alignment vertical="top"/>
    </xf>
    <xf numFmtId="172" fontId="11" fillId="0" borderId="4" xfId="177" applyNumberFormat="1" applyFont="1" applyFill="1" applyBorder="1" applyAlignment="1">
      <alignment vertical="top"/>
    </xf>
    <xf numFmtId="172" fontId="25" fillId="0" borderId="4" xfId="177" applyNumberFormat="1" applyFont="1" applyFill="1" applyBorder="1"/>
    <xf numFmtId="0" fontId="28" fillId="0" borderId="4" xfId="0" applyFont="1" applyFill="1" applyBorder="1" applyAlignment="1"/>
    <xf numFmtId="172" fontId="28" fillId="0" borderId="4" xfId="177" applyNumberFormat="1" applyFont="1" applyFill="1" applyBorder="1"/>
    <xf numFmtId="0" fontId="41" fillId="0" borderId="4" xfId="204" applyFont="1" applyFill="1" applyBorder="1" applyAlignment="1">
      <alignment vertical="top"/>
    </xf>
    <xf numFmtId="0" fontId="41" fillId="0" borderId="4" xfId="0" applyFont="1" applyFill="1" applyBorder="1" applyAlignment="1">
      <alignment vertical="top"/>
    </xf>
    <xf numFmtId="0" fontId="41" fillId="0" borderId="0" xfId="0" applyFont="1" applyFill="1" applyAlignment="1">
      <alignment vertical="top"/>
    </xf>
    <xf numFmtId="0" fontId="0" fillId="0" borderId="9" xfId="0" applyFont="1" applyFill="1" applyBorder="1" applyAlignment="1"/>
    <xf numFmtId="172" fontId="0" fillId="0" borderId="0" xfId="177" applyNumberFormat="1" applyFont="1" applyFill="1"/>
    <xf numFmtId="172" fontId="11" fillId="0" borderId="9" xfId="177" applyNumberFormat="1" applyFont="1" applyFill="1" applyBorder="1" applyAlignment="1">
      <alignment vertical="top"/>
    </xf>
    <xf numFmtId="0" fontId="38" fillId="0" borderId="0" xfId="0" applyFont="1" applyFill="1" applyAlignment="1"/>
    <xf numFmtId="0" fontId="1" fillId="0" borderId="0" xfId="0" applyFont="1" applyFill="1" applyAlignment="1"/>
    <xf numFmtId="0" fontId="11" fillId="0" borderId="4" xfId="205" applyFont="1" applyFill="1" applyBorder="1" applyAlignment="1">
      <alignment vertical="top"/>
    </xf>
    <xf numFmtId="0" fontId="11" fillId="0" borderId="4" xfId="206" applyFont="1" applyFill="1" applyBorder="1" applyAlignment="1">
      <alignment vertical="top"/>
    </xf>
    <xf numFmtId="0" fontId="11" fillId="0" borderId="4" xfId="207" applyFont="1" applyFill="1" applyBorder="1" applyAlignment="1">
      <alignment vertical="top"/>
    </xf>
    <xf numFmtId="0" fontId="11" fillId="0" borderId="4" xfId="208" applyFont="1" applyFill="1" applyBorder="1" applyAlignment="1">
      <alignment vertical="top"/>
    </xf>
    <xf numFmtId="0" fontId="11" fillId="0" borderId="4" xfId="209" applyFont="1" applyFill="1" applyBorder="1" applyAlignment="1">
      <alignment vertical="top"/>
    </xf>
    <xf numFmtId="0" fontId="11" fillId="0" borderId="4" xfId="210" applyFont="1" applyFill="1" applyBorder="1" applyAlignment="1">
      <alignment vertical="top"/>
    </xf>
    <xf numFmtId="0" fontId="11" fillId="0" borderId="4" xfId="211" applyFont="1" applyFill="1" applyBorder="1" applyAlignment="1">
      <alignment vertical="top"/>
    </xf>
    <xf numFmtId="0" fontId="11" fillId="0" borderId="4" xfId="212" applyFont="1" applyFill="1" applyBorder="1" applyAlignment="1">
      <alignment vertical="top"/>
    </xf>
    <xf numFmtId="0" fontId="11" fillId="0" borderId="4" xfId="213" applyFont="1" applyFill="1" applyBorder="1" applyAlignment="1">
      <alignment vertical="top"/>
    </xf>
    <xf numFmtId="0" fontId="11" fillId="0" borderId="4" xfId="214" applyFont="1" applyFill="1" applyBorder="1" applyAlignment="1">
      <alignment vertical="top"/>
    </xf>
    <xf numFmtId="0" fontId="11" fillId="0" borderId="4" xfId="215" applyFont="1" applyFill="1" applyBorder="1" applyAlignment="1">
      <alignment vertical="top"/>
    </xf>
    <xf numFmtId="0" fontId="11" fillId="0" borderId="4" xfId="216" applyFont="1" applyFill="1" applyBorder="1" applyAlignment="1">
      <alignment vertical="top"/>
    </xf>
    <xf numFmtId="172" fontId="11" fillId="0" borderId="4" xfId="177" applyNumberFormat="1" applyFont="1" applyFill="1" applyBorder="1" applyAlignment="1">
      <alignment horizontal="right" vertical="top"/>
    </xf>
    <xf numFmtId="0" fontId="11" fillId="0" borderId="4" xfId="217" applyFont="1" applyFill="1" applyBorder="1" applyAlignment="1">
      <alignment vertical="top"/>
    </xf>
    <xf numFmtId="0" fontId="11" fillId="0" borderId="4" xfId="218" applyFont="1" applyFill="1" applyBorder="1" applyAlignment="1">
      <alignment vertical="top"/>
    </xf>
    <xf numFmtId="0" fontId="11" fillId="0" borderId="11" xfId="219" applyFont="1" applyFill="1" applyBorder="1" applyAlignment="1">
      <alignment vertical="top"/>
    </xf>
    <xf numFmtId="0" fontId="0" fillId="0" borderId="11" xfId="0" applyFont="1" applyFill="1" applyBorder="1" applyAlignment="1"/>
    <xf numFmtId="172" fontId="0" fillId="0" borderId="11" xfId="177" applyNumberFormat="1" applyFont="1" applyFill="1" applyBorder="1"/>
    <xf numFmtId="0" fontId="11" fillId="0" borderId="4" xfId="220" applyFont="1" applyFill="1" applyBorder="1" applyAlignment="1">
      <alignment vertical="top"/>
    </xf>
    <xf numFmtId="0" fontId="11" fillId="0" borderId="8" xfId="4" applyFont="1" applyFill="1" applyBorder="1" applyAlignment="1">
      <alignment vertical="top"/>
    </xf>
    <xf numFmtId="0" fontId="11" fillId="0" borderId="8" xfId="220" applyFont="1" applyFill="1" applyBorder="1" applyAlignment="1">
      <alignment vertical="top"/>
    </xf>
    <xf numFmtId="172" fontId="38" fillId="15" borderId="4" xfId="177" applyNumberFormat="1" applyFont="1" applyFill="1" applyBorder="1"/>
    <xf numFmtId="0" fontId="41" fillId="0" borderId="8" xfId="204" applyFont="1" applyFill="1" applyBorder="1" applyAlignment="1">
      <alignment vertical="top"/>
    </xf>
    <xf numFmtId="0" fontId="41" fillId="0" borderId="8" xfId="0" applyFont="1" applyFill="1" applyBorder="1" applyAlignment="1">
      <alignment vertical="top"/>
    </xf>
    <xf numFmtId="0" fontId="41" fillId="0" borderId="11" xfId="0" applyFont="1" applyFill="1" applyBorder="1" applyAlignment="1">
      <alignment vertical="top"/>
    </xf>
    <xf numFmtId="0" fontId="41" fillId="0" borderId="14" xfId="0" applyFont="1" applyFill="1" applyBorder="1" applyAlignment="1">
      <alignment vertical="top"/>
    </xf>
    <xf numFmtId="0" fontId="0" fillId="0" borderId="14" xfId="0" applyFont="1" applyFill="1" applyBorder="1" applyAlignment="1"/>
    <xf numFmtId="172" fontId="38" fillId="15" borderId="11" xfId="177" applyNumberFormat="1" applyFont="1" applyFill="1" applyBorder="1"/>
    <xf numFmtId="43" fontId="0" fillId="0" borderId="11" xfId="177" applyNumberFormat="1" applyFont="1" applyFill="1" applyBorder="1"/>
    <xf numFmtId="0" fontId="38" fillId="0" borderId="17" xfId="0" applyFont="1" applyFill="1" applyBorder="1" applyAlignment="1"/>
    <xf numFmtId="0" fontId="39" fillId="0" borderId="18" xfId="0" applyFont="1" applyFill="1" applyBorder="1" applyAlignment="1">
      <alignment vertical="center"/>
    </xf>
    <xf numFmtId="0" fontId="38" fillId="0" borderId="18" xfId="0" applyFont="1" applyFill="1" applyBorder="1" applyAlignment="1"/>
    <xf numFmtId="172" fontId="38" fillId="0" borderId="18" xfId="177" applyNumberFormat="1" applyFont="1" applyFill="1" applyBorder="1"/>
    <xf numFmtId="43" fontId="38" fillId="0" borderId="18" xfId="177" applyNumberFormat="1" applyFont="1" applyFill="1" applyBorder="1"/>
    <xf numFmtId="0" fontId="38" fillId="0" borderId="19" xfId="0" applyFont="1" applyFill="1" applyBorder="1" applyAlignment="1"/>
    <xf numFmtId="0" fontId="38" fillId="0" borderId="0" xfId="0" applyFont="1" applyFill="1" applyBorder="1" applyAlignment="1"/>
    <xf numFmtId="0" fontId="39" fillId="0" borderId="0" xfId="0" applyFont="1" applyFill="1" applyBorder="1" applyAlignment="1">
      <alignment vertical="center"/>
    </xf>
    <xf numFmtId="172" fontId="38" fillId="0" borderId="0" xfId="177" applyNumberFormat="1" applyFont="1" applyFill="1" applyBorder="1"/>
    <xf numFmtId="43" fontId="38" fillId="0" borderId="0" xfId="177" applyNumberFormat="1" applyFont="1" applyFill="1" applyBorder="1"/>
    <xf numFmtId="0" fontId="40" fillId="0" borderId="0" xfId="0" applyFont="1" applyFill="1" applyAlignment="1">
      <alignment vertical="top"/>
    </xf>
    <xf numFmtId="43" fontId="0" fillId="0" borderId="0" xfId="177" applyNumberFormat="1" applyFont="1" applyFill="1"/>
    <xf numFmtId="0" fontId="38" fillId="15" borderId="20" xfId="0" applyFont="1" applyFill="1" applyBorder="1" applyAlignment="1"/>
    <xf numFmtId="0" fontId="38" fillId="15" borderId="21" xfId="0" applyFont="1" applyFill="1" applyBorder="1" applyAlignment="1">
      <alignment horizontal="left"/>
    </xf>
    <xf numFmtId="0" fontId="38" fillId="15" borderId="21" xfId="0" applyFont="1" applyFill="1" applyBorder="1" applyAlignment="1"/>
    <xf numFmtId="172" fontId="44" fillId="15" borderId="21" xfId="177" applyNumberFormat="1" applyFont="1" applyFill="1" applyBorder="1"/>
    <xf numFmtId="43" fontId="44" fillId="15" borderId="21" xfId="177" applyNumberFormat="1" applyFont="1" applyFill="1" applyBorder="1"/>
    <xf numFmtId="0" fontId="38" fillId="15" borderId="19" xfId="0" applyFont="1" applyFill="1" applyBorder="1" applyAlignment="1"/>
    <xf numFmtId="0" fontId="0" fillId="0" borderId="6" xfId="0" applyFont="1" applyFill="1" applyBorder="1" applyAlignment="1"/>
    <xf numFmtId="0" fontId="41" fillId="0" borderId="6" xfId="4" applyFont="1" applyFill="1" applyBorder="1" applyAlignment="1">
      <alignment horizontal="left" vertical="top"/>
    </xf>
    <xf numFmtId="0" fontId="11" fillId="0" borderId="6" xfId="4" applyFont="1" applyFill="1" applyBorder="1" applyAlignment="1">
      <alignment vertical="top"/>
    </xf>
    <xf numFmtId="172" fontId="0" fillId="0" borderId="6" xfId="177" applyNumberFormat="1" applyFont="1" applyFill="1" applyBorder="1"/>
    <xf numFmtId="172" fontId="11" fillId="0" borderId="6" xfId="177" applyNumberFormat="1" applyFont="1" applyFill="1" applyBorder="1" applyAlignment="1">
      <alignment vertical="top"/>
    </xf>
    <xf numFmtId="43" fontId="0" fillId="0" borderId="6" xfId="177" applyNumberFormat="1" applyFont="1" applyFill="1" applyBorder="1"/>
    <xf numFmtId="0" fontId="41" fillId="0" borderId="4" xfId="4" applyFont="1" applyFill="1" applyBorder="1" applyAlignment="1">
      <alignment horizontal="left" vertical="top"/>
    </xf>
    <xf numFmtId="0" fontId="38" fillId="0" borderId="4" xfId="0" applyFont="1" applyFill="1" applyBorder="1" applyAlignment="1"/>
    <xf numFmtId="172" fontId="22" fillId="0" borderId="4" xfId="177" applyNumberFormat="1" applyFont="1" applyFill="1" applyBorder="1" applyAlignment="1">
      <alignment vertical="top"/>
    </xf>
    <xf numFmtId="43" fontId="11" fillId="0" borderId="4" xfId="177" applyNumberFormat="1" applyFont="1" applyFill="1" applyBorder="1" applyAlignment="1">
      <alignment vertical="top"/>
    </xf>
    <xf numFmtId="172" fontId="11" fillId="0" borderId="4" xfId="177" applyNumberFormat="1" applyFont="1" applyBorder="1" applyAlignment="1">
      <alignment vertical="top"/>
    </xf>
    <xf numFmtId="0" fontId="45" fillId="0" borderId="4" xfId="0" applyFont="1" applyFill="1" applyBorder="1" applyAlignment="1"/>
    <xf numFmtId="0" fontId="41" fillId="0" borderId="11" xfId="4" applyFont="1" applyFill="1" applyBorder="1" applyAlignment="1">
      <alignment horizontal="left" vertical="top"/>
    </xf>
    <xf numFmtId="0" fontId="11" fillId="0" borderId="11" xfId="4" applyFont="1" applyFill="1" applyBorder="1" applyAlignment="1">
      <alignment vertical="top"/>
    </xf>
    <xf numFmtId="172" fontId="11" fillId="0" borderId="11" xfId="177" applyNumberFormat="1" applyFont="1" applyBorder="1" applyAlignment="1">
      <alignment vertical="top"/>
    </xf>
    <xf numFmtId="0" fontId="41" fillId="0" borderId="4" xfId="4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172" fontId="0" fillId="0" borderId="4" xfId="177" applyNumberFormat="1" applyFont="1" applyFill="1" applyBorder="1" applyAlignment="1">
      <alignment vertical="center"/>
    </xf>
    <xf numFmtId="43" fontId="0" fillId="0" borderId="4" xfId="177" applyNumberFormat="1" applyFont="1" applyFill="1" applyBorder="1" applyAlignment="1">
      <alignment vertical="center"/>
    </xf>
    <xf numFmtId="0" fontId="38" fillId="0" borderId="6" xfId="0" applyFont="1" applyFill="1" applyBorder="1" applyAlignment="1">
      <alignment vertical="center"/>
    </xf>
    <xf numFmtId="172" fontId="11" fillId="0" borderId="4" xfId="177" applyNumberFormat="1" applyFont="1" applyFill="1" applyBorder="1" applyAlignment="1">
      <alignment vertical="center"/>
    </xf>
    <xf numFmtId="172" fontId="22" fillId="0" borderId="4" xfId="177" applyNumberFormat="1" applyFont="1" applyFill="1" applyBorder="1" applyAlignment="1">
      <alignment vertical="center"/>
    </xf>
    <xf numFmtId="43" fontId="11" fillId="0" borderId="4" xfId="177" applyNumberFormat="1" applyFont="1" applyFill="1" applyBorder="1" applyAlignment="1">
      <alignment vertical="center"/>
    </xf>
    <xf numFmtId="0" fontId="11" fillId="0" borderId="4" xfId="4" applyFont="1" applyFill="1" applyBorder="1" applyAlignment="1">
      <alignment horizontal="left" vertical="top"/>
    </xf>
    <xf numFmtId="0" fontId="46" fillId="0" borderId="4" xfId="221" applyFont="1" applyFill="1" applyBorder="1" applyAlignment="1">
      <alignment vertical="top"/>
    </xf>
    <xf numFmtId="172" fontId="46" fillId="0" borderId="4" xfId="177" applyNumberFormat="1" applyFont="1" applyFill="1" applyBorder="1" applyAlignment="1">
      <alignment horizontal="left"/>
    </xf>
    <xf numFmtId="172" fontId="46" fillId="0" borderId="4" xfId="177" applyNumberFormat="1" applyFont="1" applyFill="1" applyBorder="1" applyAlignment="1">
      <alignment horizontal="right" vertical="top"/>
    </xf>
    <xf numFmtId="0" fontId="46" fillId="0" borderId="4" xfId="0" applyFont="1" applyFill="1" applyBorder="1" applyAlignment="1">
      <alignment horizontal="left" vertical="top"/>
    </xf>
    <xf numFmtId="0" fontId="11" fillId="0" borderId="4" xfId="219" applyFont="1" applyFill="1" applyBorder="1" applyAlignment="1">
      <alignment horizontal="left" vertical="top"/>
    </xf>
    <xf numFmtId="0" fontId="11" fillId="0" borderId="4" xfId="219" applyFont="1" applyFill="1" applyBorder="1" applyAlignment="1">
      <alignment vertical="top"/>
    </xf>
    <xf numFmtId="0" fontId="11" fillId="0" borderId="4" xfId="220" applyFont="1" applyFill="1" applyBorder="1" applyAlignment="1">
      <alignment horizontal="left" vertical="top"/>
    </xf>
    <xf numFmtId="0" fontId="44" fillId="0" borderId="4" xfId="0" applyFont="1" applyFill="1" applyBorder="1" applyAlignment="1"/>
    <xf numFmtId="172" fontId="47" fillId="0" borderId="4" xfId="177" applyNumberFormat="1" applyFont="1" applyFill="1" applyBorder="1" applyAlignment="1">
      <alignment horizontal="left"/>
    </xf>
    <xf numFmtId="43" fontId="46" fillId="0" borderId="4" xfId="177" applyNumberFormat="1" applyFont="1" applyFill="1" applyBorder="1" applyAlignment="1">
      <alignment horizontal="left"/>
    </xf>
    <xf numFmtId="0" fontId="28" fillId="0" borderId="6" xfId="0" applyFont="1" applyFill="1" applyBorder="1" applyAlignment="1">
      <alignment horizontal="left"/>
    </xf>
    <xf numFmtId="0" fontId="46" fillId="0" borderId="6" xfId="0" applyFont="1" applyFill="1" applyBorder="1" applyAlignment="1">
      <alignment horizontal="left" vertical="top"/>
    </xf>
    <xf numFmtId="0" fontId="28" fillId="0" borderId="6" xfId="0" applyFont="1" applyFill="1" applyBorder="1" applyAlignment="1"/>
    <xf numFmtId="172" fontId="46" fillId="0" borderId="6" xfId="177" applyNumberFormat="1" applyFont="1" applyFill="1" applyBorder="1" applyAlignment="1">
      <alignment horizontal="left"/>
    </xf>
    <xf numFmtId="0" fontId="46" fillId="0" borderId="4" xfId="222" applyFont="1" applyFill="1" applyBorder="1" applyAlignment="1">
      <alignment vertical="top"/>
    </xf>
    <xf numFmtId="0" fontId="46" fillId="0" borderId="4" xfId="223" applyFont="1" applyFill="1" applyBorder="1" applyAlignment="1">
      <alignment vertical="top"/>
    </xf>
    <xf numFmtId="0" fontId="44" fillId="0" borderId="6" xfId="0" applyFont="1" applyFill="1" applyBorder="1" applyAlignment="1"/>
    <xf numFmtId="172" fontId="47" fillId="0" borderId="4" xfId="177" applyNumberFormat="1" applyFont="1" applyFill="1" applyBorder="1" applyAlignment="1">
      <alignment horizontal="right" vertical="top"/>
    </xf>
    <xf numFmtId="43" fontId="46" fillId="0" borderId="4" xfId="177" applyNumberFormat="1" applyFont="1" applyFill="1" applyBorder="1" applyAlignment="1">
      <alignment horizontal="right" vertical="top"/>
    </xf>
    <xf numFmtId="0" fontId="11" fillId="0" borderId="16" xfId="4" applyFont="1" applyFill="1" applyBorder="1" applyAlignment="1">
      <alignment horizontal="left" vertical="top"/>
    </xf>
    <xf numFmtId="0" fontId="46" fillId="0" borderId="11" xfId="222" applyFont="1" applyFill="1" applyBorder="1" applyAlignment="1">
      <alignment vertical="top"/>
    </xf>
    <xf numFmtId="0" fontId="28" fillId="0" borderId="11" xfId="0" applyFont="1" applyFill="1" applyBorder="1" applyAlignment="1"/>
    <xf numFmtId="172" fontId="46" fillId="0" borderId="11" xfId="177" applyNumberFormat="1" applyFont="1" applyFill="1" applyBorder="1" applyAlignment="1">
      <alignment horizontal="left"/>
    </xf>
    <xf numFmtId="172" fontId="46" fillId="0" borderId="11" xfId="177" applyNumberFormat="1" applyFont="1" applyFill="1" applyBorder="1" applyAlignment="1">
      <alignment horizontal="right" vertical="top"/>
    </xf>
    <xf numFmtId="43" fontId="46" fillId="0" borderId="11" xfId="177" applyNumberFormat="1" applyFont="1" applyFill="1" applyBorder="1" applyAlignment="1">
      <alignment horizontal="left"/>
    </xf>
    <xf numFmtId="0" fontId="11" fillId="0" borderId="4" xfId="224" applyFont="1" applyFill="1" applyBorder="1" applyAlignment="1">
      <alignment horizontal="left" vertical="top"/>
    </xf>
    <xf numFmtId="0" fontId="11" fillId="0" borderId="4" xfId="224" applyFont="1" applyFill="1" applyBorder="1" applyAlignment="1">
      <alignment vertical="top"/>
    </xf>
    <xf numFmtId="0" fontId="48" fillId="0" borderId="11" xfId="4" applyFont="1" applyFill="1" applyBorder="1" applyAlignment="1">
      <alignment horizontal="left" vertical="top"/>
    </xf>
    <xf numFmtId="0" fontId="45" fillId="0" borderId="11" xfId="0" applyFont="1" applyFill="1" applyBorder="1" applyAlignment="1"/>
    <xf numFmtId="0" fontId="48" fillId="0" borderId="4" xfId="4" applyFont="1" applyFill="1" applyBorder="1" applyAlignment="1">
      <alignment horizontal="left" vertical="top"/>
    </xf>
    <xf numFmtId="0" fontId="38" fillId="0" borderId="22" xfId="0" applyFont="1" applyFill="1" applyBorder="1" applyAlignment="1"/>
    <xf numFmtId="0" fontId="38" fillId="0" borderId="23" xfId="0" applyFont="1" applyFill="1" applyBorder="1" applyAlignment="1">
      <alignment horizontal="left"/>
    </xf>
    <xf numFmtId="0" fontId="48" fillId="0" borderId="22" xfId="4" applyFont="1" applyFill="1" applyBorder="1" applyAlignment="1">
      <alignment vertical="top"/>
    </xf>
    <xf numFmtId="172" fontId="38" fillId="16" borderId="22" xfId="177" applyNumberFormat="1" applyFont="1" applyFill="1" applyBorder="1"/>
    <xf numFmtId="43" fontId="38" fillId="0" borderId="22" xfId="177" applyNumberFormat="1" applyFont="1" applyFill="1" applyBorder="1"/>
    <xf numFmtId="0" fontId="48" fillId="0" borderId="24" xfId="0" applyFont="1" applyFill="1" applyBorder="1" applyAlignment="1"/>
    <xf numFmtId="0" fontId="48" fillId="0" borderId="4" xfId="4" applyFont="1" applyFill="1" applyBorder="1" applyAlignment="1">
      <alignment vertical="top"/>
    </xf>
    <xf numFmtId="172" fontId="38" fillId="0" borderId="4" xfId="177" applyNumberFormat="1" applyFont="1" applyFill="1" applyBorder="1"/>
    <xf numFmtId="43" fontId="38" fillId="0" borderId="4" xfId="177" applyNumberFormat="1" applyFont="1" applyFill="1" applyBorder="1"/>
    <xf numFmtId="0" fontId="38" fillId="0" borderId="4" xfId="0" applyFont="1" applyFill="1" applyBorder="1" applyAlignment="1">
      <alignment horizontal="left"/>
    </xf>
    <xf numFmtId="172" fontId="1" fillId="0" borderId="4" xfId="177" applyNumberFormat="1" applyFont="1" applyFill="1" applyBorder="1"/>
    <xf numFmtId="0" fontId="38" fillId="0" borderId="11" xfId="0" applyFont="1" applyFill="1" applyBorder="1" applyAlignment="1"/>
    <xf numFmtId="0" fontId="38" fillId="0" borderId="11" xfId="0" applyFont="1" applyFill="1" applyBorder="1" applyAlignment="1">
      <alignment horizontal="left"/>
    </xf>
    <xf numFmtId="172" fontId="1" fillId="0" borderId="11" xfId="177" applyNumberFormat="1" applyFont="1" applyFill="1" applyBorder="1"/>
    <xf numFmtId="43" fontId="38" fillId="0" borderId="11" xfId="177" applyNumberFormat="1" applyFont="1" applyFill="1" applyBorder="1"/>
    <xf numFmtId="0" fontId="38" fillId="16" borderId="25" xfId="0" applyFont="1" applyFill="1" applyBorder="1" applyAlignment="1"/>
    <xf numFmtId="0" fontId="38" fillId="16" borderId="25" xfId="0" applyFont="1" applyFill="1" applyBorder="1" applyAlignment="1">
      <alignment horizontal="left"/>
    </xf>
    <xf numFmtId="172" fontId="38" fillId="16" borderId="25" xfId="177" applyNumberFormat="1" applyFont="1" applyFill="1" applyBorder="1"/>
    <xf numFmtId="43" fontId="38" fillId="16" borderId="25" xfId="177" applyNumberFormat="1" applyFont="1" applyFill="1" applyBorder="1"/>
    <xf numFmtId="0" fontId="0" fillId="16" borderId="0" xfId="0" applyFont="1" applyFill="1" applyAlignment="1"/>
    <xf numFmtId="0" fontId="0" fillId="0" borderId="0" xfId="0" applyFont="1" applyFill="1" applyBorder="1" applyAlignment="1"/>
    <xf numFmtId="0" fontId="11" fillId="0" borderId="0" xfId="213" applyFont="1" applyFill="1" applyBorder="1" applyAlignment="1">
      <alignment vertical="top"/>
    </xf>
    <xf numFmtId="172" fontId="0" fillId="0" borderId="16" xfId="177" applyNumberFormat="1" applyFont="1" applyFill="1" applyBorder="1"/>
    <xf numFmtId="172" fontId="0" fillId="0" borderId="0" xfId="177" applyNumberFormat="1" applyFont="1" applyFill="1" applyBorder="1"/>
    <xf numFmtId="43" fontId="0" fillId="0" borderId="0" xfId="177" applyNumberFormat="1" applyFont="1" applyFill="1" applyBorder="1"/>
    <xf numFmtId="43" fontId="38" fillId="5" borderId="26" xfId="177" applyNumberFormat="1" applyFont="1" applyFill="1" applyBorder="1"/>
    <xf numFmtId="166" fontId="38" fillId="5" borderId="26" xfId="177" applyNumberFormat="1" applyFont="1" applyFill="1" applyBorder="1"/>
    <xf numFmtId="166" fontId="0" fillId="5" borderId="26" xfId="177" applyNumberFormat="1" applyFont="1" applyFill="1" applyBorder="1"/>
    <xf numFmtId="43" fontId="0" fillId="0" borderId="0" xfId="177" applyNumberFormat="1" applyFont="1" applyBorder="1"/>
    <xf numFmtId="0" fontId="38" fillId="0" borderId="27" xfId="0" applyFont="1" applyFill="1" applyBorder="1" applyAlignment="1"/>
    <xf numFmtId="43" fontId="0" fillId="0" borderId="28" xfId="177" applyNumberFormat="1" applyFont="1" applyFill="1" applyBorder="1"/>
    <xf numFmtId="0" fontId="0" fillId="0" borderId="29" xfId="0" applyFont="1" applyFill="1" applyBorder="1" applyAlignment="1"/>
    <xf numFmtId="0" fontId="0" fillId="0" borderId="30" xfId="0" applyFont="1" applyFill="1" applyBorder="1" applyAlignment="1"/>
    <xf numFmtId="0" fontId="38" fillId="0" borderId="0" xfId="0" applyFont="1" applyFill="1" applyAlignment="1">
      <alignment horizontal="center"/>
    </xf>
    <xf numFmtId="0" fontId="38" fillId="17" borderId="32" xfId="0" applyFont="1" applyFill="1" applyBorder="1" applyAlignment="1"/>
    <xf numFmtId="43" fontId="0" fillId="17" borderId="4" xfId="177" applyNumberFormat="1" applyFont="1" applyFill="1" applyBorder="1"/>
    <xf numFmtId="0" fontId="1" fillId="16" borderId="4" xfId="0" applyFont="1" applyFill="1" applyBorder="1" applyAlignment="1">
      <alignment vertical="center"/>
    </xf>
    <xf numFmtId="43" fontId="38" fillId="16" borderId="4" xfId="177" applyNumberFormat="1" applyFont="1" applyFill="1" applyBorder="1" applyAlignment="1">
      <alignment horizontal="center" vertical="center" wrapText="1"/>
    </xf>
    <xf numFmtId="43" fontId="38" fillId="16" borderId="33" xfId="177" applyNumberFormat="1" applyFont="1" applyFill="1" applyBorder="1" applyAlignment="1">
      <alignment horizontal="center" vertical="center" wrapText="1"/>
    </xf>
    <xf numFmtId="0" fontId="41" fillId="0" borderId="32" xfId="0" applyFont="1" applyFill="1" applyBorder="1" applyAlignment="1">
      <alignment vertical="top"/>
    </xf>
    <xf numFmtId="172" fontId="0" fillId="0" borderId="33" xfId="0" applyNumberFormat="1" applyFont="1" applyFill="1" applyBorder="1" applyAlignment="1"/>
    <xf numFmtId="0" fontId="11" fillId="0" borderId="32" xfId="214" applyFont="1" applyFill="1" applyBorder="1" applyAlignment="1">
      <alignment vertical="top"/>
    </xf>
    <xf numFmtId="172" fontId="0" fillId="0" borderId="4" xfId="0" applyNumberFormat="1" applyFont="1" applyFill="1" applyBorder="1" applyAlignment="1"/>
    <xf numFmtId="0" fontId="0" fillId="0" borderId="33" xfId="0" applyFont="1" applyFill="1" applyBorder="1" applyAlignment="1"/>
    <xf numFmtId="0" fontId="11" fillId="0" borderId="32" xfId="220" applyFont="1" applyFill="1" applyBorder="1" applyAlignment="1">
      <alignment vertical="top"/>
    </xf>
    <xf numFmtId="0" fontId="0" fillId="0" borderId="32" xfId="0" applyFont="1" applyFill="1" applyBorder="1" applyAlignment="1"/>
    <xf numFmtId="172" fontId="38" fillId="18" borderId="4" xfId="177" applyNumberFormat="1" applyFont="1" applyFill="1" applyBorder="1"/>
    <xf numFmtId="172" fontId="38" fillId="18" borderId="4" xfId="0" applyNumberFormat="1" applyFont="1" applyFill="1" applyBorder="1" applyAlignment="1"/>
    <xf numFmtId="172" fontId="38" fillId="18" borderId="33" xfId="0" applyNumberFormat="1" applyFont="1" applyFill="1" applyBorder="1" applyAlignment="1"/>
    <xf numFmtId="173" fontId="0" fillId="0" borderId="4" xfId="177" applyNumberFormat="1" applyFont="1" applyFill="1" applyBorder="1" applyAlignment="1"/>
    <xf numFmtId="43" fontId="0" fillId="0" borderId="4" xfId="177" applyNumberFormat="1" applyFont="1" applyFill="1" applyBorder="1" applyAlignment="1">
      <alignment horizontal="center"/>
    </xf>
    <xf numFmtId="166" fontId="0" fillId="0" borderId="0" xfId="177" applyNumberFormat="1" applyFont="1" applyFill="1" applyBorder="1" applyAlignment="1"/>
    <xf numFmtId="0" fontId="22" fillId="0" borderId="32" xfId="4" applyFont="1" applyFill="1" applyBorder="1" applyAlignment="1">
      <alignment vertical="top"/>
    </xf>
    <xf numFmtId="172" fontId="0" fillId="0" borderId="33" xfId="177" applyNumberFormat="1" applyFont="1" applyFill="1" applyBorder="1"/>
    <xf numFmtId="43" fontId="0" fillId="0" borderId="4" xfId="177" applyNumberFormat="1" applyFont="1" applyFill="1" applyBorder="1" applyAlignment="1"/>
    <xf numFmtId="0" fontId="48" fillId="0" borderId="32" xfId="0" applyFont="1" applyFill="1" applyBorder="1" applyAlignment="1">
      <alignment vertical="top"/>
    </xf>
    <xf numFmtId="43" fontId="38" fillId="18" borderId="4" xfId="177" applyNumberFormat="1" applyFont="1" applyFill="1" applyBorder="1"/>
    <xf numFmtId="0" fontId="39" fillId="17" borderId="32" xfId="0" applyFont="1" applyFill="1" applyBorder="1" applyAlignment="1"/>
    <xf numFmtId="0" fontId="0" fillId="17" borderId="4" xfId="0" applyFont="1" applyFill="1" applyBorder="1" applyAlignment="1"/>
    <xf numFmtId="174" fontId="0" fillId="0" borderId="4" xfId="0" applyNumberFormat="1" applyFont="1" applyFill="1" applyBorder="1" applyAlignment="1"/>
    <xf numFmtId="174" fontId="0" fillId="0" borderId="33" xfId="0" applyNumberFormat="1" applyFont="1" applyFill="1" applyBorder="1" applyAlignment="1"/>
    <xf numFmtId="0" fontId="11" fillId="0" borderId="32" xfId="4" applyFont="1" applyFill="1" applyBorder="1" applyAlignment="1">
      <alignment vertical="top"/>
    </xf>
    <xf numFmtId="174" fontId="38" fillId="18" borderId="4" xfId="0" applyNumberFormat="1" applyFont="1" applyFill="1" applyBorder="1" applyAlignment="1"/>
    <xf numFmtId="174" fontId="38" fillId="18" borderId="33" xfId="0" applyNumberFormat="1" applyFont="1" applyFill="1" applyBorder="1" applyAlignment="1"/>
    <xf numFmtId="0" fontId="0" fillId="0" borderId="34" xfId="0" applyFont="1" applyFill="1" applyBorder="1" applyAlignment="1"/>
    <xf numFmtId="43" fontId="0" fillId="0" borderId="25" xfId="177" applyNumberFormat="1" applyFont="1" applyFill="1" applyBorder="1"/>
    <xf numFmtId="0" fontId="0" fillId="0" borderId="25" xfId="0" applyFont="1" applyFill="1" applyBorder="1" applyAlignment="1"/>
    <xf numFmtId="172" fontId="38" fillId="18" borderId="25" xfId="177" applyNumberFormat="1" applyFont="1" applyFill="1" applyBorder="1"/>
    <xf numFmtId="172" fontId="38" fillId="18" borderId="35" xfId="177" applyNumberFormat="1" applyFont="1" applyFill="1" applyBorder="1"/>
    <xf numFmtId="0" fontId="38" fillId="0" borderId="36" xfId="0" applyFont="1" applyFill="1" applyBorder="1" applyAlignment="1"/>
    <xf numFmtId="0" fontId="0" fillId="0" borderId="37" xfId="0" applyFont="1" applyFill="1" applyBorder="1" applyAlignment="1"/>
    <xf numFmtId="175" fontId="0" fillId="0" borderId="38" xfId="177" applyNumberFormat="1" applyFont="1" applyFill="1" applyBorder="1"/>
    <xf numFmtId="175" fontId="0" fillId="0" borderId="37" xfId="177" applyNumberFormat="1" applyFont="1" applyFill="1" applyBorder="1"/>
    <xf numFmtId="0" fontId="38" fillId="0" borderId="39" xfId="0" applyFont="1" applyFill="1" applyBorder="1" applyAlignment="1"/>
    <xf numFmtId="0" fontId="38" fillId="0" borderId="40" xfId="0" applyFont="1" applyFill="1" applyBorder="1" applyAlignment="1"/>
    <xf numFmtId="166" fontId="38" fillId="0" borderId="9" xfId="177" applyNumberFormat="1" applyFont="1" applyFill="1" applyBorder="1" applyAlignment="1"/>
    <xf numFmtId="166" fontId="38" fillId="0" borderId="0" xfId="177" applyNumberFormat="1" applyFont="1" applyFill="1" applyBorder="1" applyAlignment="1"/>
    <xf numFmtId="166" fontId="0" fillId="0" borderId="41" xfId="177" applyNumberFormat="1" applyFont="1" applyFill="1" applyBorder="1" applyAlignment="1"/>
    <xf numFmtId="0" fontId="0" fillId="0" borderId="40" xfId="0" applyFont="1" applyFill="1" applyBorder="1" applyAlignment="1"/>
    <xf numFmtId="166" fontId="0" fillId="0" borderId="9" xfId="177" applyNumberFormat="1" applyFont="1" applyFill="1" applyBorder="1" applyAlignment="1"/>
    <xf numFmtId="166" fontId="38" fillId="0" borderId="4" xfId="177" applyNumberFormat="1" applyFont="1" applyFill="1" applyBorder="1" applyAlignment="1"/>
    <xf numFmtId="166" fontId="38" fillId="0" borderId="7" xfId="177" applyNumberFormat="1" applyFont="1" applyFill="1" applyBorder="1" applyAlignment="1"/>
    <xf numFmtId="166" fontId="38" fillId="5" borderId="33" xfId="177" applyNumberFormat="1" applyFont="1" applyFill="1" applyBorder="1" applyAlignment="1"/>
    <xf numFmtId="172" fontId="0" fillId="0" borderId="0" xfId="0" applyNumberFormat="1" applyFont="1" applyFill="1" applyAlignment="1"/>
    <xf numFmtId="0" fontId="0" fillId="0" borderId="42" xfId="0" applyFont="1" applyFill="1" applyBorder="1" applyAlignment="1"/>
    <xf numFmtId="43" fontId="0" fillId="0" borderId="43" xfId="177" applyNumberFormat="1" applyFont="1" applyFill="1" applyBorder="1"/>
    <xf numFmtId="166" fontId="38" fillId="0" borderId="44" xfId="177" applyNumberFormat="1" applyFont="1" applyFill="1" applyBorder="1" applyAlignment="1"/>
    <xf numFmtId="166" fontId="0" fillId="0" borderId="43" xfId="177" applyNumberFormat="1" applyFont="1" applyFill="1" applyBorder="1" applyAlignment="1"/>
    <xf numFmtId="166" fontId="38" fillId="0" borderId="45" xfId="177" applyNumberFormat="1" applyFont="1" applyFill="1" applyBorder="1" applyAlignment="1"/>
    <xf numFmtId="43" fontId="0" fillId="0" borderId="37" xfId="177" applyNumberFormat="1" applyFont="1" applyBorder="1"/>
    <xf numFmtId="176" fontId="0" fillId="0" borderId="37" xfId="177" applyNumberFormat="1" applyFont="1" applyBorder="1"/>
    <xf numFmtId="43" fontId="0" fillId="0" borderId="46" xfId="177" applyNumberFormat="1" applyFont="1" applyBorder="1"/>
    <xf numFmtId="43" fontId="0" fillId="0" borderId="47" xfId="177" applyNumberFormat="1" applyFont="1" applyBorder="1"/>
    <xf numFmtId="0" fontId="1" fillId="14" borderId="40" xfId="0" applyFont="1" applyFill="1" applyBorder="1" applyAlignment="1"/>
    <xf numFmtId="43" fontId="0" fillId="14" borderId="0" xfId="177" applyNumberFormat="1" applyFont="1" applyFill="1" applyBorder="1"/>
    <xf numFmtId="43" fontId="0" fillId="14" borderId="47" xfId="177" applyNumberFormat="1" applyFont="1" applyFill="1" applyBorder="1"/>
    <xf numFmtId="176" fontId="0" fillId="0" borderId="0" xfId="177" applyNumberFormat="1" applyFont="1" applyBorder="1"/>
    <xf numFmtId="172" fontId="0" fillId="0" borderId="0" xfId="177" applyNumberFormat="1" applyFont="1" applyBorder="1"/>
    <xf numFmtId="166" fontId="0" fillId="0" borderId="47" xfId="0" applyNumberFormat="1" applyFont="1" applyFill="1" applyBorder="1" applyAlignment="1"/>
    <xf numFmtId="0" fontId="1" fillId="5" borderId="40" xfId="0" applyFont="1" applyFill="1" applyBorder="1" applyAlignment="1"/>
    <xf numFmtId="172" fontId="38" fillId="5" borderId="0" xfId="177" applyNumberFormat="1" applyFont="1" applyFill="1" applyBorder="1"/>
    <xf numFmtId="166" fontId="38" fillId="0" borderId="47" xfId="0" applyNumberFormat="1" applyFont="1" applyFill="1" applyBorder="1" applyAlignment="1"/>
    <xf numFmtId="43" fontId="0" fillId="0" borderId="43" xfId="177" applyNumberFormat="1" applyFont="1" applyBorder="1"/>
    <xf numFmtId="0" fontId="0" fillId="0" borderId="43" xfId="0" applyFill="1" applyBorder="1" applyAlignment="1"/>
    <xf numFmtId="166" fontId="0" fillId="0" borderId="48" xfId="0" applyNumberFormat="1" applyFont="1" applyFill="1" applyBorder="1" applyAlignment="1"/>
    <xf numFmtId="0" fontId="3" fillId="5" borderId="9" xfId="1" applyFont="1" applyFill="1" applyBorder="1" applyAlignment="1">
      <alignment horizontal="center"/>
    </xf>
    <xf numFmtId="0" fontId="19" fillId="5" borderId="10" xfId="204" applyFont="1" applyFill="1" applyBorder="1" applyAlignment="1"/>
    <xf numFmtId="10" fontId="3" fillId="5" borderId="0" xfId="1" applyNumberFormat="1" applyFont="1" applyFill="1" applyBorder="1" applyAlignment="1">
      <alignment horizontal="center"/>
    </xf>
    <xf numFmtId="166" fontId="3" fillId="5" borderId="9" xfId="2" applyNumberFormat="1" applyFont="1" applyFill="1" applyBorder="1" applyAlignment="1"/>
    <xf numFmtId="166" fontId="8" fillId="5" borderId="9" xfId="3" applyNumberFormat="1" applyFont="1" applyFill="1" applyBorder="1" applyAlignment="1"/>
    <xf numFmtId="166" fontId="7" fillId="5" borderId="10" xfId="2" applyNumberFormat="1" applyFont="1" applyFill="1" applyBorder="1" applyAlignment="1"/>
    <xf numFmtId="166" fontId="8" fillId="5" borderId="10" xfId="3" applyNumberFormat="1" applyFont="1" applyFill="1" applyBorder="1" applyAlignment="1"/>
    <xf numFmtId="166" fontId="8" fillId="5" borderId="10" xfId="1" applyNumberFormat="1" applyFont="1" applyFill="1" applyBorder="1" applyAlignment="1"/>
    <xf numFmtId="166" fontId="8" fillId="5" borderId="10" xfId="2" applyNumberFormat="1" applyFont="1" applyFill="1" applyBorder="1" applyAlignment="1"/>
    <xf numFmtId="166" fontId="7" fillId="5" borderId="10" xfId="3" applyNumberFormat="1" applyFont="1" applyFill="1" applyBorder="1" applyAlignment="1"/>
    <xf numFmtId="166" fontId="7" fillId="5" borderId="10" xfId="1" applyNumberFormat="1" applyFont="1" applyFill="1" applyBorder="1" applyAlignment="1"/>
    <xf numFmtId="166" fontId="0" fillId="0" borderId="0" xfId="177" applyNumberFormat="1" applyFont="1" applyFill="1" applyAlignment="1"/>
    <xf numFmtId="0" fontId="26" fillId="0" borderId="32" xfId="4" applyFont="1" applyFill="1" applyBorder="1" applyAlignment="1">
      <alignment vertical="top"/>
    </xf>
    <xf numFmtId="43" fontId="25" fillId="0" borderId="4" xfId="177" applyNumberFormat="1" applyFont="1" applyFill="1" applyBorder="1"/>
    <xf numFmtId="0" fontId="25" fillId="0" borderId="40" xfId="0" applyFont="1" applyFill="1" applyBorder="1" applyAlignment="1"/>
    <xf numFmtId="176" fontId="25" fillId="0" borderId="0" xfId="177" applyNumberFormat="1" applyFont="1" applyBorder="1"/>
    <xf numFmtId="166" fontId="25" fillId="0" borderId="0" xfId="177" applyNumberFormat="1" applyFont="1" applyBorder="1"/>
    <xf numFmtId="43" fontId="25" fillId="0" borderId="0" xfId="177" applyNumberFormat="1" applyFont="1" applyBorder="1"/>
    <xf numFmtId="172" fontId="25" fillId="0" borderId="0" xfId="177" applyNumberFormat="1" applyFont="1" applyBorder="1"/>
    <xf numFmtId="166" fontId="25" fillId="0" borderId="47" xfId="0" applyNumberFormat="1" applyFont="1" applyFill="1" applyBorder="1" applyAlignment="1"/>
    <xf numFmtId="166" fontId="0" fillId="0" borderId="0" xfId="0" applyNumberFormat="1" applyFill="1" applyBorder="1" applyAlignment="1"/>
    <xf numFmtId="172" fontId="0" fillId="0" borderId="0" xfId="0" applyNumberFormat="1" applyFont="1" applyFill="1" applyBorder="1" applyAlignment="1"/>
    <xf numFmtId="166" fontId="0" fillId="0" borderId="0" xfId="0" applyNumberFormat="1" applyFont="1" applyFill="1" applyAlignment="1"/>
    <xf numFmtId="166" fontId="3" fillId="0" borderId="0" xfId="1" applyNumberFormat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top" wrapText="1"/>
    </xf>
    <xf numFmtId="0" fontId="6" fillId="0" borderId="11" xfId="1" applyFont="1" applyFill="1" applyBorder="1" applyAlignment="1">
      <alignment horizontal="center" wrapText="1"/>
    </xf>
    <xf numFmtId="0" fontId="6" fillId="0" borderId="9" xfId="1" applyFont="1" applyFill="1" applyBorder="1" applyAlignment="1">
      <alignment horizontal="center" wrapText="1"/>
    </xf>
    <xf numFmtId="0" fontId="6" fillId="0" borderId="15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166" fontId="19" fillId="9" borderId="13" xfId="177" applyNumberFormat="1" applyFont="1" applyFill="1" applyBorder="1" applyAlignment="1">
      <alignment horizontal="center" vertical="center"/>
    </xf>
    <xf numFmtId="166" fontId="19" fillId="5" borderId="13" xfId="177" applyNumberFormat="1" applyFont="1" applyFill="1" applyBorder="1" applyAlignment="1">
      <alignment horizontal="center" vertical="center"/>
    </xf>
    <xf numFmtId="49" fontId="23" fillId="0" borderId="16" xfId="0" applyNumberFormat="1" applyFont="1" applyBorder="1" applyAlignment="1">
      <alignment vertical="top"/>
    </xf>
    <xf numFmtId="43" fontId="1" fillId="14" borderId="4" xfId="177" applyNumberFormat="1" applyFont="1" applyFill="1" applyBorder="1" applyAlignment="1">
      <alignment horizontal="center" vertical="center"/>
    </xf>
    <xf numFmtId="43" fontId="0" fillId="14" borderId="4" xfId="177" applyNumberFormat="1" applyFont="1" applyFill="1" applyBorder="1" applyAlignment="1">
      <alignment horizontal="center" vertical="center"/>
    </xf>
    <xf numFmtId="43" fontId="38" fillId="16" borderId="15" xfId="177" applyNumberFormat="1" applyFont="1" applyFill="1" applyBorder="1" applyAlignment="1">
      <alignment horizontal="center"/>
    </xf>
    <xf numFmtId="43" fontId="38" fillId="16" borderId="31" xfId="177" applyNumberFormat="1" applyFont="1" applyFill="1" applyBorder="1" applyAlignment="1">
      <alignment horizontal="center"/>
    </xf>
  </cellXfs>
  <cellStyles count="225">
    <cellStyle name="Comma" xfId="177" builtinId="3"/>
    <cellStyle name="Comma 10" xfId="5"/>
    <cellStyle name="Comma 11" xfId="6"/>
    <cellStyle name="Comma 12" xfId="7"/>
    <cellStyle name="Comma 13" xfId="8"/>
    <cellStyle name="Comma 16" xfId="187"/>
    <cellStyle name="Comma 2" xfId="9"/>
    <cellStyle name="Comma 2 2" xfId="10"/>
    <cellStyle name="Comma 2 3" xfId="11"/>
    <cellStyle name="Comma 2 4" xfId="12"/>
    <cellStyle name="Comma 2 5" xfId="185"/>
    <cellStyle name="Comma 2 6" xfId="192"/>
    <cellStyle name="Comma 3" xfId="13"/>
    <cellStyle name="Comma 3 2" xfId="14"/>
    <cellStyle name="Comma 4" xfId="15"/>
    <cellStyle name="Comma 5" xfId="16"/>
    <cellStyle name="Comma 6" xfId="3"/>
    <cellStyle name="Comma 7" xfId="17"/>
    <cellStyle name="Comma 8" xfId="18"/>
    <cellStyle name="Comma 9" xfId="2"/>
    <cellStyle name="Currency 2" xfId="19"/>
    <cellStyle name="Hyperlink 2" xfId="20"/>
    <cellStyle name="Normal" xfId="0" builtinId="0"/>
    <cellStyle name="Normal - Style1" xfId="21"/>
    <cellStyle name="Normal 10" xfId="22"/>
    <cellStyle name="Normal 10 2" xfId="23"/>
    <cellStyle name="Normal 101" xfId="178"/>
    <cellStyle name="Normal 101 2" xfId="183"/>
    <cellStyle name="Normal 101 3" xfId="189"/>
    <cellStyle name="Normal 101 4" xfId="197"/>
    <cellStyle name="Normal 102" xfId="179"/>
    <cellStyle name="Normal 102 2" xfId="194"/>
    <cellStyle name="Normal 104" xfId="188"/>
    <cellStyle name="Normal 105" xfId="203"/>
    <cellStyle name="Normal 107" xfId="202"/>
    <cellStyle name="Normal 11" xfId="24"/>
    <cellStyle name="Normal 11 2" xfId="25"/>
    <cellStyle name="Normal 11 3" xfId="209"/>
    <cellStyle name="Normal 12" xfId="26"/>
    <cellStyle name="Normal 12 2" xfId="27"/>
    <cellStyle name="Normal 12 3" xfId="28"/>
    <cellStyle name="Normal 12 4" xfId="210"/>
    <cellStyle name="Normal 13" xfId="29"/>
    <cellStyle name="Normal 13 2" xfId="30"/>
    <cellStyle name="Normal 13 3" xfId="211"/>
    <cellStyle name="Normal 14" xfId="31"/>
    <cellStyle name="Normal 14 2" xfId="32"/>
    <cellStyle name="Normal 14 3" xfId="212"/>
    <cellStyle name="Normal 15" xfId="33"/>
    <cellStyle name="Normal 15 2" xfId="34"/>
    <cellStyle name="Normal 15 3" xfId="213"/>
    <cellStyle name="Normal 16" xfId="35"/>
    <cellStyle name="Normal 16 2" xfId="36"/>
    <cellStyle name="Normal 16 3" xfId="214"/>
    <cellStyle name="Normal 17" xfId="37"/>
    <cellStyle name="Normal 17 2" xfId="38"/>
    <cellStyle name="Normal 18" xfId="39"/>
    <cellStyle name="Normal 19" xfId="40"/>
    <cellStyle name="Normal 19 2" xfId="41"/>
    <cellStyle name="Normal 2" xfId="4"/>
    <cellStyle name="Normal 2 2" xfId="42"/>
    <cellStyle name="Normal 2 2 2" xfId="43"/>
    <cellStyle name="Normal 2 2 3" xfId="180"/>
    <cellStyle name="Normal 2 2 3 2" xfId="186"/>
    <cellStyle name="Normal 2 2 3 2 2" xfId="195"/>
    <cellStyle name="Normal 2 2 3 2 2 2" xfId="196"/>
    <cellStyle name="Normal 2 2 3 2 2 3" xfId="201"/>
    <cellStyle name="Normal 2 2 3 2 3" xfId="200"/>
    <cellStyle name="Normal 2 2 3 3" xfId="190"/>
    <cellStyle name="Normal 2 2 3 4" xfId="198"/>
    <cellStyle name="Normal 2 2 4" xfId="182"/>
    <cellStyle name="Normal 2 2 4 2" xfId="191"/>
    <cellStyle name="Normal 2 2 4 3" xfId="199"/>
    <cellStyle name="Normal 2 2 5" xfId="181"/>
    <cellStyle name="Normal 2 3" xfId="44"/>
    <cellStyle name="Normal 2 4" xfId="45"/>
    <cellStyle name="Normal 2 5" xfId="184"/>
    <cellStyle name="Normal 2 6" xfId="193"/>
    <cellStyle name="Normal 20" xfId="46"/>
    <cellStyle name="Normal 20 2" xfId="47"/>
    <cellStyle name="Normal 20 3" xfId="215"/>
    <cellStyle name="Normal 21" xfId="48"/>
    <cellStyle name="Normal 21 2" xfId="216"/>
    <cellStyle name="Normal 22" xfId="49"/>
    <cellStyle name="Normal 22 2" xfId="50"/>
    <cellStyle name="Normal 23" xfId="51"/>
    <cellStyle name="Normal 23 2" xfId="52"/>
    <cellStyle name="Normal 23 3" xfId="217"/>
    <cellStyle name="Normal 24" xfId="53"/>
    <cellStyle name="Normal 24 2" xfId="218"/>
    <cellStyle name="Normal 25" xfId="54"/>
    <cellStyle name="Normal 25 2" xfId="219"/>
    <cellStyle name="Normal 26" xfId="55"/>
    <cellStyle name="Normal 27" xfId="56"/>
    <cellStyle name="Normal 27 2" xfId="57"/>
    <cellStyle name="Normal 28" xfId="58"/>
    <cellStyle name="Normal 28 2" xfId="59"/>
    <cellStyle name="Normal 29" xfId="60"/>
    <cellStyle name="Normal 29 2" xfId="61"/>
    <cellStyle name="Normal 3" xfId="62"/>
    <cellStyle name="Normal 30" xfId="63"/>
    <cellStyle name="Normal 30 2" xfId="64"/>
    <cellStyle name="Normal 31" xfId="65"/>
    <cellStyle name="Normal 31 2" xfId="66"/>
    <cellStyle name="Normal 32" xfId="67"/>
    <cellStyle name="Normal 32 2" xfId="68"/>
    <cellStyle name="Normal 32 3" xfId="224"/>
    <cellStyle name="Normal 33" xfId="69"/>
    <cellStyle name="Normal 33 2" xfId="70"/>
    <cellStyle name="Normal 33 3" xfId="220"/>
    <cellStyle name="Normal 34" xfId="71"/>
    <cellStyle name="Normal 34 2" xfId="72"/>
    <cellStyle name="Normal 35" xfId="73"/>
    <cellStyle name="Normal 35 2" xfId="74"/>
    <cellStyle name="Normal 36" xfId="75"/>
    <cellStyle name="Normal 36 2" xfId="76"/>
    <cellStyle name="Normal 36 3" xfId="222"/>
    <cellStyle name="Normal 37" xfId="77"/>
    <cellStyle name="Normal 37 2" xfId="78"/>
    <cellStyle name="Normal 38" xfId="79"/>
    <cellStyle name="Normal 38 2" xfId="80"/>
    <cellStyle name="Normal 39" xfId="81"/>
    <cellStyle name="Normal 39 2" xfId="82"/>
    <cellStyle name="Normal 39 3" xfId="221"/>
    <cellStyle name="Normal 4" xfId="83"/>
    <cellStyle name="Normal 40" xfId="84"/>
    <cellStyle name="Normal 40 2" xfId="85"/>
    <cellStyle name="Normal 41" xfId="86"/>
    <cellStyle name="Normal 41 2" xfId="87"/>
    <cellStyle name="Normal 41 3" xfId="223"/>
    <cellStyle name="Normal 42" xfId="88"/>
    <cellStyle name="Normal 42 2" xfId="89"/>
    <cellStyle name="Normal 43" xfId="90"/>
    <cellStyle name="Normal 43 2" xfId="91"/>
    <cellStyle name="Normal 44" xfId="92"/>
    <cellStyle name="Normal 44 2" xfId="93"/>
    <cellStyle name="Normal 45" xfId="94"/>
    <cellStyle name="Normal 45 2" xfId="95"/>
    <cellStyle name="Normal 46" xfId="96"/>
    <cellStyle name="Normal 46 2" xfId="97"/>
    <cellStyle name="Normal 47" xfId="98"/>
    <cellStyle name="Normal 48" xfId="99"/>
    <cellStyle name="Normal 48 2" xfId="100"/>
    <cellStyle name="Normal 49" xfId="101"/>
    <cellStyle name="Normal 49 2" xfId="102"/>
    <cellStyle name="Normal 5" xfId="1"/>
    <cellStyle name="Normal 5 2" xfId="204"/>
    <cellStyle name="Normal 50" xfId="103"/>
    <cellStyle name="Normal 50 2" xfId="104"/>
    <cellStyle name="Normal 51" xfId="105"/>
    <cellStyle name="Normal 51 2" xfId="106"/>
    <cellStyle name="Normal 52" xfId="107"/>
    <cellStyle name="Normal 52 2" xfId="108"/>
    <cellStyle name="Normal 53" xfId="109"/>
    <cellStyle name="Normal 53 2" xfId="110"/>
    <cellStyle name="Normal 54" xfId="111"/>
    <cellStyle name="Normal 54 2" xfId="112"/>
    <cellStyle name="Normal 55" xfId="113"/>
    <cellStyle name="Normal 55 2" xfId="114"/>
    <cellStyle name="Normal 56" xfId="115"/>
    <cellStyle name="Normal 56 2" xfId="116"/>
    <cellStyle name="Normal 57" xfId="117"/>
    <cellStyle name="Normal 57 2" xfId="118"/>
    <cellStyle name="Normal 58" xfId="119"/>
    <cellStyle name="Normal 58 2" xfId="120"/>
    <cellStyle name="Normal 59" xfId="121"/>
    <cellStyle name="Normal 59 2" xfId="122"/>
    <cellStyle name="Normal 6" xfId="123"/>
    <cellStyle name="Normal 6 2" xfId="205"/>
    <cellStyle name="Normal 60" xfId="124"/>
    <cellStyle name="Normal 60 2" xfId="125"/>
    <cellStyle name="Normal 61" xfId="126"/>
    <cellStyle name="Normal 61 2" xfId="127"/>
    <cellStyle name="Normal 62" xfId="128"/>
    <cellStyle name="Normal 62 2" xfId="129"/>
    <cellStyle name="Normal 63" xfId="130"/>
    <cellStyle name="Normal 64" xfId="131"/>
    <cellStyle name="Normal 65" xfId="132"/>
    <cellStyle name="Normal 66" xfId="133"/>
    <cellStyle name="Normal 67" xfId="134"/>
    <cellStyle name="Normal 67 2" xfId="135"/>
    <cellStyle name="Normal 68" xfId="136"/>
    <cellStyle name="Normal 68 2" xfId="137"/>
    <cellStyle name="Normal 69" xfId="138"/>
    <cellStyle name="Normal 7" xfId="139"/>
    <cellStyle name="Normal 7 2" xfId="140"/>
    <cellStyle name="Normal 7 3" xfId="206"/>
    <cellStyle name="Normal 70" xfId="141"/>
    <cellStyle name="Normal 71" xfId="142"/>
    <cellStyle name="Normal 72" xfId="143"/>
    <cellStyle name="Normal 73" xfId="144"/>
    <cellStyle name="Normal 74" xfId="145"/>
    <cellStyle name="Normal 75" xfId="146"/>
    <cellStyle name="Normal 76" xfId="147"/>
    <cellStyle name="Normal 77" xfId="148"/>
    <cellStyle name="Normal 78" xfId="149"/>
    <cellStyle name="Normal 79" xfId="150"/>
    <cellStyle name="Normal 8" xfId="151"/>
    <cellStyle name="Normal 8 2" xfId="152"/>
    <cellStyle name="Normal 8 3" xfId="207"/>
    <cellStyle name="Normal 80" xfId="153"/>
    <cellStyle name="Normal 81" xfId="154"/>
    <cellStyle name="Normal 82" xfId="155"/>
    <cellStyle name="Normal 83" xfId="156"/>
    <cellStyle name="Normal 84" xfId="157"/>
    <cellStyle name="Normal 85" xfId="158"/>
    <cellStyle name="Normal 86" xfId="159"/>
    <cellStyle name="Normal 87" xfId="160"/>
    <cellStyle name="Normal 88" xfId="161"/>
    <cellStyle name="Normal 89" xfId="162"/>
    <cellStyle name="Normal 9" xfId="163"/>
    <cellStyle name="Normal 9 2" xfId="164"/>
    <cellStyle name="Normal 9 3" xfId="208"/>
    <cellStyle name="Normal 90" xfId="165"/>
    <cellStyle name="Normal 91" xfId="166"/>
    <cellStyle name="Normal 92" xfId="167"/>
    <cellStyle name="Normal 93" xfId="168"/>
    <cellStyle name="Normal 94" xfId="169"/>
    <cellStyle name="Normal 95" xfId="170"/>
    <cellStyle name="Normal 96" xfId="171"/>
    <cellStyle name="Normal 97" xfId="172"/>
    <cellStyle name="Normal 98" xfId="173"/>
    <cellStyle name="Normal 99" xfId="174"/>
    <cellStyle name="Percent 2" xfId="175"/>
    <cellStyle name="Percent 3" xfId="1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0</xdr:row>
      <xdr:rowOff>104774</xdr:rowOff>
    </xdr:from>
    <xdr:to>
      <xdr:col>13</xdr:col>
      <xdr:colOff>1085850</xdr:colOff>
      <xdr:row>3</xdr:row>
      <xdr:rowOff>190147</xdr:rowOff>
    </xdr:to>
    <xdr:pic>
      <xdr:nvPicPr>
        <xdr:cNvPr id="2" name="Picture 1" descr="rId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229600" y="104774"/>
          <a:ext cx="304800" cy="656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0</xdr:row>
      <xdr:rowOff>104774</xdr:rowOff>
    </xdr:from>
    <xdr:to>
      <xdr:col>13</xdr:col>
      <xdr:colOff>1085850</xdr:colOff>
      <xdr:row>3</xdr:row>
      <xdr:rowOff>190147</xdr:rowOff>
    </xdr:to>
    <xdr:pic>
      <xdr:nvPicPr>
        <xdr:cNvPr id="2" name="Picture 1" descr="rId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287125" y="104774"/>
          <a:ext cx="781050" cy="752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ML%20Dep_09.06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New%20Microsoft%20Office%20Excel%20Workshe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ML%20New%20Project%20Report%20Updated%20upto%2030.07.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swa/Desktop/Amit%20metalics%20BS%202016/2016%20print/BS%20&amp;%20PL%202015-16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G2">
            <v>-1473.7</v>
          </cell>
          <cell r="I2">
            <v>-152</v>
          </cell>
        </row>
        <row r="3">
          <cell r="G3">
            <v>-47473.4</v>
          </cell>
          <cell r="I3">
            <v>0</v>
          </cell>
        </row>
        <row r="4">
          <cell r="G4">
            <v>-25431.84</v>
          </cell>
          <cell r="I4">
            <v>-2670.39</v>
          </cell>
        </row>
        <row r="5">
          <cell r="G5">
            <v>-16557.810000000001</v>
          </cell>
          <cell r="I5">
            <v>-1827.36</v>
          </cell>
        </row>
        <row r="6">
          <cell r="G6">
            <v>-1530691.79</v>
          </cell>
          <cell r="I6">
            <v>-195845.03</v>
          </cell>
        </row>
        <row r="7">
          <cell r="I7">
            <v>-200494.78</v>
          </cell>
        </row>
        <row r="9">
          <cell r="G9">
            <v>-8931.33</v>
          </cell>
          <cell r="I9">
            <v>-740.53</v>
          </cell>
        </row>
        <row r="10">
          <cell r="G10">
            <v>-26366383.579999998</v>
          </cell>
          <cell r="I10">
            <v>-2119394.27</v>
          </cell>
        </row>
        <row r="11">
          <cell r="G11">
            <v>-29837892.489999998</v>
          </cell>
          <cell r="I11">
            <v>-3265616.23</v>
          </cell>
        </row>
        <row r="12">
          <cell r="G12">
            <v>-3962030.09</v>
          </cell>
          <cell r="I12">
            <v>-562340.78</v>
          </cell>
        </row>
        <row r="13">
          <cell r="I13">
            <v>-5948091.8099999996</v>
          </cell>
        </row>
        <row r="33">
          <cell r="I33">
            <v>-15243.27</v>
          </cell>
        </row>
        <row r="35">
          <cell r="I35">
            <v>-139960.94</v>
          </cell>
        </row>
        <row r="61">
          <cell r="G61">
            <v>-343042.85</v>
          </cell>
          <cell r="I61">
            <v>-36311.85</v>
          </cell>
        </row>
        <row r="62">
          <cell r="G62">
            <v>-217853.46</v>
          </cell>
          <cell r="I62">
            <v>-23060.25</v>
          </cell>
        </row>
        <row r="63">
          <cell r="G63">
            <v>-58737.27</v>
          </cell>
          <cell r="I63">
            <v>-6217.47</v>
          </cell>
        </row>
        <row r="64">
          <cell r="G64">
            <v>-5208031.71</v>
          </cell>
          <cell r="I64">
            <v>-551281.25</v>
          </cell>
        </row>
        <row r="65">
          <cell r="G65">
            <v>-1481925.76</v>
          </cell>
          <cell r="I65">
            <v>-156865</v>
          </cell>
        </row>
        <row r="66">
          <cell r="G66">
            <v>-89411.29</v>
          </cell>
          <cell r="I66">
            <v>-9464.3799999999992</v>
          </cell>
        </row>
        <row r="67">
          <cell r="G67">
            <v>0</v>
          </cell>
          <cell r="I67">
            <v>0</v>
          </cell>
        </row>
        <row r="68">
          <cell r="G68">
            <v>-1116070.3899999999</v>
          </cell>
          <cell r="I68">
            <v>-118138.39</v>
          </cell>
        </row>
        <row r="69">
          <cell r="G69">
            <v>-192483.09</v>
          </cell>
          <cell r="I69">
            <v>-20374.75</v>
          </cell>
        </row>
        <row r="70">
          <cell r="G70">
            <v>-470003.6</v>
          </cell>
          <cell r="I70">
            <v>-49750.879999999997</v>
          </cell>
        </row>
        <row r="71">
          <cell r="G71">
            <v>-718610.95</v>
          </cell>
          <cell r="I71">
            <v>-76066.5</v>
          </cell>
        </row>
        <row r="72">
          <cell r="G72">
            <v>-366171.19</v>
          </cell>
          <cell r="I72">
            <v>-38760</v>
          </cell>
        </row>
        <row r="73">
          <cell r="G73">
            <v>-792030.98</v>
          </cell>
          <cell r="I73">
            <v>-83838.17</v>
          </cell>
        </row>
        <row r="74">
          <cell r="G74">
            <v>-58336.1</v>
          </cell>
          <cell r="I74">
            <v>-6175</v>
          </cell>
        </row>
        <row r="75">
          <cell r="G75">
            <v>-217765.5</v>
          </cell>
          <cell r="I75">
            <v>-23050.94</v>
          </cell>
        </row>
        <row r="76">
          <cell r="G76">
            <v>-753881.86</v>
          </cell>
          <cell r="I76">
            <v>-79800</v>
          </cell>
        </row>
        <row r="77">
          <cell r="G77">
            <v>0</v>
          </cell>
          <cell r="I77">
            <v>0</v>
          </cell>
        </row>
        <row r="78">
          <cell r="G78">
            <v>-44745.13</v>
          </cell>
          <cell r="I78">
            <v>-4736.37</v>
          </cell>
        </row>
        <row r="79">
          <cell r="G79">
            <v>-22636.2</v>
          </cell>
          <cell r="I79">
            <v>-2396.09</v>
          </cell>
        </row>
        <row r="80">
          <cell r="G80">
            <v>-1414874.7</v>
          </cell>
          <cell r="I80">
            <v>-149767.5</v>
          </cell>
        </row>
        <row r="81">
          <cell r="G81">
            <v>-1122590.6599999999</v>
          </cell>
          <cell r="I81">
            <v>-118828.61</v>
          </cell>
        </row>
        <row r="82">
          <cell r="G82">
            <v>-12075797.140000001</v>
          </cell>
          <cell r="I82">
            <v>-1278248.8500000001</v>
          </cell>
        </row>
        <row r="83">
          <cell r="G83">
            <v>-922010.53</v>
          </cell>
          <cell r="I83">
            <v>-97596.78</v>
          </cell>
        </row>
        <row r="84">
          <cell r="G84">
            <v>-1342801.77</v>
          </cell>
          <cell r="I84">
            <v>-142139.38</v>
          </cell>
        </row>
        <row r="85">
          <cell r="G85">
            <v>-10135808.73</v>
          </cell>
          <cell r="I85">
            <v>-1072896.94</v>
          </cell>
        </row>
        <row r="86">
          <cell r="G86">
            <v>-54222.96</v>
          </cell>
          <cell r="I86">
            <v>-5739.62</v>
          </cell>
        </row>
        <row r="87">
          <cell r="G87">
            <v>-679220.63</v>
          </cell>
          <cell r="I87">
            <v>-71896.95</v>
          </cell>
        </row>
        <row r="88">
          <cell r="G88">
            <v>-4543.49</v>
          </cell>
          <cell r="I88">
            <v>-480.94</v>
          </cell>
        </row>
        <row r="89">
          <cell r="G89">
            <v>-258595.39</v>
          </cell>
          <cell r="I89">
            <v>-27372.87</v>
          </cell>
        </row>
        <row r="90">
          <cell r="G90">
            <v>-136523.07</v>
          </cell>
          <cell r="I90">
            <v>-14451.26</v>
          </cell>
        </row>
        <row r="91">
          <cell r="G91">
            <v>-420658.44</v>
          </cell>
          <cell r="I91">
            <v>-44527.59</v>
          </cell>
        </row>
        <row r="92">
          <cell r="G92">
            <v>-54753.81</v>
          </cell>
          <cell r="I92">
            <v>-5795.81</v>
          </cell>
        </row>
        <row r="93">
          <cell r="G93">
            <v>-508726.21</v>
          </cell>
          <cell r="I93">
            <v>-53849.75</v>
          </cell>
        </row>
        <row r="94">
          <cell r="G94">
            <v>-1398987.08</v>
          </cell>
          <cell r="I94">
            <v>-148085.76000000001</v>
          </cell>
        </row>
        <row r="95">
          <cell r="G95">
            <v>-3303226.24</v>
          </cell>
          <cell r="I95">
            <v>-349653.53</v>
          </cell>
        </row>
        <row r="96">
          <cell r="G96">
            <v>-5384870.4000000004</v>
          </cell>
          <cell r="I96">
            <v>-570000</v>
          </cell>
        </row>
        <row r="97">
          <cell r="G97">
            <v>-483928.88</v>
          </cell>
          <cell r="I97">
            <v>-51224.9</v>
          </cell>
        </row>
        <row r="98">
          <cell r="G98">
            <v>-1249285.8899999999</v>
          </cell>
          <cell r="I98">
            <v>-132239.57</v>
          </cell>
        </row>
        <row r="99">
          <cell r="G99">
            <v>-722926.03</v>
          </cell>
          <cell r="I99">
            <v>-76523.259999999995</v>
          </cell>
        </row>
        <row r="100">
          <cell r="G100">
            <v>-1285058.94</v>
          </cell>
          <cell r="I100">
            <v>-136026.23000000001</v>
          </cell>
        </row>
        <row r="101">
          <cell r="G101">
            <v>-2028781.78</v>
          </cell>
          <cell r="I101">
            <v>-214750.87</v>
          </cell>
        </row>
        <row r="102">
          <cell r="G102">
            <v>-40757011.579999998</v>
          </cell>
          <cell r="I102">
            <v>-4314216.4800000004</v>
          </cell>
        </row>
        <row r="103">
          <cell r="G103">
            <v>-387149.75</v>
          </cell>
          <cell r="I103">
            <v>-40980.629999999997</v>
          </cell>
        </row>
        <row r="104">
          <cell r="G104">
            <v>-1738114.56</v>
          </cell>
          <cell r="I104">
            <v>-183983.13</v>
          </cell>
        </row>
        <row r="105">
          <cell r="G105">
            <v>-204745.34</v>
          </cell>
          <cell r="I105">
            <v>-21672.73</v>
          </cell>
        </row>
        <row r="106">
          <cell r="G106">
            <v>-16940.8</v>
          </cell>
          <cell r="I106">
            <v>-1793.22</v>
          </cell>
        </row>
        <row r="107">
          <cell r="G107">
            <v>-67388.509999999995</v>
          </cell>
          <cell r="I107">
            <v>-7133.22</v>
          </cell>
        </row>
        <row r="108">
          <cell r="G108">
            <v>-22401.06</v>
          </cell>
          <cell r="I108">
            <v>-2371.1999999999998</v>
          </cell>
        </row>
        <row r="116">
          <cell r="G116">
            <v>-164044.38</v>
          </cell>
          <cell r="I116">
            <v>-25412.5</v>
          </cell>
        </row>
        <row r="117">
          <cell r="G117">
            <v>-198668.16</v>
          </cell>
          <cell r="I117">
            <v>-30776.15</v>
          </cell>
        </row>
        <row r="123">
          <cell r="I123">
            <v>-84975.360000000001</v>
          </cell>
        </row>
        <row r="152">
          <cell r="I152">
            <v>-36849.08</v>
          </cell>
        </row>
        <row r="153">
          <cell r="I153">
            <v>-429902.13</v>
          </cell>
        </row>
        <row r="154">
          <cell r="I154">
            <v>-121426.53</v>
          </cell>
        </row>
        <row r="162">
          <cell r="I162">
            <v>-116803.88</v>
          </cell>
        </row>
        <row r="163">
          <cell r="I163">
            <v>-12785.99</v>
          </cell>
        </row>
        <row r="202">
          <cell r="I202">
            <v>-30262.05</v>
          </cell>
        </row>
        <row r="203">
          <cell r="I203">
            <v>-1926.03</v>
          </cell>
        </row>
        <row r="204">
          <cell r="I204">
            <v>-16964841.859999999</v>
          </cell>
        </row>
        <row r="212">
          <cell r="I212">
            <v>-712.5</v>
          </cell>
        </row>
        <row r="213">
          <cell r="I213">
            <v>-2707.5</v>
          </cell>
        </row>
        <row r="215">
          <cell r="I215">
            <v>-703.95</v>
          </cell>
        </row>
        <row r="216">
          <cell r="I216">
            <v>-907.25</v>
          </cell>
        </row>
        <row r="217">
          <cell r="G217">
            <v>-2655</v>
          </cell>
          <cell r="I217">
            <v>-2375</v>
          </cell>
        </row>
        <row r="218">
          <cell r="I218">
            <v>-8550</v>
          </cell>
        </row>
        <row r="219">
          <cell r="I219">
            <v>-2294.4899999999998</v>
          </cell>
        </row>
        <row r="223">
          <cell r="G223">
            <v>-332.5</v>
          </cell>
          <cell r="I223">
            <v>-332.5</v>
          </cell>
        </row>
        <row r="224">
          <cell r="G224">
            <v>-798</v>
          </cell>
          <cell r="I224">
            <v>-798</v>
          </cell>
        </row>
        <row r="225">
          <cell r="G225">
            <v>-2888</v>
          </cell>
          <cell r="I225">
            <v>-2888</v>
          </cell>
        </row>
        <row r="240">
          <cell r="G240">
            <v>-267729</v>
          </cell>
        </row>
        <row r="241">
          <cell r="G241">
            <v>-247950</v>
          </cell>
        </row>
        <row r="242">
          <cell r="G242">
            <v>-16031.25</v>
          </cell>
        </row>
        <row r="249">
          <cell r="G249">
            <v>-7836895.7999999998</v>
          </cell>
        </row>
        <row r="253">
          <cell r="G253">
            <v>-243559.08</v>
          </cell>
          <cell r="I253">
            <v>-15699.49</v>
          </cell>
        </row>
        <row r="254">
          <cell r="G254">
            <v>-53929</v>
          </cell>
          <cell r="I254">
            <v>-3476.22</v>
          </cell>
        </row>
        <row r="255">
          <cell r="G255">
            <v>-177865.32</v>
          </cell>
          <cell r="I255">
            <v>-11464.96</v>
          </cell>
        </row>
        <row r="256">
          <cell r="G256">
            <v>-337123.26</v>
          </cell>
          <cell r="I256">
            <v>-21730.51</v>
          </cell>
        </row>
        <row r="257">
          <cell r="G257">
            <v>-218809.75</v>
          </cell>
          <cell r="I257">
            <v>-14104.18</v>
          </cell>
        </row>
        <row r="258">
          <cell r="G258">
            <v>-4279516.5999999996</v>
          </cell>
          <cell r="I258">
            <v>-275851.84000000003</v>
          </cell>
        </row>
        <row r="259">
          <cell r="G259">
            <v>-265367.13</v>
          </cell>
          <cell r="I259">
            <v>-17105.21</v>
          </cell>
        </row>
        <row r="260">
          <cell r="G260">
            <v>-30819</v>
          </cell>
          <cell r="I260">
            <v>-1986.41</v>
          </cell>
        </row>
        <row r="261">
          <cell r="G261">
            <v>-12273344.470000001</v>
          </cell>
          <cell r="I261">
            <v>-791123.15</v>
          </cell>
        </row>
        <row r="262">
          <cell r="G262">
            <v>-2418264.98</v>
          </cell>
          <cell r="I262">
            <v>-155878.07999999999</v>
          </cell>
        </row>
        <row r="263">
          <cell r="G263">
            <v>-5565379.6100000003</v>
          </cell>
          <cell r="I263">
            <v>-358736.83</v>
          </cell>
        </row>
        <row r="264">
          <cell r="G264">
            <v>-12357653.32</v>
          </cell>
          <cell r="I264">
            <v>-796557.58</v>
          </cell>
        </row>
        <row r="265">
          <cell r="G265">
            <v>-334704.99</v>
          </cell>
          <cell r="I265">
            <v>-21574.63</v>
          </cell>
        </row>
        <row r="266">
          <cell r="G266">
            <v>-34141.620000000003</v>
          </cell>
          <cell r="I266">
            <v>-2200.7199999999998</v>
          </cell>
        </row>
        <row r="267">
          <cell r="G267">
            <v>-4370236.25</v>
          </cell>
          <cell r="I267">
            <v>-281699.5</v>
          </cell>
        </row>
        <row r="268">
          <cell r="G268">
            <v>-57920.69</v>
          </cell>
        </row>
        <row r="274">
          <cell r="I274">
            <v>-6246.58</v>
          </cell>
        </row>
        <row r="275">
          <cell r="I275">
            <v>-22687.22</v>
          </cell>
        </row>
        <row r="276">
          <cell r="I276">
            <v>-2852274.67</v>
          </cell>
        </row>
        <row r="328">
          <cell r="G328">
            <v>-21600.720000000001</v>
          </cell>
          <cell r="I328">
            <v>-969.66</v>
          </cell>
        </row>
        <row r="329">
          <cell r="G329">
            <v>-7130.6</v>
          </cell>
          <cell r="I329">
            <v>-320.08999999999997</v>
          </cell>
        </row>
        <row r="330">
          <cell r="G330">
            <v>-9328.73</v>
          </cell>
          <cell r="I330">
            <v>-6977.43</v>
          </cell>
        </row>
        <row r="331">
          <cell r="I331">
            <v>-2137.5</v>
          </cell>
        </row>
        <row r="332">
          <cell r="I332">
            <v>-1393.33</v>
          </cell>
        </row>
        <row r="333">
          <cell r="I333">
            <v>-275.5</v>
          </cell>
        </row>
        <row r="334">
          <cell r="I334">
            <v>-2834.17</v>
          </cell>
        </row>
        <row r="335">
          <cell r="I335">
            <v>-1694.17</v>
          </cell>
        </row>
        <row r="336">
          <cell r="I336">
            <v>-145.66999999999999</v>
          </cell>
        </row>
        <row r="337">
          <cell r="I337">
            <v>-1849.33</v>
          </cell>
        </row>
        <row r="338">
          <cell r="I338">
            <v>-247</v>
          </cell>
        </row>
        <row r="339">
          <cell r="I339">
            <v>-918.33</v>
          </cell>
        </row>
        <row r="340">
          <cell r="G340">
            <v>-2780.22</v>
          </cell>
          <cell r="I340">
            <v>-2469.0500000000002</v>
          </cell>
        </row>
        <row r="341">
          <cell r="G341">
            <v>-7174.45</v>
          </cell>
          <cell r="I341">
            <v>-6387.01</v>
          </cell>
        </row>
        <row r="342">
          <cell r="I342">
            <v>-5232.92</v>
          </cell>
        </row>
        <row r="343">
          <cell r="G343">
            <v>-7174.45</v>
          </cell>
          <cell r="I343">
            <v>-6387.01</v>
          </cell>
        </row>
        <row r="344">
          <cell r="G344">
            <v>-2972.42</v>
          </cell>
          <cell r="I344">
            <v>-2732.83</v>
          </cell>
        </row>
        <row r="345">
          <cell r="G345">
            <v>-1177.48</v>
          </cell>
          <cell r="I345">
            <v>-1140</v>
          </cell>
        </row>
        <row r="346">
          <cell r="G346">
            <v>-3107.23</v>
          </cell>
          <cell r="I346">
            <v>-3008.33</v>
          </cell>
        </row>
        <row r="347">
          <cell r="I347">
            <v>-9816.67</v>
          </cell>
        </row>
        <row r="348">
          <cell r="I348">
            <v>-9452.5</v>
          </cell>
        </row>
        <row r="349">
          <cell r="I349">
            <v>-2248.33</v>
          </cell>
        </row>
        <row r="350">
          <cell r="I350">
            <v>-14218.33</v>
          </cell>
        </row>
        <row r="351">
          <cell r="I351">
            <v>-13775</v>
          </cell>
        </row>
        <row r="352">
          <cell r="I352">
            <v>-44763.05</v>
          </cell>
        </row>
        <row r="353">
          <cell r="I353">
            <v>-36363.019999999997</v>
          </cell>
        </row>
        <row r="354">
          <cell r="I354">
            <v>-15833.33</v>
          </cell>
        </row>
        <row r="355">
          <cell r="I355">
            <v>-25794.720000000001</v>
          </cell>
        </row>
        <row r="356">
          <cell r="I356">
            <v>-5098.87</v>
          </cell>
        </row>
        <row r="357">
          <cell r="I357">
            <v>-1972.45</v>
          </cell>
        </row>
        <row r="358">
          <cell r="I358">
            <v>-751.41</v>
          </cell>
        </row>
        <row r="359">
          <cell r="I359">
            <v>-12183.43</v>
          </cell>
        </row>
        <row r="360">
          <cell r="I360">
            <v>-23037.5</v>
          </cell>
        </row>
        <row r="361">
          <cell r="I361">
            <v>0</v>
          </cell>
        </row>
        <row r="362">
          <cell r="I362">
            <v>-2881.67</v>
          </cell>
        </row>
        <row r="363">
          <cell r="I363">
            <v>-6038.13</v>
          </cell>
        </row>
        <row r="364">
          <cell r="I364">
            <v>-1100.0999999999999</v>
          </cell>
        </row>
        <row r="365">
          <cell r="I365">
            <v>-3488.4</v>
          </cell>
        </row>
        <row r="366">
          <cell r="I366">
            <v>-12255</v>
          </cell>
        </row>
        <row r="367">
          <cell r="I367">
            <v>-3006.75</v>
          </cell>
        </row>
        <row r="368">
          <cell r="I368">
            <v>-5304.17</v>
          </cell>
        </row>
        <row r="369">
          <cell r="I369">
            <v>-482.92</v>
          </cell>
        </row>
        <row r="370">
          <cell r="I370">
            <v>-10070</v>
          </cell>
        </row>
        <row r="371">
          <cell r="I371">
            <v>-12300.63</v>
          </cell>
        </row>
        <row r="372">
          <cell r="I372">
            <v>-1650.47</v>
          </cell>
        </row>
        <row r="373">
          <cell r="I373">
            <v>-2549.4299999999998</v>
          </cell>
        </row>
        <row r="374">
          <cell r="I374">
            <v>-6725.48</v>
          </cell>
        </row>
        <row r="375">
          <cell r="I375">
            <v>-6725.48</v>
          </cell>
        </row>
        <row r="376">
          <cell r="I376">
            <v>-4904.03</v>
          </cell>
        </row>
        <row r="377">
          <cell r="I377">
            <v>-8187.6</v>
          </cell>
        </row>
        <row r="378">
          <cell r="I378">
            <v>-26114.16</v>
          </cell>
        </row>
        <row r="379">
          <cell r="I379">
            <v>-12146.12</v>
          </cell>
        </row>
        <row r="380">
          <cell r="I380">
            <v>-264.18</v>
          </cell>
        </row>
        <row r="381">
          <cell r="I381">
            <v>-1612.38</v>
          </cell>
        </row>
        <row r="382">
          <cell r="I382">
            <v>-3279.45</v>
          </cell>
        </row>
        <row r="383">
          <cell r="I383">
            <v>-1639.73</v>
          </cell>
        </row>
        <row r="384">
          <cell r="I384">
            <v>-1639.73</v>
          </cell>
        </row>
        <row r="385">
          <cell r="I385">
            <v>-1639.73</v>
          </cell>
        </row>
        <row r="386">
          <cell r="I386">
            <v>-1639.73</v>
          </cell>
        </row>
        <row r="387">
          <cell r="I387">
            <v>-908.04</v>
          </cell>
        </row>
        <row r="388">
          <cell r="I388">
            <v>-612.16</v>
          </cell>
        </row>
        <row r="389">
          <cell r="I389">
            <v>-371.67</v>
          </cell>
        </row>
        <row r="390">
          <cell r="I390">
            <v>-196.77</v>
          </cell>
        </row>
        <row r="391">
          <cell r="I391">
            <v>-196.77</v>
          </cell>
        </row>
        <row r="392">
          <cell r="I392">
            <v>-30.51</v>
          </cell>
        </row>
        <row r="393">
          <cell r="I393">
            <v>-12.87</v>
          </cell>
        </row>
        <row r="394">
          <cell r="I394">
            <v>-402402.2</v>
          </cell>
        </row>
        <row r="399">
          <cell r="G399">
            <v>-12350</v>
          </cell>
        </row>
        <row r="400">
          <cell r="G400">
            <v>-11756.25</v>
          </cell>
        </row>
        <row r="417">
          <cell r="G417">
            <v>-10592.43</v>
          </cell>
        </row>
        <row r="419">
          <cell r="G419">
            <v>-7362.26</v>
          </cell>
        </row>
        <row r="421">
          <cell r="G421">
            <v>-4368.66</v>
          </cell>
          <cell r="I421">
            <v>0</v>
          </cell>
        </row>
        <row r="422">
          <cell r="G422">
            <v>-33238.839999999997</v>
          </cell>
        </row>
        <row r="424">
          <cell r="G424">
            <v>-10873.46</v>
          </cell>
        </row>
        <row r="426">
          <cell r="G426">
            <v>-5307.19</v>
          </cell>
        </row>
        <row r="427">
          <cell r="G427">
            <v>-21365.58</v>
          </cell>
          <cell r="I427">
            <v>-117.72</v>
          </cell>
        </row>
        <row r="430">
          <cell r="G430">
            <v>-4638.08</v>
          </cell>
          <cell r="I430">
            <v>-111.92</v>
          </cell>
        </row>
        <row r="432">
          <cell r="G432">
            <v>-4627.67</v>
          </cell>
          <cell r="I432">
            <v>-122.33</v>
          </cell>
        </row>
        <row r="435">
          <cell r="G435">
            <v>-180415.45</v>
          </cell>
          <cell r="I435">
            <v>0</v>
          </cell>
        </row>
        <row r="437">
          <cell r="G437">
            <v>-4617.26</v>
          </cell>
          <cell r="I437">
            <v>-132.74</v>
          </cell>
        </row>
        <row r="438">
          <cell r="G438">
            <v>-45155.01</v>
          </cell>
          <cell r="I438">
            <v>-1962.14</v>
          </cell>
        </row>
        <row r="441">
          <cell r="G441">
            <v>-13317.33</v>
          </cell>
          <cell r="I441">
            <v>-837.67</v>
          </cell>
        </row>
        <row r="442">
          <cell r="G442">
            <v>-27889.83</v>
          </cell>
          <cell r="I442">
            <v>-2533.92</v>
          </cell>
        </row>
        <row r="443">
          <cell r="I443">
            <v>-1836.49</v>
          </cell>
        </row>
        <row r="444">
          <cell r="I444">
            <v>-5753.8</v>
          </cell>
        </row>
        <row r="445">
          <cell r="G445">
            <v>-381625.38</v>
          </cell>
          <cell r="I445">
            <v>-95668.45</v>
          </cell>
        </row>
        <row r="447">
          <cell r="G447">
            <v>-88720.74</v>
          </cell>
          <cell r="I447">
            <v>-22302.39</v>
          </cell>
        </row>
        <row r="449">
          <cell r="G449">
            <v>-264879.07</v>
          </cell>
          <cell r="I449">
            <v>-66907.17</v>
          </cell>
        </row>
        <row r="451">
          <cell r="G451">
            <v>-52765.82</v>
          </cell>
          <cell r="I451">
            <v>-13374.67</v>
          </cell>
        </row>
        <row r="453">
          <cell r="G453">
            <v>-4886.83</v>
          </cell>
          <cell r="I453">
            <v>-1282.31</v>
          </cell>
        </row>
        <row r="455">
          <cell r="I455">
            <v>-14320.87</v>
          </cell>
        </row>
        <row r="457">
          <cell r="G457">
            <v>-12604.76</v>
          </cell>
          <cell r="I457">
            <v>-3572</v>
          </cell>
        </row>
        <row r="458">
          <cell r="G458">
            <v>-3318.81</v>
          </cell>
          <cell r="I458">
            <v>-940.5</v>
          </cell>
        </row>
        <row r="461">
          <cell r="G461">
            <v>-3563.05</v>
          </cell>
          <cell r="I461">
            <v>-1178</v>
          </cell>
        </row>
        <row r="463">
          <cell r="G463">
            <v>-23312.17</v>
          </cell>
          <cell r="I463">
            <v>-7799.13</v>
          </cell>
        </row>
        <row r="465">
          <cell r="G465">
            <v>-13589.76</v>
          </cell>
          <cell r="I465">
            <v>-7199.22</v>
          </cell>
        </row>
        <row r="468">
          <cell r="G468">
            <v>-2093.38</v>
          </cell>
          <cell r="I468">
            <v>-1995</v>
          </cell>
        </row>
        <row r="472">
          <cell r="G472">
            <v>-1482</v>
          </cell>
          <cell r="I472">
            <v>-1482</v>
          </cell>
        </row>
        <row r="473">
          <cell r="G473">
            <v>-2660</v>
          </cell>
          <cell r="I473">
            <v>-2660</v>
          </cell>
        </row>
        <row r="474">
          <cell r="G474">
            <v>-3933</v>
          </cell>
          <cell r="I474">
            <v>-3933</v>
          </cell>
        </row>
        <row r="475">
          <cell r="I475">
            <v>-2914.6</v>
          </cell>
        </row>
        <row r="476">
          <cell r="I476">
            <v>-228</v>
          </cell>
        </row>
        <row r="477">
          <cell r="I477">
            <v>-4830.51</v>
          </cell>
        </row>
        <row r="478">
          <cell r="I478">
            <v>-3040</v>
          </cell>
        </row>
        <row r="495">
          <cell r="I495">
            <v>-303734.7</v>
          </cell>
        </row>
        <row r="497">
          <cell r="I497">
            <v>-27141.5</v>
          </cell>
        </row>
        <row r="498">
          <cell r="I498">
            <v>-8839.99</v>
          </cell>
        </row>
        <row r="499">
          <cell r="I499">
            <v>-35981.49</v>
          </cell>
        </row>
        <row r="509">
          <cell r="I509">
            <v>-405803.93</v>
          </cell>
        </row>
        <row r="511">
          <cell r="G511">
            <v>-504932</v>
          </cell>
          <cell r="I511">
            <v>-380000</v>
          </cell>
        </row>
        <row r="512">
          <cell r="I512">
            <v>-9377.5</v>
          </cell>
        </row>
        <row r="513">
          <cell r="I513">
            <v>-4860</v>
          </cell>
        </row>
        <row r="514">
          <cell r="I514">
            <v>-9409</v>
          </cell>
        </row>
        <row r="515">
          <cell r="I515">
            <v>-212530.05</v>
          </cell>
        </row>
        <row r="516">
          <cell r="I516">
            <v>-100000.01</v>
          </cell>
        </row>
        <row r="517">
          <cell r="I517">
            <v>-1627.4</v>
          </cell>
        </row>
        <row r="518">
          <cell r="I518">
            <v>-717803.96</v>
          </cell>
        </row>
        <row r="521">
          <cell r="G521">
            <v>-16870</v>
          </cell>
          <cell r="I521">
            <v>-2800</v>
          </cell>
        </row>
        <row r="522">
          <cell r="I522">
            <v>-2800</v>
          </cell>
        </row>
        <row r="528">
          <cell r="I528">
            <v>-9505.43</v>
          </cell>
        </row>
        <row r="604">
          <cell r="I604">
            <v>-4852.6000000000004</v>
          </cell>
        </row>
        <row r="605">
          <cell r="I605">
            <v>-5327.6</v>
          </cell>
        </row>
        <row r="606">
          <cell r="I606">
            <v>-10180.200000000001</v>
          </cell>
        </row>
        <row r="610">
          <cell r="I610">
            <v>-27886967.670000002</v>
          </cell>
        </row>
        <row r="611">
          <cell r="I611">
            <v>-27886967.670000002</v>
          </cell>
        </row>
        <row r="615">
          <cell r="E615">
            <v>4385488.4699999988</v>
          </cell>
          <cell r="F615">
            <v>666640439.52999997</v>
          </cell>
          <cell r="G615">
            <v>-294178976.50999999</v>
          </cell>
          <cell r="V615">
            <v>-322065944.18000001</v>
          </cell>
        </row>
        <row r="617">
          <cell r="V617">
            <v>348959983.81999999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4"/>
    </sheetNames>
    <sheetDataSet>
      <sheetData sheetId="0">
        <row r="2">
          <cell r="I2">
            <v>-152</v>
          </cell>
        </row>
        <row r="327">
          <cell r="I327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6"/>
      <sheetName val="Oct-March 21"/>
      <sheetName val="CWIP"/>
      <sheetName val="Reconciliation"/>
      <sheetName val="New Project PO Based Report"/>
      <sheetName val="Non Project Material "/>
      <sheetName val="Sheet1"/>
      <sheetName val="Sheet2"/>
      <sheetName val="Sheet4"/>
      <sheetName val="Working"/>
      <sheetName val="Sheet5"/>
      <sheetName val="Sheet3"/>
    </sheetNames>
    <sheetDataSet>
      <sheetData sheetId="0" refreshError="1">
        <row r="1">
          <cell r="A1" t="str">
            <v>Vendor</v>
          </cell>
          <cell r="B1" t="str">
            <v>Vendor Name</v>
          </cell>
          <cell r="C1" t="str">
            <v>Total</v>
          </cell>
        </row>
        <row r="2">
          <cell r="A2">
            <v>3000000528</v>
          </cell>
          <cell r="B2" t="str">
            <v>A.M.CONSTRUCTOR</v>
          </cell>
          <cell r="C2">
            <v>1158143.6300000001</v>
          </cell>
        </row>
        <row r="3">
          <cell r="A3">
            <v>1000001487</v>
          </cell>
          <cell r="B3" t="str">
            <v>ABHIMANYU SINGH ENTERPRISE</v>
          </cell>
          <cell r="C3">
            <v>124035.98000000003</v>
          </cell>
        </row>
        <row r="4">
          <cell r="A4">
            <v>1000000021</v>
          </cell>
          <cell r="B4" t="str">
            <v>ADYA SHAKTI SERVICES</v>
          </cell>
          <cell r="C4">
            <v>1314860</v>
          </cell>
        </row>
        <row r="5">
          <cell r="A5">
            <v>1000002633</v>
          </cell>
          <cell r="B5" t="str">
            <v>ALLIED INFRADEVELOPMENT PRIVATE LIM</v>
          </cell>
          <cell r="C5">
            <v>209018.62999999998</v>
          </cell>
        </row>
        <row r="6">
          <cell r="A6">
            <v>1000002813</v>
          </cell>
          <cell r="B6" t="str">
            <v>Apurba Popular Stores</v>
          </cell>
          <cell r="C6">
            <v>487459.32999999996</v>
          </cell>
        </row>
        <row r="7">
          <cell r="A7">
            <v>3000000156</v>
          </cell>
          <cell r="B7" t="str">
            <v>Arcon Project Pvt. Ltd.</v>
          </cell>
          <cell r="C7">
            <v>76096.77</v>
          </cell>
        </row>
        <row r="8">
          <cell r="A8">
            <v>3000000543</v>
          </cell>
          <cell r="B8" t="str">
            <v>Associated Road Carriers Limited</v>
          </cell>
          <cell r="C8">
            <v>689500</v>
          </cell>
        </row>
        <row r="9">
          <cell r="A9">
            <v>1000001506</v>
          </cell>
          <cell r="B9" t="str">
            <v>BAIRAGYA CONSTRUCTION PVT. LTD.</v>
          </cell>
          <cell r="C9">
            <v>15750</v>
          </cell>
        </row>
        <row r="10">
          <cell r="A10">
            <v>61110000</v>
          </cell>
          <cell r="B10" t="str">
            <v>Bank Charges</v>
          </cell>
          <cell r="C10">
            <v>142072</v>
          </cell>
        </row>
        <row r="11">
          <cell r="A11">
            <v>1000000095</v>
          </cell>
          <cell r="B11" t="str">
            <v>BENGAL MACHINERY CORPORATION</v>
          </cell>
          <cell r="C11">
            <v>8500</v>
          </cell>
        </row>
        <row r="12">
          <cell r="A12">
            <v>1000000114</v>
          </cell>
          <cell r="B12" t="str">
            <v>BOMBAY VARIETY STORES</v>
          </cell>
          <cell r="C12">
            <v>51406.26</v>
          </cell>
        </row>
        <row r="13">
          <cell r="A13">
            <v>3000000268</v>
          </cell>
          <cell r="B13" t="str">
            <v>C.P Infrastructure</v>
          </cell>
          <cell r="C13">
            <v>180000</v>
          </cell>
        </row>
        <row r="14">
          <cell r="A14">
            <v>3000000017</v>
          </cell>
          <cell r="B14" t="str">
            <v>CALCUTTA TRANSPORT COMPANY</v>
          </cell>
          <cell r="C14">
            <v>139000</v>
          </cell>
        </row>
        <row r="15">
          <cell r="A15">
            <v>1000002768</v>
          </cell>
          <cell r="B15" t="str">
            <v>Citi Shine Sales Corporation</v>
          </cell>
          <cell r="C15">
            <v>65800</v>
          </cell>
        </row>
        <row r="16">
          <cell r="A16">
            <v>3000000355</v>
          </cell>
          <cell r="B16" t="str">
            <v>CONCAST (INDIA) LIMITED - MUMBAI</v>
          </cell>
          <cell r="C16">
            <v>36000</v>
          </cell>
        </row>
        <row r="17">
          <cell r="A17">
            <v>3000000679</v>
          </cell>
          <cell r="B17" t="str">
            <v>DASCON ENTERPRISES</v>
          </cell>
          <cell r="C17">
            <v>232258.75</v>
          </cell>
        </row>
        <row r="18">
          <cell r="A18">
            <v>3000000029</v>
          </cell>
          <cell r="B18" t="str">
            <v>DURGAPUR MECHANICAL ENTERPRISE</v>
          </cell>
          <cell r="C18">
            <v>40000</v>
          </cell>
        </row>
        <row r="19">
          <cell r="A19">
            <v>1000000228</v>
          </cell>
          <cell r="B19" t="str">
            <v>FIRE SAFETY &amp; CARE</v>
          </cell>
          <cell r="C19">
            <v>6256</v>
          </cell>
        </row>
        <row r="20">
          <cell r="A20">
            <v>1000000234</v>
          </cell>
          <cell r="B20" t="str">
            <v>G C BHALA &amp; COMPANY</v>
          </cell>
          <cell r="C20">
            <v>16759.8</v>
          </cell>
        </row>
        <row r="21">
          <cell r="A21">
            <v>3000000044</v>
          </cell>
          <cell r="B21" t="str">
            <v>GATI KINTETSU EXPRESS PVT. LTD.</v>
          </cell>
          <cell r="C21">
            <v>35569</v>
          </cell>
        </row>
        <row r="22">
          <cell r="A22">
            <v>3000000423</v>
          </cell>
          <cell r="B22" t="str">
            <v>GAYATRI DHARA</v>
          </cell>
          <cell r="C22">
            <v>153725.54</v>
          </cell>
        </row>
        <row r="23">
          <cell r="A23">
            <v>3000000321</v>
          </cell>
          <cell r="B23" t="str">
            <v>GUJRAL CONSTRUCTION</v>
          </cell>
          <cell r="C23">
            <v>117864</v>
          </cell>
        </row>
        <row r="24">
          <cell r="A24">
            <v>1000000277</v>
          </cell>
          <cell r="B24" t="str">
            <v>HIND HARDWARE STORES</v>
          </cell>
          <cell r="C24">
            <v>40820</v>
          </cell>
        </row>
        <row r="25">
          <cell r="A25">
            <v>1000002752</v>
          </cell>
          <cell r="B25" t="str">
            <v>J M Enterprise</v>
          </cell>
          <cell r="C25">
            <v>46000.01</v>
          </cell>
        </row>
        <row r="26">
          <cell r="A26">
            <v>3000000052</v>
          </cell>
          <cell r="B26" t="str">
            <v>JAY MAA KALI TRANSPORT</v>
          </cell>
          <cell r="C26">
            <v>19000</v>
          </cell>
        </row>
        <row r="27">
          <cell r="A27">
            <v>1000001737</v>
          </cell>
          <cell r="B27" t="str">
            <v>JSW CEMENT LTD</v>
          </cell>
          <cell r="C27">
            <v>260542.12000000005</v>
          </cell>
        </row>
        <row r="28">
          <cell r="A28">
            <v>1000002064</v>
          </cell>
          <cell r="B28" t="str">
            <v>KAMAL ENTERPRISES</v>
          </cell>
          <cell r="C28">
            <v>197182</v>
          </cell>
        </row>
        <row r="29">
          <cell r="A29">
            <v>3000000800</v>
          </cell>
          <cell r="B29" t="str">
            <v>LAA SUPPLY SOLUTION</v>
          </cell>
          <cell r="C29">
            <v>14000</v>
          </cell>
        </row>
        <row r="30">
          <cell r="A30">
            <v>1000001478</v>
          </cell>
          <cell r="B30" t="str">
            <v>Maa bhairabi sales corporation</v>
          </cell>
          <cell r="C30">
            <v>6600</v>
          </cell>
        </row>
        <row r="31">
          <cell r="A31">
            <v>1000002809</v>
          </cell>
          <cell r="B31" t="str">
            <v>Meghdoot Furniture LLP</v>
          </cell>
          <cell r="C31">
            <v>86000</v>
          </cell>
        </row>
        <row r="32">
          <cell r="A32">
            <v>3000000627</v>
          </cell>
          <cell r="B32" t="str">
            <v>MOUNTAIN ENTERPRISES</v>
          </cell>
          <cell r="C32">
            <v>50000</v>
          </cell>
        </row>
        <row r="33">
          <cell r="A33">
            <v>3000000731</v>
          </cell>
          <cell r="B33" t="str">
            <v>Other Miscelleneous Items</v>
          </cell>
          <cell r="C33">
            <v>27000</v>
          </cell>
        </row>
        <row r="34">
          <cell r="A34">
            <v>3000000688</v>
          </cell>
          <cell r="B34" t="str">
            <v>Other Miscelleneous Items</v>
          </cell>
          <cell r="C34">
            <v>68000</v>
          </cell>
        </row>
        <row r="35">
          <cell r="A35">
            <v>3000000143</v>
          </cell>
          <cell r="B35" t="str">
            <v>Other Miscelleneous Items</v>
          </cell>
          <cell r="C35">
            <v>49594</v>
          </cell>
        </row>
        <row r="36">
          <cell r="A36">
            <v>1000001718</v>
          </cell>
          <cell r="B36" t="str">
            <v>Other Miscelleneous Items</v>
          </cell>
          <cell r="C36">
            <v>325518</v>
          </cell>
        </row>
        <row r="37">
          <cell r="A37">
            <v>1000001105</v>
          </cell>
          <cell r="B37" t="str">
            <v>Other Miscelleneous Items</v>
          </cell>
          <cell r="C37">
            <v>8000</v>
          </cell>
        </row>
        <row r="38">
          <cell r="B38" t="str">
            <v>Other Miscelleneous Items</v>
          </cell>
          <cell r="C38">
            <v>300846.37999999995</v>
          </cell>
        </row>
        <row r="39">
          <cell r="A39">
            <v>1000002057</v>
          </cell>
          <cell r="B39" t="str">
            <v>PAUL ENTERPRISE</v>
          </cell>
          <cell r="C39">
            <v>152800</v>
          </cell>
        </row>
        <row r="40">
          <cell r="A40">
            <v>1000002796</v>
          </cell>
          <cell r="B40" t="str">
            <v>Power Tech India</v>
          </cell>
          <cell r="C40">
            <v>70000</v>
          </cell>
        </row>
        <row r="41">
          <cell r="A41">
            <v>3000000516</v>
          </cell>
          <cell r="B41" t="str">
            <v>PRAGYA ENTERPRISE</v>
          </cell>
          <cell r="C41">
            <v>468900</v>
          </cell>
        </row>
        <row r="42">
          <cell r="A42">
            <v>3000000599</v>
          </cell>
          <cell r="B42" t="str">
            <v>PSP Road Carriers</v>
          </cell>
          <cell r="C42">
            <v>21000</v>
          </cell>
        </row>
        <row r="43">
          <cell r="A43">
            <v>1000001741</v>
          </cell>
          <cell r="B43" t="str">
            <v>R.R ENTERPRISES</v>
          </cell>
          <cell r="C43">
            <v>550400.01</v>
          </cell>
        </row>
        <row r="44">
          <cell r="A44">
            <v>3000000481</v>
          </cell>
          <cell r="B44" t="str">
            <v>RAMJEE PRASAD GUPTA</v>
          </cell>
          <cell r="C44">
            <v>277500</v>
          </cell>
        </row>
        <row r="45">
          <cell r="A45">
            <v>3000000299</v>
          </cell>
          <cell r="B45" t="str">
            <v>RELIABLE ENTERPRISE</v>
          </cell>
          <cell r="C45">
            <v>2377369.9800000004</v>
          </cell>
        </row>
        <row r="46">
          <cell r="A46">
            <v>1000000533</v>
          </cell>
          <cell r="B46" t="str">
            <v>RELIABLE SUPPLIERS</v>
          </cell>
          <cell r="C46">
            <v>184300</v>
          </cell>
        </row>
        <row r="47">
          <cell r="A47">
            <v>3000000531</v>
          </cell>
          <cell r="B47" t="str">
            <v>ROLTA</v>
          </cell>
          <cell r="C47">
            <v>60000</v>
          </cell>
        </row>
        <row r="48">
          <cell r="A48">
            <v>3000000629</v>
          </cell>
          <cell r="B48" t="str">
            <v>RUDRAKSHA BUSINESS SOLUTION</v>
          </cell>
          <cell r="C48">
            <v>400000</v>
          </cell>
        </row>
        <row r="49">
          <cell r="A49">
            <v>1000002646</v>
          </cell>
          <cell r="B49" t="str">
            <v>RUDRAKSHA BUSINESS SOLUTION</v>
          </cell>
          <cell r="C49">
            <v>296700</v>
          </cell>
        </row>
        <row r="50">
          <cell r="A50">
            <v>1000001849</v>
          </cell>
          <cell r="B50" t="str">
            <v>RUHR ISPAT PVT LTD</v>
          </cell>
          <cell r="C50">
            <v>93789</v>
          </cell>
        </row>
        <row r="51">
          <cell r="A51">
            <v>1000000562</v>
          </cell>
          <cell r="B51" t="str">
            <v>S.M.ELECTRIC TRADING CO.PVT.LTD.</v>
          </cell>
          <cell r="C51">
            <v>726857.32000000007</v>
          </cell>
        </row>
        <row r="52">
          <cell r="A52">
            <v>1000000570</v>
          </cell>
          <cell r="B52" t="str">
            <v>SAHAL TRADING CORPORATION</v>
          </cell>
          <cell r="C52">
            <v>19180</v>
          </cell>
        </row>
        <row r="53">
          <cell r="A53">
            <v>3000000682</v>
          </cell>
          <cell r="B53" t="str">
            <v>Sangam Road Carriers (Pune)</v>
          </cell>
          <cell r="C53">
            <v>104000</v>
          </cell>
        </row>
        <row r="54">
          <cell r="A54">
            <v>1000000585</v>
          </cell>
          <cell r="B54" t="str">
            <v>SATABDI MONOLITHICS INDUSTRIES PVT.</v>
          </cell>
          <cell r="C54">
            <v>90000</v>
          </cell>
        </row>
        <row r="55">
          <cell r="A55">
            <v>3000000332</v>
          </cell>
          <cell r="B55" t="str">
            <v>SATYAM INFRA PROJECT</v>
          </cell>
          <cell r="C55">
            <v>1373725.7600000002</v>
          </cell>
        </row>
        <row r="56">
          <cell r="A56">
            <v>3000000428</v>
          </cell>
          <cell r="B56" t="str">
            <v>SCOT Enterprise</v>
          </cell>
          <cell r="C56">
            <v>540124</v>
          </cell>
        </row>
        <row r="57">
          <cell r="A57">
            <v>1000000598</v>
          </cell>
          <cell r="B57" t="str">
            <v>SHAKTIPADA GHOSH [CREDITOR NEW FURN</v>
          </cell>
          <cell r="C57">
            <v>215736</v>
          </cell>
        </row>
        <row r="58">
          <cell r="A58">
            <v>1000000599</v>
          </cell>
          <cell r="B58" t="str">
            <v>SHANTILAL ENTERPRISES (DURGAPUR) PV</v>
          </cell>
          <cell r="C58">
            <v>62100.480000000003</v>
          </cell>
        </row>
        <row r="59">
          <cell r="A59">
            <v>1000002676</v>
          </cell>
          <cell r="B59" t="str">
            <v>SHREE  PARASHNATH RE- ROLLING MILLS</v>
          </cell>
          <cell r="C59">
            <v>1079854.6700000002</v>
          </cell>
        </row>
        <row r="60">
          <cell r="A60">
            <v>1000002771</v>
          </cell>
          <cell r="B60" t="str">
            <v>SHREE EQUIPMENTS</v>
          </cell>
          <cell r="C60">
            <v>439070</v>
          </cell>
        </row>
        <row r="61">
          <cell r="A61">
            <v>1000000620</v>
          </cell>
          <cell r="B61" t="str">
            <v>SHREE KHAITAN TRADERS</v>
          </cell>
          <cell r="C61">
            <v>4520</v>
          </cell>
        </row>
        <row r="62">
          <cell r="A62">
            <v>1000001700</v>
          </cell>
          <cell r="B62" t="str">
            <v>SHREE SHANKAR ENTERPRISE</v>
          </cell>
          <cell r="C62">
            <v>105042.93</v>
          </cell>
        </row>
        <row r="63">
          <cell r="A63">
            <v>1000002004</v>
          </cell>
          <cell r="B63" t="str">
            <v>Steel Centre</v>
          </cell>
          <cell r="C63">
            <v>907753.41</v>
          </cell>
        </row>
        <row r="64">
          <cell r="A64">
            <v>1000000677</v>
          </cell>
          <cell r="B64" t="str">
            <v>STEEL CENTRE (DURGAPUR)</v>
          </cell>
          <cell r="C64">
            <v>201030.51</v>
          </cell>
        </row>
        <row r="65">
          <cell r="A65">
            <v>3000000766</v>
          </cell>
          <cell r="B65" t="str">
            <v>SUMAN  ENTERPRISE</v>
          </cell>
          <cell r="C65">
            <v>322443.21999999997</v>
          </cell>
        </row>
        <row r="66">
          <cell r="A66">
            <v>3000000548</v>
          </cell>
          <cell r="B66" t="str">
            <v>TCI FREIGHT</v>
          </cell>
          <cell r="C66">
            <v>18500</v>
          </cell>
        </row>
        <row r="67">
          <cell r="A67">
            <v>3000000940</v>
          </cell>
          <cell r="B67" t="str">
            <v>TECHNO PROJECT</v>
          </cell>
          <cell r="C67">
            <v>311318</v>
          </cell>
        </row>
        <row r="68">
          <cell r="A68">
            <v>3000000716</v>
          </cell>
          <cell r="B68" t="str">
            <v>TRUVOLT ENTGINEERING CO PVT LTD</v>
          </cell>
          <cell r="C68">
            <v>1530000</v>
          </cell>
        </row>
        <row r="69">
          <cell r="A69">
            <v>1000001492</v>
          </cell>
          <cell r="B69" t="str">
            <v>TRUVOLT ENTGINEERING CO PVT LTD</v>
          </cell>
          <cell r="C69">
            <v>1171669</v>
          </cell>
        </row>
        <row r="70">
          <cell r="A70">
            <v>3000000680</v>
          </cell>
          <cell r="B70" t="str">
            <v>WB Electricity Distribution Co.Ltd</v>
          </cell>
          <cell r="C70">
            <v>421176</v>
          </cell>
        </row>
        <row r="71">
          <cell r="C71">
            <v>21396038.489999998</v>
          </cell>
        </row>
        <row r="72">
          <cell r="C72">
            <v>21396038.439999998</v>
          </cell>
        </row>
        <row r="73">
          <cell r="C73">
            <v>-5.000000074505806E-2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10">
          <cell r="H210">
            <v>1008402.0600000011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"/>
      <sheetName val="IT Dep"/>
      <sheetName val="COMPUTATION (2)"/>
      <sheetName val="Deffered tax"/>
      <sheetName val="Comp_AY2014-15"/>
      <sheetName val="Form II"/>
      <sheetName val="Form III"/>
      <sheetName val="TB 31.03.14"/>
      <sheetName val="cash flow"/>
      <sheetName val="BS 15-16"/>
      <sheetName val="PL 15-16"/>
      <sheetName val="Sub Schedule 13-14"/>
      <sheetName val="Note 12 Tangible Assets (2)"/>
      <sheetName val="TB 30.09.2013"/>
      <sheetName val="Note 12 Tangible Assets"/>
      <sheetName val="Note 12 - FIXED ASSETS 11-12"/>
      <sheetName val="Note 13 Non Current Assets"/>
      <sheetName val="SCHEDULES10-11"/>
      <sheetName val="PL"/>
      <sheetName val="BS (2)"/>
      <sheetName val="P &amp; L"/>
      <sheetName val="BS"/>
      <sheetName val="Notes"/>
      <sheetName val="TRIAL BALANCE 2011-12"/>
      <sheetName val="Closing Inventory 11-12"/>
      <sheetName val="Depreciation as per IT "/>
      <sheetName val="Trial Balance as on 31.03.2013"/>
      <sheetName val="TB 2012-13"/>
      <sheetName val="Pl. chk"/>
      <sheetName val="TL details"/>
      <sheetName val="Form IV"/>
      <sheetName val="Form V"/>
      <sheetName val="Form VI"/>
      <sheetName val="Fin para."/>
      <sheetName val="St31.03.2014-old"/>
      <sheetName val="St31.03.2013"/>
      <sheetName val="Stock 2012-13"/>
      <sheetName val="dep 2012-13"/>
      <sheetName val="CFS"/>
      <sheetName val="Notes 15-16"/>
      <sheetName val="Note 12 Fixed Assets 15-16"/>
      <sheetName val="Note 13 Non Current Investments"/>
      <sheetName val="St31.03.2016"/>
      <sheetName val="Sub Schedule to Notes 31.3.14"/>
      <sheetName val="St31.03.2014-Revised"/>
      <sheetName val="Trial Bal -31.03.2014 -revised"/>
      <sheetName val="Sub Schedule to Notes 31.3.16"/>
      <sheetName val="Trial Balance"/>
      <sheetName val="DEP 2013"/>
      <sheetName val="DEP 2016-17"/>
      <sheetName val="DEP ADD 2016-17"/>
      <sheetName val="SECTION-185"/>
      <sheetName val="St31.03.201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1">
          <cell r="M11">
            <v>14359295</v>
          </cell>
        </row>
        <row r="22">
          <cell r="M22">
            <v>19505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0">
          <cell r="Q10">
            <v>335199.38902391365</v>
          </cell>
        </row>
      </sheetData>
      <sheetData sheetId="50">
        <row r="25">
          <cell r="C25">
            <v>5888559.9199999999</v>
          </cell>
          <cell r="K25">
            <v>5732114.8086065743</v>
          </cell>
        </row>
        <row r="36">
          <cell r="K36">
            <v>947676.36598794523</v>
          </cell>
        </row>
      </sheetData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P32"/>
  <sheetViews>
    <sheetView view="pageBreakPreview" topLeftCell="C4" zoomScale="115" zoomScaleSheetLayoutView="115" workbookViewId="0">
      <selection activeCell="F15" sqref="F15"/>
    </sheetView>
  </sheetViews>
  <sheetFormatPr defaultColWidth="9.109375" defaultRowHeight="13.2"/>
  <cols>
    <col min="1" max="1" width="1.33203125" style="1" customWidth="1"/>
    <col min="2" max="2" width="4" style="1" customWidth="1"/>
    <col min="3" max="3" width="22.44140625" style="1" customWidth="1"/>
    <col min="4" max="4" width="14.44140625" style="1" hidden="1" customWidth="1"/>
    <col min="5" max="5" width="15" style="54" customWidth="1"/>
    <col min="6" max="6" width="16.88671875" style="54" customWidth="1"/>
    <col min="7" max="7" width="10.6640625" style="54" customWidth="1"/>
    <col min="8" max="8" width="15" style="54" customWidth="1"/>
    <col min="9" max="9" width="16.88671875" style="54" customWidth="1"/>
    <col min="10" max="10" width="15.5546875" style="54" customWidth="1"/>
    <col min="11" max="11" width="10.6640625" style="54" customWidth="1"/>
    <col min="12" max="14" width="18.109375" style="54" customWidth="1"/>
    <col min="15" max="15" width="9.109375" style="1"/>
    <col min="16" max="16" width="11.33203125" style="1" bestFit="1" customWidth="1"/>
    <col min="17" max="16384" width="9.109375" style="1"/>
  </cols>
  <sheetData>
    <row r="1" spans="1:16" ht="18">
      <c r="A1" s="13"/>
      <c r="B1" s="79" t="s">
        <v>39</v>
      </c>
      <c r="C1" s="78"/>
      <c r="D1" s="78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6" ht="18">
      <c r="A2" s="13"/>
      <c r="B2" s="79"/>
      <c r="C2" s="78"/>
      <c r="D2" s="78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6" ht="14.4">
      <c r="A3" s="13"/>
      <c r="B3" s="77" t="s">
        <v>38</v>
      </c>
      <c r="D3" s="13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ht="14.4">
      <c r="A4" s="13"/>
      <c r="B4" s="13"/>
      <c r="C4" s="13"/>
      <c r="D4" s="13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6" s="3" customFormat="1" ht="14.4">
      <c r="A5" s="69"/>
      <c r="B5" s="76"/>
      <c r="C5" s="75"/>
      <c r="D5" s="674" t="s">
        <v>37</v>
      </c>
      <c r="E5" s="676" t="s">
        <v>36</v>
      </c>
      <c r="F5" s="677"/>
      <c r="G5" s="677"/>
      <c r="H5" s="678"/>
      <c r="I5" s="677" t="s">
        <v>35</v>
      </c>
      <c r="J5" s="677"/>
      <c r="K5" s="677"/>
      <c r="L5" s="678"/>
      <c r="M5" s="259"/>
      <c r="N5" s="260"/>
      <c r="O5" s="256"/>
    </row>
    <row r="6" spans="1:16" s="3" customFormat="1" ht="14.4">
      <c r="A6" s="69"/>
      <c r="B6" s="68" t="s">
        <v>34</v>
      </c>
      <c r="C6" s="67" t="s">
        <v>33</v>
      </c>
      <c r="D6" s="675"/>
      <c r="E6" s="68" t="s">
        <v>30</v>
      </c>
      <c r="F6" s="73" t="s">
        <v>32</v>
      </c>
      <c r="G6" s="73" t="s">
        <v>31</v>
      </c>
      <c r="H6" s="73" t="s">
        <v>30</v>
      </c>
      <c r="I6" s="59" t="s">
        <v>29</v>
      </c>
      <c r="J6" s="74" t="s">
        <v>28</v>
      </c>
      <c r="K6" s="67" t="s">
        <v>27</v>
      </c>
      <c r="L6" s="67" t="s">
        <v>26</v>
      </c>
      <c r="M6" s="73" t="s">
        <v>25</v>
      </c>
      <c r="N6" s="73" t="s">
        <v>25</v>
      </c>
      <c r="O6" s="256"/>
    </row>
    <row r="7" spans="1:16" s="3" customFormat="1" ht="14.4">
      <c r="A7" s="69"/>
      <c r="B7" s="68" t="s">
        <v>24</v>
      </c>
      <c r="C7" s="67"/>
      <c r="D7" s="72"/>
      <c r="E7" s="71" t="s">
        <v>346</v>
      </c>
      <c r="F7" s="67" t="s">
        <v>23</v>
      </c>
      <c r="G7" s="67" t="s">
        <v>23</v>
      </c>
      <c r="H7" s="67" t="s">
        <v>347</v>
      </c>
      <c r="I7" s="70" t="s">
        <v>346</v>
      </c>
      <c r="J7" s="68" t="s">
        <v>19</v>
      </c>
      <c r="K7" s="67" t="s">
        <v>22</v>
      </c>
      <c r="L7" s="67" t="s">
        <v>21</v>
      </c>
      <c r="M7" s="67" t="s">
        <v>348</v>
      </c>
      <c r="N7" s="67" t="s">
        <v>324</v>
      </c>
      <c r="O7" s="256"/>
    </row>
    <row r="8" spans="1:16" s="3" customFormat="1" ht="14.4">
      <c r="A8" s="69"/>
      <c r="B8" s="68"/>
      <c r="C8" s="67"/>
      <c r="D8" s="65"/>
      <c r="E8" s="62"/>
      <c r="F8" s="62" t="s">
        <v>19</v>
      </c>
      <c r="G8" s="62" t="s">
        <v>19</v>
      </c>
      <c r="H8" s="62"/>
      <c r="I8" s="66"/>
      <c r="J8" s="65"/>
      <c r="K8" s="62" t="s">
        <v>18</v>
      </c>
      <c r="L8" s="64" t="s">
        <v>347</v>
      </c>
      <c r="M8" s="62"/>
      <c r="N8" s="62"/>
      <c r="O8" s="256"/>
    </row>
    <row r="9" spans="1:16" ht="14.4">
      <c r="A9" s="13"/>
      <c r="B9" s="63"/>
      <c r="C9" s="62"/>
      <c r="D9" s="62" t="s">
        <v>17</v>
      </c>
      <c r="E9" s="61" t="s">
        <v>16</v>
      </c>
      <c r="F9" s="61" t="s">
        <v>16</v>
      </c>
      <c r="G9" s="61" t="s">
        <v>16</v>
      </c>
      <c r="H9" s="61" t="s">
        <v>16</v>
      </c>
      <c r="I9" s="61" t="s">
        <v>16</v>
      </c>
      <c r="J9" s="61" t="s">
        <v>16</v>
      </c>
      <c r="K9" s="61" t="s">
        <v>16</v>
      </c>
      <c r="L9" s="61" t="s">
        <v>16</v>
      </c>
      <c r="M9" s="61" t="s">
        <v>16</v>
      </c>
      <c r="N9" s="61" t="s">
        <v>16</v>
      </c>
      <c r="O9" s="54"/>
    </row>
    <row r="10" spans="1:16" ht="14.4">
      <c r="A10" s="13"/>
      <c r="B10" s="42" t="s">
        <v>15</v>
      </c>
      <c r="C10" s="60" t="s">
        <v>14</v>
      </c>
      <c r="D10" s="59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4"/>
    </row>
    <row r="11" spans="1:16" ht="14.4">
      <c r="A11" s="13"/>
      <c r="B11" s="46">
        <v>1</v>
      </c>
      <c r="C11" s="52" t="s">
        <v>13</v>
      </c>
      <c r="D11" s="57">
        <v>0</v>
      </c>
      <c r="E11" s="39">
        <v>14961502</v>
      </c>
      <c r="F11" s="38">
        <v>0</v>
      </c>
      <c r="G11" s="38">
        <v>0</v>
      </c>
      <c r="H11" s="37">
        <f t="shared" ref="H11:H20" si="0">E11+F11-G11</f>
        <v>14961502</v>
      </c>
      <c r="I11" s="53">
        <v>0</v>
      </c>
      <c r="J11" s="33">
        <v>0</v>
      </c>
      <c r="K11" s="33">
        <v>0</v>
      </c>
      <c r="L11" s="56">
        <f t="shared" ref="L11:L20" si="1">I11+J11-K11</f>
        <v>0</v>
      </c>
      <c r="M11" s="34">
        <f>H11</f>
        <v>14961502</v>
      </c>
      <c r="N11" s="33">
        <f t="shared" ref="N11:N18" si="2">SUM(E11-I11)</f>
        <v>14961502</v>
      </c>
      <c r="O11" s="54"/>
    </row>
    <row r="12" spans="1:16" ht="14.4">
      <c r="A12" s="13"/>
      <c r="B12" s="46">
        <v>2</v>
      </c>
      <c r="C12" s="52" t="s">
        <v>12</v>
      </c>
      <c r="D12" s="40">
        <v>3.3399999999999999E-2</v>
      </c>
      <c r="E12" s="39">
        <v>187834478</v>
      </c>
      <c r="F12" s="38">
        <v>0</v>
      </c>
      <c r="G12" s="38">
        <v>0</v>
      </c>
      <c r="H12" s="37">
        <f t="shared" si="0"/>
        <v>187834478</v>
      </c>
      <c r="I12" s="36">
        <v>60175237.736384682</v>
      </c>
      <c r="J12" s="36">
        <f>+'DEP 2020-21'!Q358</f>
        <v>5767229.5863804454</v>
      </c>
      <c r="K12" s="33">
        <v>0</v>
      </c>
      <c r="L12" s="35">
        <f>I12+J12-K12</f>
        <v>65942467.322765127</v>
      </c>
      <c r="M12" s="34">
        <f t="shared" ref="M12:M20" si="3">H12-L12</f>
        <v>121892010.67723487</v>
      </c>
      <c r="N12" s="33">
        <f t="shared" si="2"/>
        <v>127659240.26361531</v>
      </c>
      <c r="O12" s="54"/>
      <c r="P12" s="366">
        <f>+J12+[1]Sheet1!$I$13</f>
        <v>-180862.22361955419</v>
      </c>
    </row>
    <row r="13" spans="1:16" ht="14.4">
      <c r="A13" s="13"/>
      <c r="B13" s="46">
        <v>8</v>
      </c>
      <c r="C13" s="52" t="s">
        <v>6</v>
      </c>
      <c r="D13" s="40">
        <v>6.3299999999999995E-2</v>
      </c>
      <c r="E13" s="39">
        <v>386012.53</v>
      </c>
      <c r="F13" s="38">
        <f>+'Dep additional for  Expansion'!E211+'Dep additional for  Expansion'!E212</f>
        <v>86000</v>
      </c>
      <c r="G13" s="38">
        <v>0</v>
      </c>
      <c r="H13" s="37">
        <f>E13+F13-G13</f>
        <v>472012.53</v>
      </c>
      <c r="I13" s="53">
        <v>66792.65217246575</v>
      </c>
      <c r="J13" s="36">
        <f>+'DEP 2020-21'!Q290+('Dep additional for  Expansion'!I211+'Dep additional for  Expansion'!I212)</f>
        <v>36096.804733561643</v>
      </c>
      <c r="K13" s="33">
        <v>0</v>
      </c>
      <c r="L13" s="35">
        <f>I13+J13-K13</f>
        <v>102889.45690602739</v>
      </c>
      <c r="M13" s="34">
        <f t="shared" si="3"/>
        <v>369123.07309397263</v>
      </c>
      <c r="N13" s="33">
        <f>SUM(E13-I13)</f>
        <v>319219.87782753428</v>
      </c>
      <c r="O13" s="54" t="s">
        <v>221</v>
      </c>
    </row>
    <row r="14" spans="1:16" ht="14.4">
      <c r="A14" s="13"/>
      <c r="B14" s="46">
        <v>3</v>
      </c>
      <c r="C14" s="52" t="s">
        <v>11</v>
      </c>
      <c r="D14" s="40">
        <v>1.6299999999999999E-2</v>
      </c>
      <c r="E14" s="39">
        <v>6381386</v>
      </c>
      <c r="F14" s="38">
        <v>0</v>
      </c>
      <c r="G14" s="38">
        <v>0</v>
      </c>
      <c r="H14" s="37">
        <f t="shared" si="0"/>
        <v>6381386</v>
      </c>
      <c r="I14" s="36">
        <v>1621628.7186490193</v>
      </c>
      <c r="J14" s="36">
        <f>+'DEP 2020-21'!Q366</f>
        <v>212149.7769388007</v>
      </c>
      <c r="K14" s="33">
        <v>0</v>
      </c>
      <c r="L14" s="35">
        <f t="shared" si="1"/>
        <v>1833778.49558782</v>
      </c>
      <c r="M14" s="34">
        <f t="shared" si="3"/>
        <v>4547607.5044121798</v>
      </c>
      <c r="N14" s="33">
        <f t="shared" si="2"/>
        <v>4759757.2813509805</v>
      </c>
      <c r="O14" s="54" t="s">
        <v>221</v>
      </c>
      <c r="P14" s="366">
        <f>+J14+[1]Sheet1!$I$7</f>
        <v>11654.996938800701</v>
      </c>
    </row>
    <row r="15" spans="1:16" ht="14.4">
      <c r="A15" s="13"/>
      <c r="B15" s="46">
        <v>4</v>
      </c>
      <c r="C15" s="52" t="s">
        <v>10</v>
      </c>
      <c r="D15" s="40">
        <v>4.7500000000000001E-2</v>
      </c>
      <c r="E15" s="39">
        <v>356476918.19999987</v>
      </c>
      <c r="F15" s="38">
        <f>+'DEP ADD 2020-21'!B6+'Dep additional for  Expansion'!E210</f>
        <v>252706811.88770869</v>
      </c>
      <c r="G15" s="38">
        <v>0</v>
      </c>
      <c r="H15" s="37">
        <f t="shared" si="0"/>
        <v>609183730.08770859</v>
      </c>
      <c r="I15" s="53">
        <v>152353494.92813006</v>
      </c>
      <c r="J15" s="36">
        <f>+'DEP 2020-21'!Q259+'DEP ADD 2020-21'!M6+'Dep additional for  Expansion'!I210</f>
        <v>22144665.043705087</v>
      </c>
      <c r="K15" s="33">
        <v>0</v>
      </c>
      <c r="L15" s="35">
        <f t="shared" si="1"/>
        <v>174498159.97183514</v>
      </c>
      <c r="M15" s="34">
        <f t="shared" si="3"/>
        <v>434685570.11587346</v>
      </c>
      <c r="N15" s="33">
        <f t="shared" si="2"/>
        <v>204123423.27186981</v>
      </c>
      <c r="O15" s="54" t="s">
        <v>221</v>
      </c>
      <c r="P15" s="366">
        <f>+J15+[1]Sheet1!$I$204</f>
        <v>5179823.1837050878</v>
      </c>
    </row>
    <row r="16" spans="1:16" ht="14.4">
      <c r="A16" s="13"/>
      <c r="B16" s="649" t="s">
        <v>672</v>
      </c>
      <c r="C16" s="650" t="s">
        <v>671</v>
      </c>
      <c r="D16" s="651"/>
      <c r="E16" s="652"/>
      <c r="F16" s="653"/>
      <c r="G16" s="653"/>
      <c r="H16" s="654">
        <f t="shared" si="0"/>
        <v>0</v>
      </c>
      <c r="I16" s="655">
        <v>0</v>
      </c>
      <c r="J16" s="656"/>
      <c r="K16" s="657"/>
      <c r="L16" s="658">
        <f t="shared" si="1"/>
        <v>0</v>
      </c>
      <c r="M16" s="659">
        <f t="shared" si="3"/>
        <v>0</v>
      </c>
      <c r="N16" s="657">
        <f t="shared" si="2"/>
        <v>0</v>
      </c>
      <c r="O16" s="54"/>
      <c r="P16" s="366"/>
    </row>
    <row r="17" spans="1:16" ht="14.4">
      <c r="A17" s="13"/>
      <c r="B17" s="46">
        <v>5</v>
      </c>
      <c r="C17" s="52" t="s">
        <v>9</v>
      </c>
      <c r="D17" s="40">
        <v>4.7500000000000001E-2</v>
      </c>
      <c r="E17" s="39">
        <v>81581788.599999994</v>
      </c>
      <c r="F17" s="38">
        <f>+'DEP ADD 2020-21'!B28</f>
        <v>693850</v>
      </c>
      <c r="G17" s="38">
        <v>0</v>
      </c>
      <c r="H17" s="37">
        <f t="shared" si="0"/>
        <v>82275638.599999994</v>
      </c>
      <c r="I17" s="53">
        <v>72142831.47903344</v>
      </c>
      <c r="J17" s="36">
        <f>+'DEP 2020-21'!Q389+'DEP ADD 2020-21'!M28</f>
        <v>4799460.9715028927</v>
      </c>
      <c r="K17" s="33">
        <v>0</v>
      </c>
      <c r="L17" s="35">
        <f>I17+J17-K17</f>
        <v>76942292.45053634</v>
      </c>
      <c r="M17" s="34">
        <f t="shared" si="3"/>
        <v>5333346.1494636536</v>
      </c>
      <c r="N17" s="33">
        <f t="shared" si="2"/>
        <v>9438957.1209665537</v>
      </c>
      <c r="O17" s="54" t="s">
        <v>221</v>
      </c>
      <c r="P17" s="366">
        <f>+J17+[1]Sheet1!$I$276</f>
        <v>1947186.3015028927</v>
      </c>
    </row>
    <row r="18" spans="1:16" ht="14.4">
      <c r="A18" s="13"/>
      <c r="B18" s="46">
        <v>6</v>
      </c>
      <c r="C18" s="262" t="s">
        <v>8</v>
      </c>
      <c r="D18" s="40">
        <v>4.7500000000000001E-2</v>
      </c>
      <c r="E18" s="39">
        <v>2673570.8200000003</v>
      </c>
      <c r="F18" s="38">
        <f>+'DEP ADD 2020-21'!B24</f>
        <v>455340.67</v>
      </c>
      <c r="G18" s="38">
        <v>0</v>
      </c>
      <c r="H18" s="37">
        <f t="shared" si="0"/>
        <v>3128911.49</v>
      </c>
      <c r="I18" s="53">
        <v>1721602.427550917</v>
      </c>
      <c r="J18" s="36">
        <f>+'DEP 2020-21'!Q351+'DEP ADD 2020-21'!M33+'DEP ADD 2020-21'!M24</f>
        <v>401495.70353272738</v>
      </c>
      <c r="K18" s="33">
        <v>0</v>
      </c>
      <c r="L18" s="35">
        <f t="shared" si="1"/>
        <v>2123098.1310836445</v>
      </c>
      <c r="M18" s="34">
        <f t="shared" si="3"/>
        <v>1005813.3589163558</v>
      </c>
      <c r="N18" s="33">
        <f t="shared" si="2"/>
        <v>951968.39244908327</v>
      </c>
      <c r="O18" s="54" t="s">
        <v>221</v>
      </c>
      <c r="P18" s="2">
        <f>+J18+[1]Sheet1!$I$495+[1]Sheet1!$I$499+[1]Sheet1!$I$528+[1]Sheet1!$I$606</f>
        <v>42093.88353272737</v>
      </c>
    </row>
    <row r="19" spans="1:16" s="54" customFormat="1" ht="14.4">
      <c r="A19" s="55"/>
      <c r="B19" s="46">
        <v>7</v>
      </c>
      <c r="C19" s="52" t="s">
        <v>7</v>
      </c>
      <c r="D19" s="40">
        <v>9.5000000000000001E-2</v>
      </c>
      <c r="E19" s="39">
        <v>6954999.3100000005</v>
      </c>
      <c r="F19" s="38">
        <v>0</v>
      </c>
      <c r="G19" s="38">
        <v>0</v>
      </c>
      <c r="H19" s="37">
        <f t="shared" si="0"/>
        <v>6954999.3100000005</v>
      </c>
      <c r="I19" s="53">
        <v>4086811.9887104658</v>
      </c>
      <c r="J19" s="36">
        <f>+'DEP 2020-21'!Q12</f>
        <v>406101.39423337515</v>
      </c>
      <c r="K19" s="33">
        <v>0</v>
      </c>
      <c r="L19" s="35">
        <f t="shared" si="1"/>
        <v>4492913.3829438407</v>
      </c>
      <c r="M19" s="34">
        <f t="shared" si="3"/>
        <v>2462085.9270561598</v>
      </c>
      <c r="N19" s="33">
        <f>SUM(E19-I19)</f>
        <v>2868187.3212895347</v>
      </c>
      <c r="O19" s="54" t="s">
        <v>221</v>
      </c>
      <c r="P19" s="365">
        <f>+J19+[1]Sheet1!$I$509</f>
        <v>297.46423337515444</v>
      </c>
    </row>
    <row r="20" spans="1:16" ht="14.4">
      <c r="A20" s="13"/>
      <c r="B20" s="46">
        <v>9</v>
      </c>
      <c r="C20" s="52" t="s">
        <v>5</v>
      </c>
      <c r="D20" s="40">
        <v>0.16209999999999999</v>
      </c>
      <c r="E20" s="183">
        <v>2200019.13</v>
      </c>
      <c r="F20" s="51">
        <f>+'DEP ADD 2020-21'!B63</f>
        <v>789297.74</v>
      </c>
      <c r="G20" s="51">
        <v>0</v>
      </c>
      <c r="H20" s="50">
        <f t="shared" si="0"/>
        <v>2989316.87</v>
      </c>
      <c r="I20" s="49">
        <v>1344004.3135860714</v>
      </c>
      <c r="J20" s="49">
        <f>+'DEP 2020-21'!Q470+'DEP ADD 2020-21'!M63</f>
        <v>402398.4950719527</v>
      </c>
      <c r="K20" s="47">
        <v>0</v>
      </c>
      <c r="L20" s="48">
        <f t="shared" si="1"/>
        <v>1746402.8086580241</v>
      </c>
      <c r="M20" s="34">
        <f t="shared" si="3"/>
        <v>1242914.061341976</v>
      </c>
      <c r="N20" s="47">
        <f>SUM(E20-I20)</f>
        <v>856014.81641392852</v>
      </c>
      <c r="O20" s="54" t="s">
        <v>221</v>
      </c>
      <c r="P20" s="2">
        <f>+J20+[1]Sheet1!$I$394</f>
        <v>-3.7049280473147519</v>
      </c>
    </row>
    <row r="21" spans="1:16" ht="14.4">
      <c r="A21" s="13"/>
      <c r="B21" s="46"/>
      <c r="C21" s="23" t="s">
        <v>4</v>
      </c>
      <c r="D21" s="40"/>
      <c r="E21" s="45">
        <v>659450674.58999991</v>
      </c>
      <c r="F21" s="45">
        <f>+SUM(F11:F20)</f>
        <v>254731300.29770869</v>
      </c>
      <c r="G21" s="44">
        <f t="shared" ref="G21:N21" si="4">SUM(G11:G20)</f>
        <v>0</v>
      </c>
      <c r="H21" s="37">
        <f>SUM(H11:H20)</f>
        <v>914181974.88770854</v>
      </c>
      <c r="I21" s="35">
        <f>SUM(I11:I20)</f>
        <v>293512404.2442171</v>
      </c>
      <c r="J21" s="34">
        <f t="shared" si="4"/>
        <v>34169597.77609884</v>
      </c>
      <c r="K21" s="37">
        <f t="shared" si="4"/>
        <v>0</v>
      </c>
      <c r="L21" s="35">
        <f t="shared" si="4"/>
        <v>327682002.02031595</v>
      </c>
      <c r="M21" s="43">
        <f t="shared" si="4"/>
        <v>586499972.86739278</v>
      </c>
      <c r="N21" s="37">
        <f t="shared" si="4"/>
        <v>365938270.34578276</v>
      </c>
      <c r="O21" s="54"/>
      <c r="P21" s="2"/>
    </row>
    <row r="22" spans="1:16" ht="14.4">
      <c r="A22" s="13"/>
      <c r="B22" s="42" t="s">
        <v>3</v>
      </c>
      <c r="C22" s="41" t="s">
        <v>2</v>
      </c>
      <c r="D22" s="40"/>
      <c r="E22" s="39"/>
      <c r="F22" s="38"/>
      <c r="G22" s="38"/>
      <c r="H22" s="37"/>
      <c r="I22" s="36"/>
      <c r="J22" s="36"/>
      <c r="K22" s="33"/>
      <c r="L22" s="35"/>
      <c r="M22" s="34"/>
      <c r="N22" s="33"/>
      <c r="O22" s="54"/>
      <c r="P22" s="2"/>
    </row>
    <row r="23" spans="1:16" s="18" customFormat="1" ht="14.4">
      <c r="A23" s="25"/>
      <c r="B23" s="24"/>
      <c r="C23" s="32" t="s">
        <v>2</v>
      </c>
      <c r="D23" s="22">
        <v>0.25</v>
      </c>
      <c r="E23" s="31">
        <v>7189765.5999999996</v>
      </c>
      <c r="F23" s="30">
        <f>+'DEP ADD 2020-21'!B68</f>
        <v>990000.06</v>
      </c>
      <c r="G23" s="30">
        <v>0</v>
      </c>
      <c r="H23" s="29">
        <f>E23+F23-G23</f>
        <v>8179765.6600000001</v>
      </c>
      <c r="I23" s="28">
        <v>666573.64684931515</v>
      </c>
      <c r="J23" s="28">
        <v>720603.96000000008</v>
      </c>
      <c r="K23" s="26">
        <v>0</v>
      </c>
      <c r="L23" s="27">
        <f>I23+J23-K23</f>
        <v>1387177.6068493151</v>
      </c>
      <c r="M23" s="257">
        <f>H23-L23</f>
        <v>6792588.0531506855</v>
      </c>
      <c r="N23" s="26">
        <f>SUM(E23-I23)</f>
        <v>6523191.953150684</v>
      </c>
      <c r="O23" s="258"/>
      <c r="P23" s="367">
        <f>+J23+[1]Sheet1!$I$518+[1]Sheet1!$I$522</f>
        <v>1.1641532182693481E-10</v>
      </c>
    </row>
    <row r="24" spans="1:16" s="18" customFormat="1" ht="14.4">
      <c r="A24" s="25"/>
      <c r="B24" s="24"/>
      <c r="C24" s="23" t="s">
        <v>1</v>
      </c>
      <c r="D24" s="22"/>
      <c r="E24" s="21">
        <v>7189765.5999999996</v>
      </c>
      <c r="F24" s="21">
        <f>+F23</f>
        <v>990000.06</v>
      </c>
      <c r="G24" s="21">
        <f t="shared" ref="G24:L24" si="5">SUM(G23)</f>
        <v>0</v>
      </c>
      <c r="H24" s="21">
        <f>SUM(H23)</f>
        <v>8179765.6600000001</v>
      </c>
      <c r="I24" s="21">
        <f t="shared" si="5"/>
        <v>666573.64684931515</v>
      </c>
      <c r="J24" s="21">
        <f t="shared" si="5"/>
        <v>720603.96000000008</v>
      </c>
      <c r="K24" s="21">
        <f t="shared" si="5"/>
        <v>0</v>
      </c>
      <c r="L24" s="21">
        <f t="shared" si="5"/>
        <v>1387177.6068493151</v>
      </c>
      <c r="M24" s="20">
        <f>+H24-L24</f>
        <v>6792588.0531506855</v>
      </c>
      <c r="N24" s="19">
        <f>SUM(E24-I24)</f>
        <v>6523191.953150684</v>
      </c>
      <c r="O24" s="258"/>
    </row>
    <row r="25" spans="1:16" ht="14.4">
      <c r="A25" s="13"/>
      <c r="B25" s="17"/>
      <c r="C25" s="16" t="s">
        <v>0</v>
      </c>
      <c r="D25" s="15"/>
      <c r="E25" s="14">
        <f>E24+E21</f>
        <v>666640440.18999994</v>
      </c>
      <c r="F25" s="14">
        <f t="shared" ref="F25:N25" si="6">F24+F21</f>
        <v>255721300.35770869</v>
      </c>
      <c r="G25" s="14">
        <f t="shared" si="6"/>
        <v>0</v>
      </c>
      <c r="H25" s="14">
        <f t="shared" si="6"/>
        <v>922361740.54770851</v>
      </c>
      <c r="I25" s="14">
        <f t="shared" si="6"/>
        <v>294178977.89106643</v>
      </c>
      <c r="J25" s="14">
        <f t="shared" si="6"/>
        <v>34890201.736098841</v>
      </c>
      <c r="K25" s="14">
        <f t="shared" si="6"/>
        <v>0</v>
      </c>
      <c r="L25" s="14">
        <f t="shared" si="6"/>
        <v>329069179.62716526</v>
      </c>
      <c r="M25" s="14">
        <f t="shared" si="6"/>
        <v>593292560.92054343</v>
      </c>
      <c r="N25" s="14">
        <f t="shared" si="6"/>
        <v>372461462.29893345</v>
      </c>
      <c r="O25" s="54"/>
    </row>
    <row r="26" spans="1:16" ht="15" thickBot="1">
      <c r="A26" s="13"/>
      <c r="B26" s="12"/>
      <c r="C26" s="11" t="s">
        <v>0</v>
      </c>
      <c r="D26" s="10"/>
      <c r="E26" s="266">
        <v>655047054.51999986</v>
      </c>
      <c r="F26" s="267">
        <v>11593385.67</v>
      </c>
      <c r="G26" s="268">
        <v>0</v>
      </c>
      <c r="H26" s="269">
        <v>666640440.18999994</v>
      </c>
      <c r="I26" s="269">
        <v>264954745.7499873</v>
      </c>
      <c r="J26" s="270">
        <v>29224232.141079117</v>
      </c>
      <c r="K26" s="268">
        <v>0</v>
      </c>
      <c r="L26" s="271">
        <v>294178977.89106643</v>
      </c>
      <c r="M26" s="269">
        <v>372461462.29893345</v>
      </c>
      <c r="N26" s="269">
        <v>390092308.77001262</v>
      </c>
      <c r="O26" s="54"/>
    </row>
    <row r="28" spans="1:16">
      <c r="C28" s="368" t="s">
        <v>333</v>
      </c>
      <c r="D28" s="369"/>
      <c r="E28" s="370"/>
      <c r="F28" s="369"/>
      <c r="G28" s="369"/>
      <c r="H28" s="370">
        <f>+H25-[1]Sheet1!$E$615-[1]Sheet1!$F$615</f>
        <v>251335812.54770851</v>
      </c>
      <c r="I28" s="371">
        <f>+I25+[1]Sheet1!$G$615</f>
        <v>1.3810664415359497</v>
      </c>
      <c r="J28" s="372">
        <f>+J25+[1]Sheet1!$I$610</f>
        <v>7003234.066098839</v>
      </c>
      <c r="K28" s="369"/>
      <c r="L28" s="370">
        <f>+L25+[1]Sheet1!$V$615</f>
        <v>7003235.4471652508</v>
      </c>
      <c r="M28" s="371">
        <f>+M25-[1]Sheet1!$V$617</f>
        <v>244332577.10054344</v>
      </c>
      <c r="N28" s="369"/>
    </row>
    <row r="29" spans="1:16" ht="27.75" customHeight="1">
      <c r="C29" s="679"/>
      <c r="D29" s="679"/>
      <c r="E29" s="679"/>
      <c r="F29" s="679"/>
      <c r="G29" s="679"/>
      <c r="H29" s="679"/>
      <c r="I29" s="679"/>
      <c r="J29" s="679"/>
      <c r="K29" s="679"/>
      <c r="L29" s="679"/>
      <c r="M29" s="679"/>
      <c r="N29" s="679"/>
    </row>
    <row r="30" spans="1:16" ht="28.5" customHeight="1">
      <c r="C30" s="679"/>
      <c r="D30" s="679"/>
      <c r="E30" s="679"/>
      <c r="F30" s="679"/>
      <c r="G30" s="679"/>
      <c r="H30" s="679"/>
      <c r="I30" s="679"/>
      <c r="J30" s="679"/>
      <c r="K30" s="679"/>
      <c r="L30" s="679"/>
      <c r="M30" s="679"/>
      <c r="N30" s="679"/>
    </row>
    <row r="31" spans="1:16" ht="15.75" customHeight="1">
      <c r="C31" s="680"/>
      <c r="D31" s="680"/>
      <c r="E31" s="680"/>
      <c r="F31" s="680"/>
      <c r="G31" s="680"/>
      <c r="H31" s="680"/>
      <c r="L31" s="217"/>
    </row>
    <row r="32" spans="1:16" ht="33" customHeight="1">
      <c r="C32" s="672"/>
      <c r="D32" s="673"/>
      <c r="E32" s="673"/>
      <c r="F32" s="673"/>
      <c r="G32" s="673"/>
      <c r="H32" s="673"/>
      <c r="I32" s="673"/>
      <c r="J32" s="673"/>
      <c r="K32" s="673"/>
      <c r="L32" s="673"/>
      <c r="M32" s="673"/>
      <c r="N32" s="673"/>
    </row>
  </sheetData>
  <mergeCells count="7">
    <mergeCell ref="C32:N32"/>
    <mergeCell ref="D5:D6"/>
    <mergeCell ref="E5:H5"/>
    <mergeCell ref="I5:L5"/>
    <mergeCell ref="C29:N29"/>
    <mergeCell ref="C30:N30"/>
    <mergeCell ref="C31:H31"/>
  </mergeCells>
  <printOptions horizontalCentered="1"/>
  <pageMargins left="0" right="0" top="1.5" bottom="0.5" header="0" footer="0"/>
  <pageSetup paperSize="9" scale="78" fitToHeight="0" orientation="landscape" r:id="rId1"/>
  <headerFooter alignWithMargins="0">
    <oddHeader>&amp;C&amp;"Trebuchet MS,Regular"AMIT METALIKS LIMITED Significant Accounting Policies and Notes to Financial Statements for the Year ended 31st March 2019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20"/>
  <sheetViews>
    <sheetView zoomScale="115" zoomScaleNormal="115" workbookViewId="0">
      <pane xSplit="1" ySplit="2" topLeftCell="B183" activePane="bottomRight" state="frozen"/>
      <selection activeCell="I17" sqref="I17"/>
      <selection pane="topRight" activeCell="I17" sqref="I17"/>
      <selection pane="bottomLeft" activeCell="I17" sqref="I17"/>
      <selection pane="bottomRight" activeCell="R482" sqref="R482"/>
    </sheetView>
  </sheetViews>
  <sheetFormatPr defaultColWidth="9.109375" defaultRowHeight="14.4"/>
  <cols>
    <col min="1" max="1" width="25.5546875" style="120" customWidth="1"/>
    <col min="2" max="2" width="12.6640625" style="120" customWidth="1"/>
    <col min="3" max="3" width="13.88671875" style="120" customWidth="1"/>
    <col min="4" max="4" width="7.109375" style="120" hidden="1" customWidth="1"/>
    <col min="5" max="6" width="9" style="120" hidden="1" customWidth="1"/>
    <col min="7" max="7" width="11.6640625" style="245" customWidth="1"/>
    <col min="8" max="10" width="9" style="120" hidden="1" customWidth="1"/>
    <col min="11" max="11" width="11.109375" style="120" customWidth="1"/>
    <col min="12" max="12" width="7.5546875" style="245" customWidth="1"/>
    <col min="13" max="13" width="16.44140625" style="245" bestFit="1" customWidth="1"/>
    <col min="14" max="14" width="11.33203125" style="215" customWidth="1"/>
    <col min="15" max="15" width="12.44140625" style="245" customWidth="1"/>
    <col min="16" max="16" width="15.88671875" style="245" customWidth="1"/>
    <col min="17" max="17" width="11.6640625" style="215" customWidth="1"/>
    <col min="18" max="18" width="12.88671875" style="215" customWidth="1"/>
    <col min="19" max="19" width="21.44140625" style="120" hidden="1" customWidth="1"/>
    <col min="20" max="20" width="18" style="221" hidden="1" customWidth="1"/>
    <col min="21" max="21" width="27.109375" style="120" hidden="1" customWidth="1"/>
    <col min="22" max="23" width="12.5546875" style="120" hidden="1" customWidth="1"/>
    <col min="24" max="24" width="0" style="120" hidden="1" customWidth="1"/>
    <col min="25" max="25" width="9" style="120"/>
    <col min="26" max="16384" width="9.109375" style="120"/>
  </cols>
  <sheetData>
    <row r="1" spans="1:25" ht="68.25" customHeight="1">
      <c r="A1" s="233" t="s">
        <v>41</v>
      </c>
      <c r="B1" s="234" t="s">
        <v>42</v>
      </c>
      <c r="C1" s="213" t="s">
        <v>43</v>
      </c>
      <c r="D1" s="213" t="s">
        <v>44</v>
      </c>
      <c r="E1" s="213" t="s">
        <v>45</v>
      </c>
      <c r="F1" s="213" t="s">
        <v>46</v>
      </c>
      <c r="G1" s="235" t="s">
        <v>47</v>
      </c>
      <c r="H1" s="236" t="s">
        <v>48</v>
      </c>
      <c r="I1" s="378" t="s">
        <v>49</v>
      </c>
      <c r="J1" s="379" t="s">
        <v>50</v>
      </c>
      <c r="K1" s="237" t="s">
        <v>51</v>
      </c>
      <c r="L1" s="238" t="s">
        <v>52</v>
      </c>
      <c r="M1" s="238" t="s">
        <v>349</v>
      </c>
      <c r="N1" s="239" t="s">
        <v>242</v>
      </c>
      <c r="O1" s="238" t="s">
        <v>350</v>
      </c>
      <c r="P1" s="238" t="s">
        <v>53</v>
      </c>
      <c r="Q1" s="239" t="s">
        <v>351</v>
      </c>
      <c r="R1" s="239" t="s">
        <v>352</v>
      </c>
      <c r="S1" s="120" t="s">
        <v>327</v>
      </c>
      <c r="T1" s="221" t="s">
        <v>333</v>
      </c>
      <c r="V1" s="120" t="s">
        <v>356</v>
      </c>
      <c r="W1" s="120" t="s">
        <v>357</v>
      </c>
    </row>
    <row r="2" spans="1:25" ht="15">
      <c r="A2" s="91"/>
      <c r="B2" s="92"/>
      <c r="C2" s="93"/>
      <c r="D2" s="93"/>
      <c r="E2" s="93"/>
      <c r="F2" s="93"/>
      <c r="G2" s="94"/>
      <c r="H2" s="95"/>
      <c r="I2" s="380"/>
      <c r="J2" s="381"/>
      <c r="K2" s="123">
        <v>43921</v>
      </c>
      <c r="L2" s="114"/>
      <c r="M2" s="114"/>
      <c r="N2" s="118"/>
      <c r="O2" s="114"/>
      <c r="P2" s="114"/>
      <c r="Q2" s="118"/>
      <c r="R2" s="118"/>
    </row>
    <row r="3" spans="1:25" ht="15">
      <c r="A3" s="382" t="s">
        <v>55</v>
      </c>
      <c r="B3" s="273"/>
      <c r="C3" s="274"/>
      <c r="D3" s="274"/>
      <c r="E3" s="274"/>
      <c r="F3" s="274"/>
      <c r="G3" s="275"/>
      <c r="H3" s="276"/>
      <c r="I3" s="383"/>
      <c r="J3" s="384"/>
      <c r="K3" s="277"/>
      <c r="L3" s="278"/>
      <c r="M3" s="278"/>
      <c r="N3" s="279"/>
      <c r="O3" s="278">
        <v>10</v>
      </c>
      <c r="P3" s="278"/>
      <c r="Q3" s="279"/>
      <c r="R3" s="279"/>
      <c r="S3" s="280"/>
      <c r="T3" s="281"/>
    </row>
    <row r="4" spans="1:25">
      <c r="A4" s="282" t="s">
        <v>56</v>
      </c>
      <c r="B4" s="277">
        <v>38677</v>
      </c>
      <c r="C4" s="322">
        <v>1517161</v>
      </c>
      <c r="D4" s="282"/>
      <c r="E4" s="282"/>
      <c r="F4" s="282"/>
      <c r="G4" s="278">
        <f t="shared" ref="G4" si="0">C4*5%</f>
        <v>75858.05</v>
      </c>
      <c r="H4" s="282"/>
      <c r="I4" s="282"/>
      <c r="J4" s="282"/>
      <c r="K4" s="282">
        <f>$K$2-B4</f>
        <v>5244</v>
      </c>
      <c r="L4" s="278">
        <f>K4/365</f>
        <v>14.367123287671232</v>
      </c>
      <c r="M4" s="385">
        <v>1463971.58</v>
      </c>
      <c r="N4" s="279">
        <f>C4-M4</f>
        <v>53189.419999999925</v>
      </c>
      <c r="O4" s="278">
        <f>$O$3-L4</f>
        <v>-4.367123287671232</v>
      </c>
      <c r="P4" s="283"/>
      <c r="Q4" s="279">
        <f t="shared" ref="Q4" si="1">P4/O4</f>
        <v>0</v>
      </c>
      <c r="R4" s="279">
        <f t="shared" ref="R4" si="2">N4-Q4</f>
        <v>53189.419999999925</v>
      </c>
      <c r="S4" s="386">
        <v>0</v>
      </c>
      <c r="T4" s="281">
        <f>+Q4+S4</f>
        <v>0</v>
      </c>
    </row>
    <row r="5" spans="1:25">
      <c r="A5" s="282" t="s">
        <v>59</v>
      </c>
      <c r="B5" s="277">
        <v>39623</v>
      </c>
      <c r="C5" s="322">
        <v>41794</v>
      </c>
      <c r="D5" s="282"/>
      <c r="E5" s="282"/>
      <c r="F5" s="282"/>
      <c r="G5" s="278">
        <f>C5*5%</f>
        <v>2089.7000000000003</v>
      </c>
      <c r="H5" s="282"/>
      <c r="I5" s="282"/>
      <c r="J5" s="282"/>
      <c r="K5" s="282">
        <f>$K$2-B5</f>
        <v>4298</v>
      </c>
      <c r="L5" s="278">
        <f>K5/365</f>
        <v>11.775342465753425</v>
      </c>
      <c r="M5" s="385">
        <v>39704.300000000003</v>
      </c>
      <c r="N5" s="279">
        <f>C5-M5</f>
        <v>2089.6999999999971</v>
      </c>
      <c r="O5" s="278">
        <f>$O$3-L5</f>
        <v>-1.7753424657534254</v>
      </c>
      <c r="P5" s="278">
        <f>N5-G5</f>
        <v>0</v>
      </c>
      <c r="Q5" s="279">
        <f>P5</f>
        <v>0</v>
      </c>
      <c r="R5" s="279">
        <f>N5-Q5</f>
        <v>2089.6999999999971</v>
      </c>
      <c r="S5" s="386">
        <v>0</v>
      </c>
      <c r="T5" s="232">
        <f t="shared" ref="T5:T11" si="3">-(Q5+S5)</f>
        <v>0</v>
      </c>
    </row>
    <row r="6" spans="1:25">
      <c r="A6" s="282" t="s">
        <v>57</v>
      </c>
      <c r="B6" s="277">
        <v>39747</v>
      </c>
      <c r="C6" s="322">
        <v>649424</v>
      </c>
      <c r="D6" s="282"/>
      <c r="E6" s="282"/>
      <c r="F6" s="282"/>
      <c r="G6" s="278">
        <f>C6*5%</f>
        <v>32471.200000000001</v>
      </c>
      <c r="H6" s="282"/>
      <c r="I6" s="282"/>
      <c r="J6" s="282"/>
      <c r="K6" s="282">
        <f>$K$2-B6</f>
        <v>4174</v>
      </c>
      <c r="L6" s="278">
        <f t="shared" ref="L6" si="4">K6/365</f>
        <v>11.435616438356165</v>
      </c>
      <c r="M6" s="385">
        <v>616952.80000000005</v>
      </c>
      <c r="N6" s="279">
        <f>C6-M6</f>
        <v>32471.199999999953</v>
      </c>
      <c r="O6" s="278">
        <f>$O$3-L6</f>
        <v>-1.4356164383561651</v>
      </c>
      <c r="P6" s="278">
        <f>N6-G6</f>
        <v>-4.7293724492192268E-11</v>
      </c>
      <c r="Q6" s="279">
        <f>P6</f>
        <v>-4.7293724492192268E-11</v>
      </c>
      <c r="R6" s="279">
        <f>N6-Q6</f>
        <v>32471.200000000001</v>
      </c>
      <c r="S6" s="386">
        <v>0</v>
      </c>
      <c r="T6" s="232">
        <f t="shared" si="3"/>
        <v>4.7293724492192268E-11</v>
      </c>
    </row>
    <row r="7" spans="1:25">
      <c r="A7" s="282" t="s">
        <v>58</v>
      </c>
      <c r="B7" s="277">
        <v>39759</v>
      </c>
      <c r="C7" s="322">
        <v>475000</v>
      </c>
      <c r="D7" s="282"/>
      <c r="E7" s="282"/>
      <c r="F7" s="282"/>
      <c r="G7" s="278">
        <f>C7*5%</f>
        <v>23750</v>
      </c>
      <c r="H7" s="282"/>
      <c r="I7" s="282"/>
      <c r="J7" s="282"/>
      <c r="K7" s="282">
        <f>$K$2-B7</f>
        <v>4162</v>
      </c>
      <c r="L7" s="278">
        <f>K7/365</f>
        <v>11.402739726027397</v>
      </c>
      <c r="M7" s="385">
        <v>451250</v>
      </c>
      <c r="N7" s="279">
        <f>C7-M7</f>
        <v>23750</v>
      </c>
      <c r="O7" s="278">
        <f>$O$3-L7</f>
        <v>-1.4027397260273968</v>
      </c>
      <c r="P7" s="278">
        <f>N7-G7</f>
        <v>0</v>
      </c>
      <c r="Q7" s="279">
        <f>P7</f>
        <v>0</v>
      </c>
      <c r="R7" s="279">
        <f>N7-Q7</f>
        <v>23750</v>
      </c>
      <c r="S7" s="386">
        <v>0</v>
      </c>
      <c r="T7" s="232">
        <f t="shared" si="3"/>
        <v>0</v>
      </c>
    </row>
    <row r="8" spans="1:25">
      <c r="A8" s="282" t="s">
        <v>60</v>
      </c>
      <c r="B8" s="277">
        <v>41621</v>
      </c>
      <c r="C8" s="322">
        <v>2360112</v>
      </c>
      <c r="D8" s="282"/>
      <c r="E8" s="282"/>
      <c r="F8" s="282"/>
      <c r="G8" s="278">
        <f>C8*5%</f>
        <v>118005.6</v>
      </c>
      <c r="H8" s="282"/>
      <c r="I8" s="282"/>
      <c r="J8" s="282"/>
      <c r="K8" s="282">
        <f>$K$2-B8</f>
        <v>2300</v>
      </c>
      <c r="L8" s="278">
        <f>K8/365</f>
        <v>6.3013698630136989</v>
      </c>
      <c r="M8" s="385">
        <v>1411844.9</v>
      </c>
      <c r="N8" s="279">
        <f>C8-M8</f>
        <v>948267.10000000009</v>
      </c>
      <c r="O8" s="278">
        <f>$O$3-L8</f>
        <v>3.6986301369863011</v>
      </c>
      <c r="P8" s="278">
        <f>N8-G8</f>
        <v>830261.50000000012</v>
      </c>
      <c r="Q8" s="279">
        <f>P8/O8</f>
        <v>224478.1092592593</v>
      </c>
      <c r="R8" s="279">
        <f>N8-Q8</f>
        <v>723788.99074074079</v>
      </c>
      <c r="S8" s="386">
        <v>-224210.64</v>
      </c>
      <c r="T8" s="232">
        <f t="shared" si="3"/>
        <v>-267.46925925929099</v>
      </c>
      <c r="V8" s="120">
        <f>+(C8-G8-M8)/O8</f>
        <v>224478.10925925928</v>
      </c>
      <c r="W8" s="120">
        <f>+(C8-G8)/O$3</f>
        <v>224210.63999999998</v>
      </c>
      <c r="X8" s="215">
        <f>+Q8-V8</f>
        <v>0</v>
      </c>
      <c r="Y8" s="215">
        <f>+W8+S8</f>
        <v>0</v>
      </c>
    </row>
    <row r="9" spans="1:25">
      <c r="A9" s="314" t="s">
        <v>300</v>
      </c>
      <c r="B9" s="387">
        <v>43556</v>
      </c>
      <c r="C9" s="329">
        <v>65500</v>
      </c>
      <c r="D9" s="282"/>
      <c r="E9" s="282"/>
      <c r="F9" s="282"/>
      <c r="G9" s="278">
        <f t="shared" ref="G9:G11" si="5">C9*5%</f>
        <v>3275</v>
      </c>
      <c r="H9" s="282"/>
      <c r="I9" s="282"/>
      <c r="J9" s="282"/>
      <c r="K9" s="282">
        <f>$K$2-B9+1</f>
        <v>366</v>
      </c>
      <c r="L9" s="278">
        <f t="shared" ref="L9:L11" si="6">K9/365</f>
        <v>1.0027397260273974</v>
      </c>
      <c r="M9" s="385">
        <v>6222.5</v>
      </c>
      <c r="N9" s="279">
        <f t="shared" ref="N9:N11" si="7">C9-M9</f>
        <v>59277.5</v>
      </c>
      <c r="O9" s="278">
        <f t="shared" ref="O9:O11" si="8">$O$3-L9</f>
        <v>8.9972602739726035</v>
      </c>
      <c r="P9" s="278">
        <f>N9-G9</f>
        <v>56002.5</v>
      </c>
      <c r="Q9" s="279">
        <f>P9/O9</f>
        <v>6224.3947929354445</v>
      </c>
      <c r="R9" s="279">
        <f t="shared" ref="R9:R11" si="9">N9-Q9</f>
        <v>53053.105207064553</v>
      </c>
      <c r="S9" s="386">
        <v>-6222.5</v>
      </c>
      <c r="T9" s="232">
        <f t="shared" si="3"/>
        <v>-1.8947929354444568</v>
      </c>
      <c r="V9" s="120">
        <f t="shared" ref="V9:V11" si="10">+(C9-G9-M9)/O9</f>
        <v>6224.3947929354445</v>
      </c>
      <c r="W9" s="120">
        <f t="shared" ref="W9:W11" si="11">+(C9-G9)/O$3</f>
        <v>6222.5</v>
      </c>
      <c r="X9" s="215">
        <f t="shared" ref="X9:X11" si="12">+Q9-V9</f>
        <v>0</v>
      </c>
      <c r="Y9" s="215">
        <f t="shared" ref="Y9:Y11" si="13">+W9+S9</f>
        <v>0</v>
      </c>
    </row>
    <row r="10" spans="1:25">
      <c r="A10" s="314" t="s">
        <v>299</v>
      </c>
      <c r="B10" s="387">
        <v>43718</v>
      </c>
      <c r="C10" s="329">
        <v>1804063</v>
      </c>
      <c r="D10" s="282"/>
      <c r="E10" s="282"/>
      <c r="F10" s="282"/>
      <c r="G10" s="278">
        <f t="shared" si="5"/>
        <v>90203.150000000009</v>
      </c>
      <c r="H10" s="282"/>
      <c r="I10" s="282"/>
      <c r="J10" s="282"/>
      <c r="K10" s="282">
        <f>$K$2-B10+1</f>
        <v>204</v>
      </c>
      <c r="L10" s="278">
        <f t="shared" si="6"/>
        <v>0.55890410958904113</v>
      </c>
      <c r="M10" s="385">
        <v>95526.61</v>
      </c>
      <c r="N10" s="279">
        <f t="shared" si="7"/>
        <v>1708536.39</v>
      </c>
      <c r="O10" s="278">
        <f t="shared" si="8"/>
        <v>9.4410958904109581</v>
      </c>
      <c r="P10" s="278">
        <f t="shared" ref="P10:P11" si="14">N10-G10</f>
        <v>1618333.24</v>
      </c>
      <c r="Q10" s="279">
        <f>P10/O10</f>
        <v>171413.70650029019</v>
      </c>
      <c r="R10" s="279">
        <f t="shared" si="9"/>
        <v>1537122.6834997097</v>
      </c>
      <c r="S10" s="386">
        <v>-171385.99</v>
      </c>
      <c r="T10" s="232">
        <f t="shared" si="3"/>
        <v>-27.71650029020384</v>
      </c>
      <c r="V10" s="120">
        <f t="shared" si="10"/>
        <v>171413.70650029019</v>
      </c>
      <c r="W10" s="120">
        <f t="shared" si="11"/>
        <v>171385.98500000002</v>
      </c>
      <c r="X10" s="215">
        <f t="shared" si="12"/>
        <v>0</v>
      </c>
      <c r="Y10" s="215">
        <f t="shared" si="13"/>
        <v>-4.9999999755527824E-3</v>
      </c>
    </row>
    <row r="11" spans="1:25">
      <c r="A11" s="314" t="s">
        <v>301</v>
      </c>
      <c r="B11" s="387">
        <v>43799</v>
      </c>
      <c r="C11" s="329">
        <v>41945.31</v>
      </c>
      <c r="D11" s="282"/>
      <c r="E11" s="282"/>
      <c r="F11" s="282"/>
      <c r="G11" s="278">
        <f t="shared" si="5"/>
        <v>2097.2655</v>
      </c>
      <c r="H11" s="282"/>
      <c r="I11" s="282"/>
      <c r="J11" s="282"/>
      <c r="K11" s="282">
        <f>$K$2-B11+1</f>
        <v>123</v>
      </c>
      <c r="L11" s="278">
        <f t="shared" si="6"/>
        <v>0.33698630136986302</v>
      </c>
      <c r="M11" s="385">
        <v>1339.16</v>
      </c>
      <c r="N11" s="279">
        <f t="shared" si="7"/>
        <v>40606.149999999994</v>
      </c>
      <c r="O11" s="278">
        <f t="shared" si="8"/>
        <v>9.6630136986301363</v>
      </c>
      <c r="P11" s="278">
        <f t="shared" si="14"/>
        <v>38508.884499999993</v>
      </c>
      <c r="Q11" s="279">
        <f>P11/O11</f>
        <v>3985.1836808902744</v>
      </c>
      <c r="R11" s="279">
        <f t="shared" si="9"/>
        <v>36620.966319109721</v>
      </c>
      <c r="S11" s="386">
        <v>-3984.8</v>
      </c>
      <c r="T11" s="232">
        <f t="shared" si="3"/>
        <v>-0.38368089027426322</v>
      </c>
      <c r="V11" s="120">
        <f t="shared" si="10"/>
        <v>3985.1836808902744</v>
      </c>
      <c r="W11" s="120">
        <f t="shared" si="11"/>
        <v>3984.8044499999996</v>
      </c>
      <c r="X11" s="215">
        <f t="shared" si="12"/>
        <v>0</v>
      </c>
      <c r="Y11" s="215">
        <f t="shared" si="13"/>
        <v>4.4499999994513928E-3</v>
      </c>
    </row>
    <row r="12" spans="1:25" ht="15">
      <c r="A12" s="382" t="s">
        <v>61</v>
      </c>
      <c r="B12" s="282"/>
      <c r="C12" s="287">
        <f>SUM(C4:C11)</f>
        <v>6954999.3099999996</v>
      </c>
      <c r="D12" s="282"/>
      <c r="E12" s="282"/>
      <c r="F12" s="282"/>
      <c r="G12" s="278"/>
      <c r="H12" s="282"/>
      <c r="I12" s="282"/>
      <c r="J12" s="282"/>
      <c r="K12" s="282"/>
      <c r="L12" s="278"/>
      <c r="M12" s="288">
        <f>SUM(M4:M11)</f>
        <v>4086811.85</v>
      </c>
      <c r="N12" s="289">
        <f>SUM(N4:N11)</f>
        <v>2868187.4599999995</v>
      </c>
      <c r="O12" s="278"/>
      <c r="P12" s="278"/>
      <c r="Q12" s="289">
        <f>SUM(Q4:Q11)</f>
        <v>406101.39423337515</v>
      </c>
      <c r="R12" s="289">
        <f>SUM(R4:R11)</f>
        <v>2462086.0657666246</v>
      </c>
      <c r="S12" s="250"/>
      <c r="T12" s="250"/>
      <c r="U12" s="272">
        <f>-SUM(S4:S11)</f>
        <v>405803.93</v>
      </c>
    </row>
    <row r="13" spans="1:25" ht="15">
      <c r="A13" s="388"/>
      <c r="B13" s="111"/>
      <c r="C13" s="117"/>
      <c r="D13" s="111"/>
      <c r="E13" s="111"/>
      <c r="F13" s="111"/>
      <c r="G13" s="114"/>
      <c r="H13" s="111"/>
      <c r="I13" s="111"/>
      <c r="J13" s="111"/>
      <c r="K13" s="111"/>
      <c r="L13" s="114"/>
      <c r="M13" s="114"/>
      <c r="N13" s="118"/>
      <c r="O13" s="114"/>
      <c r="P13" s="114"/>
      <c r="Q13" s="119"/>
      <c r="R13" s="119"/>
      <c r="S13" s="232"/>
      <c r="T13" s="232"/>
    </row>
    <row r="14" spans="1:25" ht="15">
      <c r="A14" s="388" t="s">
        <v>10</v>
      </c>
      <c r="B14" s="111"/>
      <c r="C14" s="111"/>
      <c r="D14" s="111"/>
      <c r="E14" s="111"/>
      <c r="F14" s="111"/>
      <c r="G14" s="114"/>
      <c r="H14" s="111"/>
      <c r="I14" s="111"/>
      <c r="J14" s="111"/>
      <c r="K14" s="111"/>
      <c r="L14" s="114"/>
      <c r="M14" s="114"/>
      <c r="N14" s="118"/>
      <c r="O14" s="138">
        <v>20</v>
      </c>
      <c r="P14" s="114"/>
      <c r="Q14" s="118"/>
      <c r="R14" s="118"/>
      <c r="S14" s="232"/>
      <c r="T14" s="232"/>
    </row>
    <row r="15" spans="1:25">
      <c r="A15" s="282" t="s">
        <v>62</v>
      </c>
      <c r="B15" s="277">
        <v>38483</v>
      </c>
      <c r="C15" s="322">
        <v>17014</v>
      </c>
      <c r="D15" s="282"/>
      <c r="E15" s="282"/>
      <c r="F15" s="282"/>
      <c r="G15" s="278">
        <f t="shared" ref="G15:G46" si="15">C15*5%</f>
        <v>850.7</v>
      </c>
      <c r="H15" s="282"/>
      <c r="I15" s="282"/>
      <c r="J15" s="282"/>
      <c r="K15" s="282">
        <f t="shared" ref="K15" si="16">$K$2-B15</f>
        <v>5438</v>
      </c>
      <c r="L15" s="278">
        <f t="shared" ref="L15" si="17">K15/365</f>
        <v>14.898630136986302</v>
      </c>
      <c r="M15" s="385">
        <v>12036.86</v>
      </c>
      <c r="N15" s="279">
        <f t="shared" ref="N15" si="18">C15-M15</f>
        <v>4977.1399999999994</v>
      </c>
      <c r="O15" s="290">
        <f t="shared" ref="O15:O46" si="19">$O$14-L15</f>
        <v>5.1013698630136979</v>
      </c>
      <c r="P15" s="278">
        <f t="shared" ref="P15" si="20">N15-G15</f>
        <v>4126.4399999999996</v>
      </c>
      <c r="Q15" s="279">
        <f>+(C15-G15)/$O$14</f>
        <v>808.16499999999996</v>
      </c>
      <c r="R15" s="279">
        <f t="shared" ref="R15" si="21">N15-Q15</f>
        <v>4168.9749999999995</v>
      </c>
      <c r="S15" s="385">
        <v>-808.17</v>
      </c>
      <c r="T15" s="232">
        <f t="shared" ref="T15" si="22">-(Q15+S15)</f>
        <v>4.9999999999954525E-3</v>
      </c>
      <c r="V15" s="120">
        <v>0</v>
      </c>
      <c r="W15" s="120">
        <v>0</v>
      </c>
      <c r="X15" s="215">
        <f>+Q15-V15</f>
        <v>808.16499999999996</v>
      </c>
      <c r="Y15" s="215">
        <f>+W15+S15</f>
        <v>-808.17</v>
      </c>
    </row>
    <row r="16" spans="1:25">
      <c r="A16" s="282" t="s">
        <v>63</v>
      </c>
      <c r="B16" s="277">
        <v>39539</v>
      </c>
      <c r="C16" s="322">
        <v>254988</v>
      </c>
      <c r="D16" s="282"/>
      <c r="E16" s="282"/>
      <c r="F16" s="282"/>
      <c r="G16" s="278">
        <f t="shared" si="15"/>
        <v>12749.400000000001</v>
      </c>
      <c r="H16" s="282"/>
      <c r="I16" s="282"/>
      <c r="J16" s="282"/>
      <c r="K16" s="282">
        <f t="shared" ref="K16:K47" si="23">$K$2-B16</f>
        <v>4382</v>
      </c>
      <c r="L16" s="278">
        <f t="shared" ref="L16:L47" si="24">K16/365</f>
        <v>12.005479452054795</v>
      </c>
      <c r="M16" s="385">
        <v>145351.46</v>
      </c>
      <c r="N16" s="279">
        <f t="shared" ref="N16:N47" si="25">C16-M16</f>
        <v>109636.54000000001</v>
      </c>
      <c r="O16" s="290">
        <f t="shared" si="19"/>
        <v>7.9945205479452053</v>
      </c>
      <c r="P16" s="278">
        <f t="shared" ref="P16:P47" si="26">N16-G16</f>
        <v>96887.140000000014</v>
      </c>
      <c r="Q16" s="279">
        <f>+(C16-G16)/$O$14</f>
        <v>12111.93</v>
      </c>
      <c r="R16" s="279">
        <f t="shared" ref="R16:R47" si="27">N16-Q16</f>
        <v>97524.610000000015</v>
      </c>
      <c r="S16" s="385">
        <v>-12111.93</v>
      </c>
      <c r="T16" s="232">
        <f t="shared" ref="T16:T47" si="28">-(Q16+S16)</f>
        <v>0</v>
      </c>
    </row>
    <row r="17" spans="1:25">
      <c r="A17" s="282" t="s">
        <v>64</v>
      </c>
      <c r="B17" s="277">
        <v>39539</v>
      </c>
      <c r="C17" s="322">
        <v>25000</v>
      </c>
      <c r="D17" s="282"/>
      <c r="E17" s="282"/>
      <c r="F17" s="282"/>
      <c r="G17" s="278">
        <f t="shared" si="15"/>
        <v>1250</v>
      </c>
      <c r="H17" s="282"/>
      <c r="I17" s="282"/>
      <c r="J17" s="282"/>
      <c r="K17" s="282">
        <f t="shared" si="23"/>
        <v>4382</v>
      </c>
      <c r="L17" s="278">
        <f t="shared" si="24"/>
        <v>12.005479452054795</v>
      </c>
      <c r="M17" s="385">
        <v>14250.81</v>
      </c>
      <c r="N17" s="279">
        <f t="shared" si="25"/>
        <v>10749.19</v>
      </c>
      <c r="O17" s="290">
        <f t="shared" si="19"/>
        <v>7.9945205479452053</v>
      </c>
      <c r="P17" s="278">
        <f t="shared" si="26"/>
        <v>9499.19</v>
      </c>
      <c r="Q17" s="279">
        <f>P17/O17</f>
        <v>1188.2125942426321</v>
      </c>
      <c r="R17" s="279">
        <f t="shared" si="27"/>
        <v>9560.9774057573686</v>
      </c>
      <c r="S17" s="385">
        <v>-1187.5</v>
      </c>
      <c r="T17" s="232">
        <f t="shared" si="28"/>
        <v>-0.71259424263212168</v>
      </c>
    </row>
    <row r="18" spans="1:25">
      <c r="A18" s="282" t="s">
        <v>66</v>
      </c>
      <c r="B18" s="277">
        <v>39539</v>
      </c>
      <c r="C18" s="322">
        <v>12611084</v>
      </c>
      <c r="D18" s="282"/>
      <c r="E18" s="282"/>
      <c r="F18" s="282"/>
      <c r="G18" s="278">
        <f t="shared" si="15"/>
        <v>630554.20000000007</v>
      </c>
      <c r="H18" s="282"/>
      <c r="I18" s="282"/>
      <c r="J18" s="282"/>
      <c r="K18" s="282">
        <f t="shared" si="23"/>
        <v>4382</v>
      </c>
      <c r="L18" s="278">
        <f t="shared" si="24"/>
        <v>12.005479452054795</v>
      </c>
      <c r="M18" s="385">
        <v>7270114.21</v>
      </c>
      <c r="N18" s="279">
        <f t="shared" si="25"/>
        <v>5340969.79</v>
      </c>
      <c r="O18" s="290">
        <f t="shared" si="19"/>
        <v>7.9945205479452053</v>
      </c>
      <c r="P18" s="278">
        <f t="shared" si="26"/>
        <v>4710415.59</v>
      </c>
      <c r="Q18" s="279">
        <f>P18/O18</f>
        <v>589205.51417066483</v>
      </c>
      <c r="R18" s="279">
        <f t="shared" si="27"/>
        <v>4751764.2758293357</v>
      </c>
      <c r="S18" s="385">
        <v>-599026.49</v>
      </c>
      <c r="T18" s="254">
        <f t="shared" si="28"/>
        <v>9820.9758293351624</v>
      </c>
      <c r="X18" s="215"/>
      <c r="Y18" s="215"/>
    </row>
    <row r="19" spans="1:25">
      <c r="A19" s="282" t="s">
        <v>67</v>
      </c>
      <c r="B19" s="277">
        <v>39539</v>
      </c>
      <c r="C19" s="322">
        <v>724870</v>
      </c>
      <c r="D19" s="282"/>
      <c r="E19" s="282"/>
      <c r="F19" s="282"/>
      <c r="G19" s="278">
        <f t="shared" si="15"/>
        <v>36243.5</v>
      </c>
      <c r="H19" s="282"/>
      <c r="I19" s="282"/>
      <c r="J19" s="282"/>
      <c r="K19" s="282">
        <f t="shared" si="23"/>
        <v>4382</v>
      </c>
      <c r="L19" s="278">
        <f t="shared" si="24"/>
        <v>12.005479452054795</v>
      </c>
      <c r="M19" s="385">
        <v>413199.49</v>
      </c>
      <c r="N19" s="279">
        <f t="shared" si="25"/>
        <v>311670.51</v>
      </c>
      <c r="O19" s="290">
        <f t="shared" si="19"/>
        <v>7.9945205479452053</v>
      </c>
      <c r="P19" s="278">
        <f t="shared" si="26"/>
        <v>275427.01</v>
      </c>
      <c r="Q19" s="279">
        <f>+(C19-G19)/$O$14</f>
        <v>34431.324999999997</v>
      </c>
      <c r="R19" s="279">
        <f t="shared" si="27"/>
        <v>277239.185</v>
      </c>
      <c r="S19" s="385">
        <v>-34431.33</v>
      </c>
      <c r="T19" s="232">
        <f t="shared" si="28"/>
        <v>5.0000000046566129E-3</v>
      </c>
    </row>
    <row r="20" spans="1:25">
      <c r="A20" s="282" t="s">
        <v>68</v>
      </c>
      <c r="B20" s="277">
        <v>39539</v>
      </c>
      <c r="C20" s="322">
        <v>1505200</v>
      </c>
      <c r="D20" s="282"/>
      <c r="E20" s="282"/>
      <c r="F20" s="282"/>
      <c r="G20" s="278">
        <f t="shared" si="15"/>
        <v>75260</v>
      </c>
      <c r="H20" s="282"/>
      <c r="I20" s="282"/>
      <c r="J20" s="282"/>
      <c r="K20" s="282">
        <f t="shared" si="23"/>
        <v>4382</v>
      </c>
      <c r="L20" s="278">
        <f t="shared" si="24"/>
        <v>12.005479452054795</v>
      </c>
      <c r="M20" s="385">
        <v>858012.98</v>
      </c>
      <c r="N20" s="279">
        <f t="shared" si="25"/>
        <v>647187.02</v>
      </c>
      <c r="O20" s="290">
        <f t="shared" si="19"/>
        <v>7.9945205479452053</v>
      </c>
      <c r="P20" s="278">
        <f t="shared" si="26"/>
        <v>571927.02</v>
      </c>
      <c r="Q20" s="279">
        <f>+(C20-G20)/$O$14</f>
        <v>71497</v>
      </c>
      <c r="R20" s="279">
        <f t="shared" si="27"/>
        <v>575690.02</v>
      </c>
      <c r="S20" s="385">
        <v>-71497</v>
      </c>
      <c r="T20" s="232">
        <f t="shared" si="28"/>
        <v>0</v>
      </c>
    </row>
    <row r="21" spans="1:25">
      <c r="A21" s="282" t="s">
        <v>69</v>
      </c>
      <c r="B21" s="277">
        <v>39539</v>
      </c>
      <c r="C21" s="322">
        <v>10624508</v>
      </c>
      <c r="D21" s="282"/>
      <c r="E21" s="282"/>
      <c r="F21" s="282"/>
      <c r="G21" s="278">
        <f t="shared" si="15"/>
        <v>531225.4</v>
      </c>
      <c r="H21" s="282"/>
      <c r="I21" s="282"/>
      <c r="J21" s="282"/>
      <c r="K21" s="282">
        <f t="shared" si="23"/>
        <v>4382</v>
      </c>
      <c r="L21" s="278">
        <f t="shared" si="24"/>
        <v>12.005479452054795</v>
      </c>
      <c r="M21" s="385">
        <v>6056315.2999999998</v>
      </c>
      <c r="N21" s="279">
        <f t="shared" si="25"/>
        <v>4568192.7</v>
      </c>
      <c r="O21" s="290">
        <f t="shared" si="19"/>
        <v>7.9945205479452053</v>
      </c>
      <c r="P21" s="278">
        <f t="shared" si="26"/>
        <v>4036967.3000000003</v>
      </c>
      <c r="Q21" s="279">
        <f t="shared" ref="Q21:Q41" si="29">P21/O21</f>
        <v>504966.78015764226</v>
      </c>
      <c r="R21" s="279">
        <f t="shared" si="27"/>
        <v>4063225.9198423577</v>
      </c>
      <c r="S21" s="385">
        <v>-504664.13</v>
      </c>
      <c r="T21" s="254">
        <f t="shared" si="28"/>
        <v>-302.65015764225973</v>
      </c>
    </row>
    <row r="22" spans="1:25">
      <c r="A22" s="282" t="s">
        <v>70</v>
      </c>
      <c r="B22" s="277">
        <v>39539</v>
      </c>
      <c r="C22" s="322">
        <v>10789</v>
      </c>
      <c r="D22" s="282"/>
      <c r="E22" s="282"/>
      <c r="F22" s="282"/>
      <c r="G22" s="278">
        <f t="shared" si="15"/>
        <v>539.45000000000005</v>
      </c>
      <c r="H22" s="282"/>
      <c r="I22" s="282"/>
      <c r="J22" s="282"/>
      <c r="K22" s="282">
        <f t="shared" si="23"/>
        <v>4382</v>
      </c>
      <c r="L22" s="278">
        <f t="shared" si="24"/>
        <v>12.005479452054795</v>
      </c>
      <c r="M22" s="385">
        <v>6150.08</v>
      </c>
      <c r="N22" s="279">
        <f t="shared" si="25"/>
        <v>4638.92</v>
      </c>
      <c r="O22" s="290">
        <f t="shared" si="19"/>
        <v>7.9945205479452053</v>
      </c>
      <c r="P22" s="278">
        <f t="shared" si="26"/>
        <v>4099.47</v>
      </c>
      <c r="Q22" s="279">
        <f t="shared" si="29"/>
        <v>512.78497258396169</v>
      </c>
      <c r="R22" s="279">
        <f t="shared" si="27"/>
        <v>4126.1350274160386</v>
      </c>
      <c r="S22" s="385">
        <v>-512.48</v>
      </c>
      <c r="T22" s="232">
        <f t="shared" si="28"/>
        <v>-0.30497258396167126</v>
      </c>
    </row>
    <row r="23" spans="1:25">
      <c r="A23" s="282" t="s">
        <v>71</v>
      </c>
      <c r="B23" s="277">
        <v>39539</v>
      </c>
      <c r="C23" s="322">
        <v>13027510</v>
      </c>
      <c r="D23" s="282"/>
      <c r="E23" s="282"/>
      <c r="F23" s="282"/>
      <c r="G23" s="278">
        <f t="shared" si="15"/>
        <v>651375.5</v>
      </c>
      <c r="H23" s="282"/>
      <c r="I23" s="282"/>
      <c r="J23" s="282"/>
      <c r="K23" s="282">
        <f t="shared" si="23"/>
        <v>4382</v>
      </c>
      <c r="L23" s="278">
        <f t="shared" si="24"/>
        <v>12.005479452054795</v>
      </c>
      <c r="M23" s="385">
        <v>7426104.6399999997</v>
      </c>
      <c r="N23" s="279">
        <f t="shared" si="25"/>
        <v>5601405.3600000003</v>
      </c>
      <c r="O23" s="290">
        <f t="shared" si="19"/>
        <v>7.9945205479452053</v>
      </c>
      <c r="P23" s="278">
        <f t="shared" si="26"/>
        <v>4950029.8600000003</v>
      </c>
      <c r="Q23" s="279">
        <f t="shared" si="29"/>
        <v>619177.82690198778</v>
      </c>
      <c r="R23" s="279">
        <f t="shared" si="27"/>
        <v>4982227.5330980122</v>
      </c>
      <c r="S23" s="385">
        <v>-618806.73</v>
      </c>
      <c r="T23" s="254">
        <f t="shared" si="28"/>
        <v>-371.09690198779572</v>
      </c>
      <c r="U23" s="111"/>
    </row>
    <row r="24" spans="1:25">
      <c r="A24" s="282" t="s">
        <v>72</v>
      </c>
      <c r="B24" s="277">
        <v>39539</v>
      </c>
      <c r="C24" s="322">
        <v>756090</v>
      </c>
      <c r="D24" s="282"/>
      <c r="E24" s="282"/>
      <c r="F24" s="282"/>
      <c r="G24" s="278">
        <f t="shared" si="15"/>
        <v>37804.5</v>
      </c>
      <c r="H24" s="282"/>
      <c r="I24" s="282"/>
      <c r="J24" s="282">
        <f>J39+J37+J20</f>
        <v>0</v>
      </c>
      <c r="K24" s="282">
        <f t="shared" si="23"/>
        <v>4382</v>
      </c>
      <c r="L24" s="278">
        <f t="shared" si="24"/>
        <v>12.005479452054795</v>
      </c>
      <c r="M24" s="385">
        <v>430995.91</v>
      </c>
      <c r="N24" s="279">
        <f t="shared" si="25"/>
        <v>325094.09000000003</v>
      </c>
      <c r="O24" s="290">
        <f t="shared" si="19"/>
        <v>7.9945205479452053</v>
      </c>
      <c r="P24" s="278">
        <f t="shared" si="26"/>
        <v>287289.59000000003</v>
      </c>
      <c r="Q24" s="279">
        <f t="shared" si="29"/>
        <v>35935.812320082252</v>
      </c>
      <c r="R24" s="279">
        <f t="shared" si="27"/>
        <v>289158.27767991775</v>
      </c>
      <c r="S24" s="385">
        <v>-35914.28</v>
      </c>
      <c r="T24" s="254">
        <f t="shared" si="28"/>
        <v>-21.532320082253136</v>
      </c>
    </row>
    <row r="25" spans="1:25">
      <c r="A25" s="282" t="s">
        <v>73</v>
      </c>
      <c r="B25" s="277">
        <v>39539</v>
      </c>
      <c r="C25" s="322">
        <v>175900</v>
      </c>
      <c r="D25" s="282"/>
      <c r="E25" s="282"/>
      <c r="F25" s="282"/>
      <c r="G25" s="278">
        <f t="shared" si="15"/>
        <v>8795</v>
      </c>
      <c r="H25" s="282"/>
      <c r="I25" s="282"/>
      <c r="J25" s="282"/>
      <c r="K25" s="282">
        <f t="shared" si="23"/>
        <v>4382</v>
      </c>
      <c r="L25" s="278">
        <f t="shared" si="24"/>
        <v>12.005479452054795</v>
      </c>
      <c r="M25" s="385">
        <v>100268.72</v>
      </c>
      <c r="N25" s="279">
        <f t="shared" si="25"/>
        <v>75631.28</v>
      </c>
      <c r="O25" s="290">
        <f t="shared" si="19"/>
        <v>7.9945205479452053</v>
      </c>
      <c r="P25" s="278">
        <f t="shared" si="26"/>
        <v>66836.28</v>
      </c>
      <c r="Q25" s="279">
        <f t="shared" si="29"/>
        <v>8360.2612063056895</v>
      </c>
      <c r="R25" s="279">
        <f t="shared" si="27"/>
        <v>67271.018793694311</v>
      </c>
      <c r="S25" s="385">
        <v>-8355.25</v>
      </c>
      <c r="T25" s="254">
        <f t="shared" si="28"/>
        <v>-5.011206305689484</v>
      </c>
    </row>
    <row r="26" spans="1:25">
      <c r="A26" s="282" t="s">
        <v>74</v>
      </c>
      <c r="B26" s="277">
        <v>39539</v>
      </c>
      <c r="C26" s="322">
        <v>242000</v>
      </c>
      <c r="D26" s="282"/>
      <c r="E26" s="282"/>
      <c r="F26" s="282"/>
      <c r="G26" s="278">
        <f t="shared" si="15"/>
        <v>12100</v>
      </c>
      <c r="H26" s="282"/>
      <c r="I26" s="282"/>
      <c r="J26" s="282"/>
      <c r="K26" s="282">
        <f t="shared" si="23"/>
        <v>4382</v>
      </c>
      <c r="L26" s="278">
        <f t="shared" si="24"/>
        <v>12.005479452054795</v>
      </c>
      <c r="M26" s="385">
        <v>137947.88</v>
      </c>
      <c r="N26" s="279">
        <f t="shared" si="25"/>
        <v>104052.12</v>
      </c>
      <c r="O26" s="290">
        <f t="shared" si="19"/>
        <v>7.9945205479452053</v>
      </c>
      <c r="P26" s="278">
        <f t="shared" si="26"/>
        <v>91952.12</v>
      </c>
      <c r="Q26" s="279">
        <f t="shared" si="29"/>
        <v>11501.893008910212</v>
      </c>
      <c r="R26" s="279">
        <f t="shared" si="27"/>
        <v>92550.226991089788</v>
      </c>
      <c r="S26" s="385">
        <v>-11495</v>
      </c>
      <c r="T26" s="232">
        <f t="shared" si="28"/>
        <v>-6.893008910212302</v>
      </c>
      <c r="U26" s="111"/>
    </row>
    <row r="27" spans="1:25">
      <c r="A27" s="319" t="s">
        <v>76</v>
      </c>
      <c r="B27" s="320">
        <v>39539</v>
      </c>
      <c r="C27" s="322">
        <v>251594</v>
      </c>
      <c r="D27" s="319"/>
      <c r="E27" s="319"/>
      <c r="F27" s="319"/>
      <c r="G27" s="112">
        <f t="shared" si="15"/>
        <v>12579.7</v>
      </c>
      <c r="H27" s="319"/>
      <c r="I27" s="319"/>
      <c r="J27" s="319"/>
      <c r="K27" s="319">
        <f t="shared" si="23"/>
        <v>4382</v>
      </c>
      <c r="L27" s="112">
        <f t="shared" si="24"/>
        <v>12.005479452054795</v>
      </c>
      <c r="M27" s="323">
        <v>143419.49638730302</v>
      </c>
      <c r="N27" s="206">
        <f t="shared" si="25"/>
        <v>108174.50361269698</v>
      </c>
      <c r="O27" s="318">
        <f t="shared" si="19"/>
        <v>7.9945205479452053</v>
      </c>
      <c r="P27" s="112">
        <f t="shared" si="26"/>
        <v>95594.803612696982</v>
      </c>
      <c r="Q27" s="206">
        <f t="shared" si="29"/>
        <v>11957.540547852775</v>
      </c>
      <c r="R27" s="206">
        <f t="shared" si="27"/>
        <v>96216.963064844196</v>
      </c>
      <c r="S27" s="333">
        <f>+[1]Sheet1!$I$33+Q28</f>
        <v>-11948.831984166909</v>
      </c>
      <c r="T27" s="232">
        <f t="shared" si="28"/>
        <v>-8.7085636858664657</v>
      </c>
      <c r="U27" s="111"/>
    </row>
    <row r="28" spans="1:25">
      <c r="A28" s="319" t="s">
        <v>76</v>
      </c>
      <c r="B28" s="320">
        <v>39539</v>
      </c>
      <c r="C28" s="322">
        <v>69317</v>
      </c>
      <c r="D28" s="319"/>
      <c r="E28" s="319"/>
      <c r="F28" s="319"/>
      <c r="G28" s="112">
        <f t="shared" si="15"/>
        <v>3465.8500000000004</v>
      </c>
      <c r="H28" s="319"/>
      <c r="I28" s="319"/>
      <c r="J28" s="319"/>
      <c r="K28" s="319">
        <f t="shared" si="23"/>
        <v>4382</v>
      </c>
      <c r="L28" s="112">
        <f t="shared" si="24"/>
        <v>12.005479452054795</v>
      </c>
      <c r="M28" s="323">
        <v>39513.697588490526</v>
      </c>
      <c r="N28" s="206">
        <f t="shared" si="25"/>
        <v>29803.302411509474</v>
      </c>
      <c r="O28" s="318">
        <f t="shared" si="19"/>
        <v>7.9945205479452053</v>
      </c>
      <c r="P28" s="112">
        <f t="shared" si="26"/>
        <v>26337.452411509475</v>
      </c>
      <c r="Q28" s="206">
        <f t="shared" si="29"/>
        <v>3294.438015833091</v>
      </c>
      <c r="R28" s="206">
        <f t="shared" si="27"/>
        <v>26508.864395676384</v>
      </c>
      <c r="S28" s="333">
        <f>+[1]Sheet1!$I$33-S27</f>
        <v>-3294.4380158330914</v>
      </c>
      <c r="T28" s="232">
        <f t="shared" si="28"/>
        <v>4.5474735088646412E-13</v>
      </c>
      <c r="U28" s="111"/>
    </row>
    <row r="29" spans="1:25">
      <c r="A29" s="282" t="s">
        <v>75</v>
      </c>
      <c r="B29" s="277">
        <v>39539</v>
      </c>
      <c r="C29" s="322">
        <v>1330972</v>
      </c>
      <c r="D29" s="282"/>
      <c r="E29" s="282"/>
      <c r="F29" s="282"/>
      <c r="G29" s="278">
        <f t="shared" si="15"/>
        <v>66548.600000000006</v>
      </c>
      <c r="H29" s="282"/>
      <c r="I29" s="282"/>
      <c r="J29" s="282"/>
      <c r="K29" s="282">
        <f t="shared" si="23"/>
        <v>4382</v>
      </c>
      <c r="L29" s="278">
        <f t="shared" si="24"/>
        <v>12.005479452054795</v>
      </c>
      <c r="M29" s="385">
        <v>758697.35</v>
      </c>
      <c r="N29" s="279">
        <f t="shared" si="25"/>
        <v>572274.65</v>
      </c>
      <c r="O29" s="290">
        <f t="shared" si="19"/>
        <v>7.9945205479452053</v>
      </c>
      <c r="P29" s="278">
        <f t="shared" si="26"/>
        <v>505726.05000000005</v>
      </c>
      <c r="Q29" s="279">
        <f t="shared" si="29"/>
        <v>63259.084389993157</v>
      </c>
      <c r="R29" s="279">
        <f t="shared" si="27"/>
        <v>509015.56561000686</v>
      </c>
      <c r="S29" s="385">
        <v>-63221.17</v>
      </c>
      <c r="T29" s="232">
        <f t="shared" si="28"/>
        <v>-37.914389993158693</v>
      </c>
      <c r="U29" s="111"/>
    </row>
    <row r="30" spans="1:25">
      <c r="A30" s="319" t="s">
        <v>77</v>
      </c>
      <c r="B30" s="320">
        <v>39539</v>
      </c>
      <c r="C30" s="322">
        <v>2637196</v>
      </c>
      <c r="D30" s="319"/>
      <c r="E30" s="319"/>
      <c r="F30" s="319"/>
      <c r="G30" s="112">
        <f t="shared" si="15"/>
        <v>131859.80000000002</v>
      </c>
      <c r="H30" s="319"/>
      <c r="I30" s="319"/>
      <c r="J30" s="319"/>
      <c r="K30" s="319">
        <f t="shared" si="23"/>
        <v>4382</v>
      </c>
      <c r="L30" s="112">
        <f t="shared" si="24"/>
        <v>12.005479452054795</v>
      </c>
      <c r="M30" s="323">
        <v>1503316.1450376795</v>
      </c>
      <c r="N30" s="206">
        <f t="shared" si="25"/>
        <v>1133879.8549623205</v>
      </c>
      <c r="O30" s="318">
        <f t="shared" si="19"/>
        <v>7.9945205479452053</v>
      </c>
      <c r="P30" s="112">
        <f t="shared" si="26"/>
        <v>1002020.0549623205</v>
      </c>
      <c r="Q30" s="206">
        <f t="shared" si="29"/>
        <v>125338.35505868643</v>
      </c>
      <c r="R30" s="206">
        <f t="shared" si="27"/>
        <v>1008541.4999036341</v>
      </c>
      <c r="S30" s="333">
        <f>+[1]Sheet1!$I$35+Q31</f>
        <v>-125258.42257717492</v>
      </c>
      <c r="T30" s="232">
        <f t="shared" si="28"/>
        <v>-79.932481511510559</v>
      </c>
      <c r="U30" s="111"/>
    </row>
    <row r="31" spans="1:25">
      <c r="A31" s="319" t="s">
        <v>78</v>
      </c>
      <c r="B31" s="320">
        <v>39539</v>
      </c>
      <c r="C31" s="322">
        <v>309350</v>
      </c>
      <c r="D31" s="319"/>
      <c r="E31" s="319"/>
      <c r="F31" s="319"/>
      <c r="G31" s="112">
        <f t="shared" si="15"/>
        <v>15467.5</v>
      </c>
      <c r="H31" s="319"/>
      <c r="I31" s="319"/>
      <c r="J31" s="319"/>
      <c r="K31" s="319">
        <f t="shared" si="23"/>
        <v>4382</v>
      </c>
      <c r="L31" s="112">
        <f t="shared" si="24"/>
        <v>12.005479452054795</v>
      </c>
      <c r="M31" s="323">
        <v>176342.92235670245</v>
      </c>
      <c r="N31" s="206">
        <f t="shared" si="25"/>
        <v>133007.07764329755</v>
      </c>
      <c r="O31" s="318">
        <f t="shared" si="19"/>
        <v>7.9945205479452053</v>
      </c>
      <c r="P31" s="112">
        <f t="shared" si="26"/>
        <v>117539.57764329755</v>
      </c>
      <c r="Q31" s="206">
        <f t="shared" si="29"/>
        <v>14702.517422825089</v>
      </c>
      <c r="R31" s="206">
        <f t="shared" si="27"/>
        <v>118304.56022047247</v>
      </c>
      <c r="S31" s="333">
        <f>+[1]Sheet1!$I$35-S30</f>
        <v>-14702.517422825083</v>
      </c>
      <c r="T31" s="232">
        <f t="shared" si="28"/>
        <v>-5.4569682106375694E-12</v>
      </c>
      <c r="U31" s="111"/>
    </row>
    <row r="32" spans="1:25">
      <c r="A32" s="282" t="s">
        <v>79</v>
      </c>
      <c r="B32" s="277">
        <v>39539</v>
      </c>
      <c r="C32" s="322">
        <v>509548</v>
      </c>
      <c r="D32" s="282"/>
      <c r="E32" s="282"/>
      <c r="F32" s="282"/>
      <c r="G32" s="278">
        <f t="shared" si="15"/>
        <v>25477.4</v>
      </c>
      <c r="H32" s="282"/>
      <c r="I32" s="282"/>
      <c r="J32" s="282"/>
      <c r="K32" s="282">
        <f t="shared" si="23"/>
        <v>4382</v>
      </c>
      <c r="L32" s="278">
        <f t="shared" si="24"/>
        <v>12.005479452054795</v>
      </c>
      <c r="M32" s="385">
        <v>290458.94</v>
      </c>
      <c r="N32" s="279">
        <f t="shared" si="25"/>
        <v>219089.06</v>
      </c>
      <c r="O32" s="290">
        <f t="shared" si="19"/>
        <v>7.9945205479452053</v>
      </c>
      <c r="P32" s="278">
        <f t="shared" si="26"/>
        <v>193611.66</v>
      </c>
      <c r="Q32" s="279">
        <f t="shared" si="29"/>
        <v>24218.045202193283</v>
      </c>
      <c r="R32" s="279">
        <f t="shared" si="27"/>
        <v>194871.01479780671</v>
      </c>
      <c r="S32" s="385">
        <v>-24203.53</v>
      </c>
      <c r="T32" s="232">
        <f t="shared" si="28"/>
        <v>-14.515202193284495</v>
      </c>
      <c r="U32" s="111"/>
    </row>
    <row r="33" spans="1:21">
      <c r="A33" s="282" t="s">
        <v>65</v>
      </c>
      <c r="B33" s="277">
        <v>39571</v>
      </c>
      <c r="C33" s="322">
        <v>256875</v>
      </c>
      <c r="D33" s="282"/>
      <c r="E33" s="282"/>
      <c r="F33" s="282"/>
      <c r="G33" s="278">
        <f t="shared" si="15"/>
        <v>12843.75</v>
      </c>
      <c r="H33" s="282"/>
      <c r="I33" s="282"/>
      <c r="J33" s="282"/>
      <c r="K33" s="282">
        <f t="shared" si="23"/>
        <v>4350</v>
      </c>
      <c r="L33" s="278">
        <f t="shared" si="24"/>
        <v>11.917808219178083</v>
      </c>
      <c r="M33" s="385">
        <v>145357.32</v>
      </c>
      <c r="N33" s="279">
        <f t="shared" si="25"/>
        <v>111517.68</v>
      </c>
      <c r="O33" s="290">
        <f t="shared" si="19"/>
        <v>8.0821917808219172</v>
      </c>
      <c r="P33" s="278">
        <f t="shared" si="26"/>
        <v>98673.93</v>
      </c>
      <c r="Q33" s="279">
        <f t="shared" si="29"/>
        <v>12208.808288135593</v>
      </c>
      <c r="R33" s="279">
        <f t="shared" si="27"/>
        <v>99308.871711864398</v>
      </c>
      <c r="S33" s="385">
        <v>-12201.56</v>
      </c>
      <c r="T33" s="232">
        <f t="shared" si="28"/>
        <v>-7.2482881355936115</v>
      </c>
      <c r="U33" s="111"/>
    </row>
    <row r="34" spans="1:21">
      <c r="A34" s="282" t="s">
        <v>65</v>
      </c>
      <c r="B34" s="277">
        <v>39582</v>
      </c>
      <c r="C34" s="322">
        <v>128625</v>
      </c>
      <c r="D34" s="282"/>
      <c r="E34" s="282">
        <v>20</v>
      </c>
      <c r="F34" s="282"/>
      <c r="G34" s="278">
        <f t="shared" si="15"/>
        <v>6431.25</v>
      </c>
      <c r="H34" s="282"/>
      <c r="I34" s="282"/>
      <c r="J34" s="282"/>
      <c r="K34" s="282">
        <f t="shared" si="23"/>
        <v>4339</v>
      </c>
      <c r="L34" s="278">
        <f t="shared" si="24"/>
        <v>11.887671232876713</v>
      </c>
      <c r="M34" s="385">
        <v>72600.63</v>
      </c>
      <c r="N34" s="279">
        <f t="shared" si="25"/>
        <v>56024.369999999995</v>
      </c>
      <c r="O34" s="290">
        <f t="shared" si="19"/>
        <v>8.1123287671232873</v>
      </c>
      <c r="P34" s="278">
        <f t="shared" si="26"/>
        <v>49593.119999999995</v>
      </c>
      <c r="Q34" s="279">
        <f t="shared" si="29"/>
        <v>6113.3025329280645</v>
      </c>
      <c r="R34" s="279">
        <f t="shared" si="27"/>
        <v>49911.067467071931</v>
      </c>
      <c r="S34" s="385">
        <v>-6109.69</v>
      </c>
      <c r="T34" s="232">
        <f t="shared" si="28"/>
        <v>-3.6125329280648657</v>
      </c>
      <c r="U34" s="111"/>
    </row>
    <row r="35" spans="1:21">
      <c r="A35" s="282" t="s">
        <v>69</v>
      </c>
      <c r="B35" s="277">
        <v>39609</v>
      </c>
      <c r="C35" s="322">
        <v>1572177</v>
      </c>
      <c r="D35" s="282"/>
      <c r="E35" s="282"/>
      <c r="F35" s="282"/>
      <c r="G35" s="278">
        <f t="shared" si="15"/>
        <v>78608.850000000006</v>
      </c>
      <c r="H35" s="282"/>
      <c r="I35" s="282"/>
      <c r="J35" s="282"/>
      <c r="K35" s="282">
        <f t="shared" si="23"/>
        <v>4312</v>
      </c>
      <c r="L35" s="278">
        <f t="shared" si="24"/>
        <v>11.813698630136987</v>
      </c>
      <c r="M35" s="385">
        <v>881869.36</v>
      </c>
      <c r="N35" s="279">
        <f t="shared" si="25"/>
        <v>690307.64</v>
      </c>
      <c r="O35" s="290">
        <f t="shared" si="19"/>
        <v>8.1863013698630134</v>
      </c>
      <c r="P35" s="278">
        <f t="shared" si="26"/>
        <v>611698.79</v>
      </c>
      <c r="Q35" s="279">
        <f t="shared" si="29"/>
        <v>74722.241750334681</v>
      </c>
      <c r="R35" s="279">
        <f t="shared" si="27"/>
        <v>615585.39824966528</v>
      </c>
      <c r="S35" s="385">
        <v>-74678.41</v>
      </c>
      <c r="T35" s="232">
        <f t="shared" si="28"/>
        <v>-43.831750334677054</v>
      </c>
      <c r="U35" s="111"/>
    </row>
    <row r="36" spans="1:21">
      <c r="A36" s="282" t="s">
        <v>77</v>
      </c>
      <c r="B36" s="277">
        <v>39609</v>
      </c>
      <c r="C36" s="322">
        <f>1494084+7304</f>
        <v>1501388</v>
      </c>
      <c r="D36" s="282"/>
      <c r="E36" s="282"/>
      <c r="F36" s="282"/>
      <c r="G36" s="278">
        <f t="shared" si="15"/>
        <v>75069.400000000009</v>
      </c>
      <c r="H36" s="282"/>
      <c r="I36" s="282"/>
      <c r="J36" s="282"/>
      <c r="K36" s="282">
        <f t="shared" si="23"/>
        <v>4312</v>
      </c>
      <c r="L36" s="278">
        <f t="shared" si="24"/>
        <v>11.813698630136987</v>
      </c>
      <c r="M36" s="385">
        <v>842162.22</v>
      </c>
      <c r="N36" s="279">
        <f t="shared" si="25"/>
        <v>659225.78</v>
      </c>
      <c r="O36" s="290">
        <f t="shared" si="19"/>
        <v>8.1863013698630134</v>
      </c>
      <c r="P36" s="278">
        <f t="shared" si="26"/>
        <v>584156.38</v>
      </c>
      <c r="Q36" s="279">
        <f t="shared" si="29"/>
        <v>71357.790729585016</v>
      </c>
      <c r="R36" s="279">
        <f t="shared" si="27"/>
        <v>587867.98927041504</v>
      </c>
      <c r="S36" s="385">
        <v>-71315.929999999993</v>
      </c>
      <c r="T36" s="232">
        <f t="shared" si="28"/>
        <v>-41.860729585023364</v>
      </c>
      <c r="U36" s="111"/>
    </row>
    <row r="37" spans="1:21">
      <c r="A37" s="282" t="s">
        <v>77</v>
      </c>
      <c r="B37" s="277">
        <v>39621</v>
      </c>
      <c r="C37" s="322">
        <v>132000</v>
      </c>
      <c r="D37" s="282"/>
      <c r="E37" s="282"/>
      <c r="F37" s="282"/>
      <c r="G37" s="278">
        <f t="shared" si="15"/>
        <v>6600</v>
      </c>
      <c r="H37" s="282"/>
      <c r="I37" s="282"/>
      <c r="J37" s="282"/>
      <c r="K37" s="282">
        <f t="shared" si="23"/>
        <v>4300</v>
      </c>
      <c r="L37" s="278">
        <f t="shared" si="24"/>
        <v>11.780821917808218</v>
      </c>
      <c r="M37" s="385">
        <v>73835.61</v>
      </c>
      <c r="N37" s="279">
        <f t="shared" si="25"/>
        <v>58164.39</v>
      </c>
      <c r="O37" s="290">
        <f t="shared" si="19"/>
        <v>8.2191780821917817</v>
      </c>
      <c r="P37" s="278">
        <f t="shared" si="26"/>
        <v>51564.39</v>
      </c>
      <c r="Q37" s="279">
        <f t="shared" si="29"/>
        <v>6273.667449999999</v>
      </c>
      <c r="R37" s="279">
        <f t="shared" si="27"/>
        <v>51890.722549999999</v>
      </c>
      <c r="S37" s="385">
        <v>-6270</v>
      </c>
      <c r="T37" s="232">
        <f t="shared" si="28"/>
        <v>-3.6674499999990076</v>
      </c>
      <c r="U37" s="111"/>
    </row>
    <row r="38" spans="1:21">
      <c r="A38" s="282" t="s">
        <v>66</v>
      </c>
      <c r="B38" s="277">
        <v>39660</v>
      </c>
      <c r="C38" s="322">
        <v>2112</v>
      </c>
      <c r="D38" s="282"/>
      <c r="E38" s="282"/>
      <c r="F38" s="282"/>
      <c r="G38" s="278">
        <f t="shared" si="15"/>
        <v>105.60000000000001</v>
      </c>
      <c r="H38" s="282"/>
      <c r="I38" s="282"/>
      <c r="J38" s="282"/>
      <c r="K38" s="282">
        <f t="shared" si="23"/>
        <v>4261</v>
      </c>
      <c r="L38" s="278">
        <f t="shared" si="24"/>
        <v>11.673972602739726</v>
      </c>
      <c r="M38" s="385">
        <v>1170.6500000000001</v>
      </c>
      <c r="N38" s="279">
        <f t="shared" si="25"/>
        <v>941.34999999999991</v>
      </c>
      <c r="O38" s="290">
        <f t="shared" si="19"/>
        <v>8.3260273972602743</v>
      </c>
      <c r="P38" s="278">
        <f t="shared" si="26"/>
        <v>835.74999999999989</v>
      </c>
      <c r="Q38" s="279">
        <f t="shared" si="29"/>
        <v>100.37800263244486</v>
      </c>
      <c r="R38" s="279">
        <f t="shared" si="27"/>
        <v>840.9719973675551</v>
      </c>
      <c r="S38" s="385">
        <v>-100.32</v>
      </c>
      <c r="T38" s="232">
        <f t="shared" si="28"/>
        <v>-5.8002632444868141E-2</v>
      </c>
      <c r="U38" s="111"/>
    </row>
    <row r="39" spans="1:21">
      <c r="A39" s="282" t="s">
        <v>63</v>
      </c>
      <c r="B39" s="277">
        <v>39903</v>
      </c>
      <c r="C39" s="322">
        <v>105782</v>
      </c>
      <c r="D39" s="282"/>
      <c r="E39" s="282"/>
      <c r="F39" s="282"/>
      <c r="G39" s="278">
        <f t="shared" si="15"/>
        <v>5289.1</v>
      </c>
      <c r="H39" s="282"/>
      <c r="I39" s="282"/>
      <c r="J39" s="282"/>
      <c r="K39" s="282">
        <f t="shared" si="23"/>
        <v>4018</v>
      </c>
      <c r="L39" s="278">
        <f t="shared" si="24"/>
        <v>11.008219178082191</v>
      </c>
      <c r="M39" s="385">
        <v>55288.04</v>
      </c>
      <c r="N39" s="279">
        <f t="shared" si="25"/>
        <v>50493.96</v>
      </c>
      <c r="O39" s="290">
        <f t="shared" si="19"/>
        <v>8.9917808219178088</v>
      </c>
      <c r="P39" s="278">
        <f t="shared" si="26"/>
        <v>45204.86</v>
      </c>
      <c r="Q39" s="279">
        <f t="shared" si="29"/>
        <v>5027.3534125533206</v>
      </c>
      <c r="R39" s="279">
        <f t="shared" si="27"/>
        <v>45466.60658744668</v>
      </c>
      <c r="S39" s="385">
        <v>-5024.6499999999996</v>
      </c>
      <c r="T39" s="232">
        <f t="shared" si="28"/>
        <v>-2.703412553320959</v>
      </c>
      <c r="U39" s="111"/>
    </row>
    <row r="40" spans="1:21">
      <c r="A40" s="282" t="s">
        <v>64</v>
      </c>
      <c r="B40" s="277">
        <v>39903</v>
      </c>
      <c r="C40" s="322">
        <v>10371</v>
      </c>
      <c r="D40" s="282"/>
      <c r="E40" s="282"/>
      <c r="F40" s="282"/>
      <c r="G40" s="278">
        <f t="shared" si="15"/>
        <v>518.55000000000007</v>
      </c>
      <c r="H40" s="282"/>
      <c r="I40" s="282"/>
      <c r="J40" s="282"/>
      <c r="K40" s="282">
        <f t="shared" si="23"/>
        <v>4018</v>
      </c>
      <c r="L40" s="278">
        <f t="shared" si="24"/>
        <v>11.008219178082191</v>
      </c>
      <c r="M40" s="385">
        <v>5420.51</v>
      </c>
      <c r="N40" s="279">
        <f t="shared" si="25"/>
        <v>4950.49</v>
      </c>
      <c r="O40" s="290">
        <f t="shared" si="19"/>
        <v>8.9917808219178088</v>
      </c>
      <c r="P40" s="278">
        <f t="shared" si="26"/>
        <v>4431.9399999999996</v>
      </c>
      <c r="Q40" s="279">
        <f t="shared" si="29"/>
        <v>492.88790371724548</v>
      </c>
      <c r="R40" s="279">
        <f t="shared" si="27"/>
        <v>4457.6020962827542</v>
      </c>
      <c r="S40" s="385">
        <v>-492.62</v>
      </c>
      <c r="T40" s="232">
        <f t="shared" si="28"/>
        <v>-0.26790371724547413</v>
      </c>
      <c r="U40" s="111"/>
    </row>
    <row r="41" spans="1:21">
      <c r="A41" s="282" t="s">
        <v>65</v>
      </c>
      <c r="B41" s="277">
        <v>39903</v>
      </c>
      <c r="C41" s="322">
        <v>159926</v>
      </c>
      <c r="D41" s="282"/>
      <c r="E41" s="282"/>
      <c r="F41" s="282"/>
      <c r="G41" s="278">
        <f t="shared" si="15"/>
        <v>7996.3</v>
      </c>
      <c r="H41" s="282"/>
      <c r="I41" s="282"/>
      <c r="J41" s="282"/>
      <c r="K41" s="282">
        <f t="shared" si="23"/>
        <v>4018</v>
      </c>
      <c r="L41" s="278">
        <f t="shared" si="24"/>
        <v>11.008219178082191</v>
      </c>
      <c r="M41" s="385">
        <v>83586.960000000006</v>
      </c>
      <c r="N41" s="279">
        <f t="shared" si="25"/>
        <v>76339.039999999994</v>
      </c>
      <c r="O41" s="290">
        <f t="shared" si="19"/>
        <v>8.9917808219178088</v>
      </c>
      <c r="P41" s="278">
        <f t="shared" si="26"/>
        <v>68342.739999999991</v>
      </c>
      <c r="Q41" s="279">
        <f t="shared" si="29"/>
        <v>7600.5789457647761</v>
      </c>
      <c r="R41" s="279">
        <f t="shared" si="27"/>
        <v>68738.461054235217</v>
      </c>
      <c r="S41" s="385">
        <v>-7596.49</v>
      </c>
      <c r="T41" s="232">
        <f t="shared" si="28"/>
        <v>-4.0889457647763265</v>
      </c>
      <c r="U41" s="111"/>
    </row>
    <row r="42" spans="1:21">
      <c r="A42" s="282" t="s">
        <v>66</v>
      </c>
      <c r="B42" s="277">
        <v>39903</v>
      </c>
      <c r="C42" s="322">
        <v>6950713</v>
      </c>
      <c r="D42" s="282"/>
      <c r="E42" s="282"/>
      <c r="F42" s="282"/>
      <c r="G42" s="278">
        <f t="shared" si="15"/>
        <v>347535.65</v>
      </c>
      <c r="H42" s="282"/>
      <c r="I42" s="282"/>
      <c r="J42" s="282"/>
      <c r="K42" s="282">
        <f t="shared" si="23"/>
        <v>4018</v>
      </c>
      <c r="L42" s="278">
        <f t="shared" si="24"/>
        <v>11.008219178082191</v>
      </c>
      <c r="M42" s="385">
        <v>3632860.92</v>
      </c>
      <c r="N42" s="279">
        <f t="shared" si="25"/>
        <v>3317852.08</v>
      </c>
      <c r="O42" s="290">
        <f t="shared" si="19"/>
        <v>8.9917808219178088</v>
      </c>
      <c r="P42" s="278">
        <f t="shared" si="26"/>
        <v>2970316.43</v>
      </c>
      <c r="Q42" s="279">
        <f>+(C42-G42)/$O$14</f>
        <v>330158.86749999999</v>
      </c>
      <c r="R42" s="279">
        <f t="shared" si="27"/>
        <v>2987693.2124999999</v>
      </c>
      <c r="S42" s="385">
        <v>-330158.87</v>
      </c>
      <c r="T42" s="232">
        <f t="shared" si="28"/>
        <v>2.5000000023283064E-3</v>
      </c>
      <c r="U42" s="111"/>
    </row>
    <row r="43" spans="1:21">
      <c r="A43" s="282" t="s">
        <v>67</v>
      </c>
      <c r="B43" s="277">
        <v>39903</v>
      </c>
      <c r="C43" s="322">
        <v>300714</v>
      </c>
      <c r="D43" s="282"/>
      <c r="E43" s="282"/>
      <c r="F43" s="282"/>
      <c r="G43" s="278">
        <f t="shared" si="15"/>
        <v>15035.7</v>
      </c>
      <c r="H43" s="282"/>
      <c r="I43" s="282"/>
      <c r="J43" s="282"/>
      <c r="K43" s="282">
        <f t="shared" si="23"/>
        <v>4018</v>
      </c>
      <c r="L43" s="278">
        <f t="shared" si="24"/>
        <v>11.008219178082191</v>
      </c>
      <c r="M43" s="385">
        <v>157171.24</v>
      </c>
      <c r="N43" s="279">
        <f t="shared" si="25"/>
        <v>143542.76</v>
      </c>
      <c r="O43" s="290">
        <f t="shared" si="19"/>
        <v>8.9917808219178088</v>
      </c>
      <c r="P43" s="278">
        <f t="shared" si="26"/>
        <v>128507.06000000001</v>
      </c>
      <c r="Q43" s="279">
        <f>+(C43-G43)/$O$14</f>
        <v>14283.914999999999</v>
      </c>
      <c r="R43" s="279">
        <f t="shared" si="27"/>
        <v>129258.84500000002</v>
      </c>
      <c r="S43" s="385">
        <v>-14283.92</v>
      </c>
      <c r="T43" s="232">
        <f t="shared" si="28"/>
        <v>5.0000000010186341E-3</v>
      </c>
      <c r="U43" s="111"/>
    </row>
    <row r="44" spans="1:21">
      <c r="A44" s="282" t="s">
        <v>68</v>
      </c>
      <c r="B44" s="277">
        <v>39903</v>
      </c>
      <c r="C44" s="322">
        <v>624436</v>
      </c>
      <c r="D44" s="282"/>
      <c r="E44" s="282"/>
      <c r="F44" s="282"/>
      <c r="G44" s="278">
        <f t="shared" si="15"/>
        <v>31221.800000000003</v>
      </c>
      <c r="H44" s="282"/>
      <c r="I44" s="282"/>
      <c r="J44" s="282"/>
      <c r="K44" s="282">
        <f t="shared" si="23"/>
        <v>4018</v>
      </c>
      <c r="L44" s="278">
        <f t="shared" si="24"/>
        <v>11.008219178082191</v>
      </c>
      <c r="M44" s="385">
        <v>326367.83</v>
      </c>
      <c r="N44" s="279">
        <f t="shared" si="25"/>
        <v>298068.17</v>
      </c>
      <c r="O44" s="290">
        <f t="shared" si="19"/>
        <v>8.9917808219178088</v>
      </c>
      <c r="P44" s="278">
        <f t="shared" si="26"/>
        <v>266846.37</v>
      </c>
      <c r="Q44" s="279">
        <f t="shared" ref="Q44:Q75" si="30">P44/O44</f>
        <v>29676.698674588664</v>
      </c>
      <c r="R44" s="279">
        <f t="shared" si="27"/>
        <v>268391.47132541134</v>
      </c>
      <c r="S44" s="385">
        <v>-29660.71</v>
      </c>
      <c r="T44" s="232">
        <f t="shared" si="28"/>
        <v>-15.988674588665162</v>
      </c>
      <c r="U44" s="111"/>
    </row>
    <row r="45" spans="1:21">
      <c r="A45" s="282" t="s">
        <v>69</v>
      </c>
      <c r="B45" s="277">
        <v>39903</v>
      </c>
      <c r="C45" s="322">
        <v>5059823</v>
      </c>
      <c r="D45" s="282"/>
      <c r="E45" s="282"/>
      <c r="F45" s="282"/>
      <c r="G45" s="278">
        <f t="shared" si="15"/>
        <v>252991.15000000002</v>
      </c>
      <c r="H45" s="282"/>
      <c r="I45" s="282"/>
      <c r="J45" s="282"/>
      <c r="K45" s="282">
        <f t="shared" si="23"/>
        <v>4018</v>
      </c>
      <c r="L45" s="278">
        <f t="shared" si="24"/>
        <v>11.008219178082191</v>
      </c>
      <c r="M45" s="385">
        <v>2644568</v>
      </c>
      <c r="N45" s="279">
        <f t="shared" si="25"/>
        <v>2415255</v>
      </c>
      <c r="O45" s="290">
        <f t="shared" si="19"/>
        <v>8.9917808219178088</v>
      </c>
      <c r="P45" s="278">
        <f t="shared" si="26"/>
        <v>2162263.85</v>
      </c>
      <c r="Q45" s="279">
        <f t="shared" si="30"/>
        <v>240471.14724253502</v>
      </c>
      <c r="R45" s="279">
        <f t="shared" si="27"/>
        <v>2174783.8527574651</v>
      </c>
      <c r="S45" s="385">
        <v>-240341.59</v>
      </c>
      <c r="T45" s="232">
        <f t="shared" si="28"/>
        <v>-129.55724253502558</v>
      </c>
      <c r="U45" s="111"/>
    </row>
    <row r="46" spans="1:21">
      <c r="A46" s="282" t="s">
        <v>70</v>
      </c>
      <c r="B46" s="277">
        <v>39903</v>
      </c>
      <c r="C46" s="322">
        <v>4476</v>
      </c>
      <c r="D46" s="282"/>
      <c r="E46" s="282"/>
      <c r="F46" s="282"/>
      <c r="G46" s="278">
        <f t="shared" si="15"/>
        <v>223.8</v>
      </c>
      <c r="H46" s="282"/>
      <c r="I46" s="282"/>
      <c r="J46" s="282"/>
      <c r="K46" s="282">
        <f t="shared" si="23"/>
        <v>4018</v>
      </c>
      <c r="L46" s="278">
        <f t="shared" si="24"/>
        <v>11.008219178082191</v>
      </c>
      <c r="M46" s="385">
        <v>2339.4299999999998</v>
      </c>
      <c r="N46" s="279">
        <f t="shared" si="25"/>
        <v>2136.5700000000002</v>
      </c>
      <c r="O46" s="290">
        <f t="shared" si="19"/>
        <v>8.9917808219178088</v>
      </c>
      <c r="P46" s="278">
        <f t="shared" si="26"/>
        <v>1912.7700000000002</v>
      </c>
      <c r="Q46" s="279">
        <f t="shared" si="30"/>
        <v>212.72426873857404</v>
      </c>
      <c r="R46" s="279">
        <f t="shared" si="27"/>
        <v>1923.8457312614262</v>
      </c>
      <c r="S46" s="385">
        <v>-212.61</v>
      </c>
      <c r="T46" s="232">
        <f t="shared" si="28"/>
        <v>-0.11426873857402597</v>
      </c>
      <c r="U46" s="111"/>
    </row>
    <row r="47" spans="1:21">
      <c r="A47" s="282" t="s">
        <v>71</v>
      </c>
      <c r="B47" s="277">
        <v>39903</v>
      </c>
      <c r="C47" s="322">
        <v>5823479</v>
      </c>
      <c r="D47" s="282"/>
      <c r="E47" s="282"/>
      <c r="F47" s="282"/>
      <c r="G47" s="278">
        <f t="shared" ref="G47:G78" si="31">C47*5%</f>
        <v>291173.95</v>
      </c>
      <c r="H47" s="282"/>
      <c r="I47" s="282"/>
      <c r="J47" s="282"/>
      <c r="K47" s="282">
        <f t="shared" si="23"/>
        <v>4018</v>
      </c>
      <c r="L47" s="278">
        <f t="shared" si="24"/>
        <v>11.008219178082191</v>
      </c>
      <c r="M47" s="385">
        <v>3043700.59</v>
      </c>
      <c r="N47" s="279">
        <f t="shared" si="25"/>
        <v>2779778.41</v>
      </c>
      <c r="O47" s="290">
        <f t="shared" ref="O47:O78" si="32">$O$14-L47</f>
        <v>8.9917808219178088</v>
      </c>
      <c r="P47" s="278">
        <f t="shared" si="26"/>
        <v>2488604.46</v>
      </c>
      <c r="Q47" s="279">
        <f t="shared" si="30"/>
        <v>276764.3595063985</v>
      </c>
      <c r="R47" s="279">
        <f t="shared" si="27"/>
        <v>2503014.0504936017</v>
      </c>
      <c r="S47" s="385">
        <v>-276615.25</v>
      </c>
      <c r="T47" s="232">
        <f t="shared" si="28"/>
        <v>-149.10950639849762</v>
      </c>
      <c r="U47" s="111"/>
    </row>
    <row r="48" spans="1:21">
      <c r="A48" s="282" t="s">
        <v>72</v>
      </c>
      <c r="B48" s="277">
        <v>39903</v>
      </c>
      <c r="C48" s="322">
        <v>313666</v>
      </c>
      <c r="D48" s="282"/>
      <c r="E48" s="282"/>
      <c r="F48" s="282"/>
      <c r="G48" s="278">
        <f t="shared" si="31"/>
        <v>15683.300000000001</v>
      </c>
      <c r="H48" s="282"/>
      <c r="I48" s="282"/>
      <c r="J48" s="282"/>
      <c r="K48" s="282">
        <f t="shared" ref="K48:K79" si="33">$K$2-B48</f>
        <v>4018</v>
      </c>
      <c r="L48" s="278">
        <f t="shared" ref="L48:L79" si="34">K48/365</f>
        <v>11.008219178082191</v>
      </c>
      <c r="M48" s="385">
        <v>163940.73000000001</v>
      </c>
      <c r="N48" s="279">
        <f t="shared" ref="N48:N79" si="35">C48-M48</f>
        <v>149725.26999999999</v>
      </c>
      <c r="O48" s="290">
        <f t="shared" si="32"/>
        <v>8.9917808219178088</v>
      </c>
      <c r="P48" s="278">
        <f t="shared" ref="P48:P79" si="36">N48-G48</f>
        <v>134041.97</v>
      </c>
      <c r="Q48" s="279">
        <f t="shared" si="30"/>
        <v>14907.166072516757</v>
      </c>
      <c r="R48" s="279">
        <f t="shared" ref="R48:R79" si="37">N48-Q48</f>
        <v>134818.10392748323</v>
      </c>
      <c r="S48" s="385">
        <v>-14899.14</v>
      </c>
      <c r="T48" s="254">
        <f t="shared" ref="T48:T79" si="38">-(Q48+S48)</f>
        <v>-8.0260725167572673</v>
      </c>
      <c r="U48" s="111"/>
    </row>
    <row r="49" spans="1:21">
      <c r="A49" s="282" t="s">
        <v>73</v>
      </c>
      <c r="B49" s="277">
        <v>39903</v>
      </c>
      <c r="C49" s="322">
        <v>1125057</v>
      </c>
      <c r="D49" s="282"/>
      <c r="E49" s="282"/>
      <c r="F49" s="282"/>
      <c r="G49" s="278">
        <f t="shared" si="31"/>
        <v>56252.850000000006</v>
      </c>
      <c r="H49" s="282"/>
      <c r="I49" s="282"/>
      <c r="J49" s="282"/>
      <c r="K49" s="282">
        <f t="shared" si="33"/>
        <v>4018</v>
      </c>
      <c r="L49" s="278">
        <f t="shared" si="34"/>
        <v>11.008219178082191</v>
      </c>
      <c r="M49" s="385">
        <v>588022.5</v>
      </c>
      <c r="N49" s="279">
        <f t="shared" si="35"/>
        <v>537034.5</v>
      </c>
      <c r="O49" s="290">
        <f t="shared" si="32"/>
        <v>8.9917808219178088</v>
      </c>
      <c r="P49" s="278">
        <f t="shared" si="36"/>
        <v>480781.65</v>
      </c>
      <c r="Q49" s="279">
        <f t="shared" si="30"/>
        <v>53469.013482632537</v>
      </c>
      <c r="R49" s="279">
        <f t="shared" si="37"/>
        <v>483565.48651736748</v>
      </c>
      <c r="S49" s="385">
        <v>-53440.21</v>
      </c>
      <c r="T49" s="232">
        <f t="shared" si="38"/>
        <v>-28.803482632538362</v>
      </c>
      <c r="U49" s="111"/>
    </row>
    <row r="50" spans="1:21">
      <c r="A50" s="282" t="s">
        <v>74</v>
      </c>
      <c r="B50" s="277">
        <v>39903</v>
      </c>
      <c r="C50" s="322">
        <v>100394</v>
      </c>
      <c r="D50" s="282"/>
      <c r="E50" s="282"/>
      <c r="F50" s="282"/>
      <c r="G50" s="278">
        <f t="shared" si="31"/>
        <v>5019.7000000000007</v>
      </c>
      <c r="H50" s="282"/>
      <c r="I50" s="282"/>
      <c r="J50" s="282"/>
      <c r="K50" s="282">
        <f t="shared" si="33"/>
        <v>4018</v>
      </c>
      <c r="L50" s="278">
        <f t="shared" si="34"/>
        <v>11.008219178082191</v>
      </c>
      <c r="M50" s="385">
        <v>52471.95</v>
      </c>
      <c r="N50" s="279">
        <f t="shared" si="35"/>
        <v>47922.05</v>
      </c>
      <c r="O50" s="290">
        <f t="shared" si="32"/>
        <v>8.9917808219178088</v>
      </c>
      <c r="P50" s="278">
        <f t="shared" si="36"/>
        <v>42902.350000000006</v>
      </c>
      <c r="Q50" s="279">
        <f t="shared" si="30"/>
        <v>4771.2851157830592</v>
      </c>
      <c r="R50" s="279">
        <f t="shared" si="37"/>
        <v>43150.764884216944</v>
      </c>
      <c r="S50" s="385">
        <v>-4768.72</v>
      </c>
      <c r="T50" s="232">
        <f t="shared" si="38"/>
        <v>-2.5651157830589</v>
      </c>
      <c r="U50" s="111"/>
    </row>
    <row r="51" spans="1:21">
      <c r="A51" s="282" t="s">
        <v>75</v>
      </c>
      <c r="B51" s="277">
        <v>39903</v>
      </c>
      <c r="C51" s="322">
        <v>552157</v>
      </c>
      <c r="D51" s="282"/>
      <c r="E51" s="282"/>
      <c r="F51" s="282"/>
      <c r="G51" s="278">
        <f t="shared" si="31"/>
        <v>27607.850000000002</v>
      </c>
      <c r="H51" s="282"/>
      <c r="I51" s="282"/>
      <c r="J51" s="282"/>
      <c r="K51" s="282">
        <f t="shared" si="33"/>
        <v>4018</v>
      </c>
      <c r="L51" s="278">
        <f t="shared" si="34"/>
        <v>11.008219178082191</v>
      </c>
      <c r="M51" s="385">
        <v>288590.48</v>
      </c>
      <c r="N51" s="279">
        <f t="shared" si="35"/>
        <v>263566.52</v>
      </c>
      <c r="O51" s="290">
        <f t="shared" si="32"/>
        <v>8.9917808219178088</v>
      </c>
      <c r="P51" s="278">
        <f t="shared" si="36"/>
        <v>235958.67</v>
      </c>
      <c r="Q51" s="279">
        <f t="shared" si="30"/>
        <v>26241.594926873859</v>
      </c>
      <c r="R51" s="279">
        <f t="shared" si="37"/>
        <v>237324.92507312616</v>
      </c>
      <c r="S51" s="385">
        <v>-26227.46</v>
      </c>
      <c r="T51" s="232">
        <f t="shared" si="38"/>
        <v>-14.134926873859513</v>
      </c>
      <c r="U51" s="111"/>
    </row>
    <row r="52" spans="1:21">
      <c r="A52" s="282" t="s">
        <v>77</v>
      </c>
      <c r="B52" s="277">
        <v>39903</v>
      </c>
      <c r="C52" s="322">
        <v>1771662</v>
      </c>
      <c r="D52" s="282"/>
      <c r="E52" s="282"/>
      <c r="F52" s="282"/>
      <c r="G52" s="278">
        <f t="shared" si="31"/>
        <v>88583.1</v>
      </c>
      <c r="H52" s="282"/>
      <c r="I52" s="282"/>
      <c r="J52" s="282"/>
      <c r="K52" s="282">
        <f t="shared" si="33"/>
        <v>4018</v>
      </c>
      <c r="L52" s="278">
        <f t="shared" si="34"/>
        <v>11.008219178082191</v>
      </c>
      <c r="M52" s="385">
        <v>925977.19</v>
      </c>
      <c r="N52" s="279">
        <f t="shared" si="35"/>
        <v>845684.81</v>
      </c>
      <c r="O52" s="290">
        <f t="shared" si="32"/>
        <v>8.9917808219178088</v>
      </c>
      <c r="P52" s="278">
        <f t="shared" si="36"/>
        <v>757101.71000000008</v>
      </c>
      <c r="Q52" s="279">
        <f t="shared" si="30"/>
        <v>84199.306566118219</v>
      </c>
      <c r="R52" s="279">
        <f t="shared" si="37"/>
        <v>761485.50343388179</v>
      </c>
      <c r="S52" s="385">
        <v>-84153.95</v>
      </c>
      <c r="T52" s="232">
        <f t="shared" si="38"/>
        <v>-45.356566118221963</v>
      </c>
      <c r="U52" s="111"/>
    </row>
    <row r="53" spans="1:21">
      <c r="A53" s="282" t="s">
        <v>78</v>
      </c>
      <c r="B53" s="277">
        <v>39903</v>
      </c>
      <c r="C53" s="322">
        <v>128335</v>
      </c>
      <c r="D53" s="282"/>
      <c r="E53" s="282"/>
      <c r="F53" s="282"/>
      <c r="G53" s="278">
        <f t="shared" si="31"/>
        <v>6416.75</v>
      </c>
      <c r="H53" s="282"/>
      <c r="I53" s="282"/>
      <c r="J53" s="282"/>
      <c r="K53" s="282">
        <f t="shared" si="33"/>
        <v>4018</v>
      </c>
      <c r="L53" s="278">
        <f t="shared" si="34"/>
        <v>11.008219178082191</v>
      </c>
      <c r="M53" s="385">
        <v>67075.59</v>
      </c>
      <c r="N53" s="279">
        <f t="shared" si="35"/>
        <v>61259.41</v>
      </c>
      <c r="O53" s="290">
        <f t="shared" si="32"/>
        <v>8.9917808219178088</v>
      </c>
      <c r="P53" s="278">
        <f t="shared" si="36"/>
        <v>54842.66</v>
      </c>
      <c r="Q53" s="279">
        <f t="shared" si="30"/>
        <v>6099.1989335770868</v>
      </c>
      <c r="R53" s="279">
        <f t="shared" si="37"/>
        <v>55160.211066422919</v>
      </c>
      <c r="S53" s="385">
        <v>-6095.91</v>
      </c>
      <c r="T53" s="232">
        <f t="shared" si="38"/>
        <v>-3.2889335770869366</v>
      </c>
      <c r="U53" s="111"/>
    </row>
    <row r="54" spans="1:21">
      <c r="A54" s="282" t="s">
        <v>79</v>
      </c>
      <c r="B54" s="277">
        <v>39903</v>
      </c>
      <c r="C54" s="322">
        <v>211387</v>
      </c>
      <c r="D54" s="282"/>
      <c r="E54" s="282"/>
      <c r="F54" s="282"/>
      <c r="G54" s="278">
        <f t="shared" si="31"/>
        <v>10569.35</v>
      </c>
      <c r="H54" s="282"/>
      <c r="I54" s="282"/>
      <c r="J54" s="282"/>
      <c r="K54" s="282">
        <f t="shared" si="33"/>
        <v>4018</v>
      </c>
      <c r="L54" s="278">
        <f t="shared" si="34"/>
        <v>11.008219178082191</v>
      </c>
      <c r="M54" s="385">
        <v>110483.57</v>
      </c>
      <c r="N54" s="279">
        <f t="shared" si="35"/>
        <v>100903.43</v>
      </c>
      <c r="O54" s="290">
        <f t="shared" si="32"/>
        <v>8.9917808219178088</v>
      </c>
      <c r="P54" s="278">
        <f t="shared" si="36"/>
        <v>90334.079999999987</v>
      </c>
      <c r="Q54" s="279">
        <f t="shared" si="30"/>
        <v>10046.294698354659</v>
      </c>
      <c r="R54" s="279">
        <f t="shared" si="37"/>
        <v>90857.135301645336</v>
      </c>
      <c r="S54" s="385">
        <v>-10040.879999999999</v>
      </c>
      <c r="T54" s="232">
        <f t="shared" si="38"/>
        <v>-5.4146983546597767</v>
      </c>
      <c r="U54" s="111"/>
    </row>
    <row r="55" spans="1:21">
      <c r="A55" s="282" t="s">
        <v>79</v>
      </c>
      <c r="B55" s="277">
        <v>40269</v>
      </c>
      <c r="C55" s="322">
        <v>1228000</v>
      </c>
      <c r="D55" s="282"/>
      <c r="E55" s="282"/>
      <c r="F55" s="282"/>
      <c r="G55" s="278">
        <f t="shared" si="31"/>
        <v>61400</v>
      </c>
      <c r="H55" s="282"/>
      <c r="I55" s="282"/>
      <c r="J55" s="282"/>
      <c r="K55" s="282">
        <f t="shared" si="33"/>
        <v>3652</v>
      </c>
      <c r="L55" s="278">
        <f t="shared" si="34"/>
        <v>10.005479452054795</v>
      </c>
      <c r="M55" s="385">
        <v>583334.25</v>
      </c>
      <c r="N55" s="279">
        <f t="shared" si="35"/>
        <v>644665.75</v>
      </c>
      <c r="O55" s="290">
        <f t="shared" si="32"/>
        <v>9.9945205479452053</v>
      </c>
      <c r="P55" s="278">
        <f t="shared" si="36"/>
        <v>583265.75</v>
      </c>
      <c r="Q55" s="279">
        <f t="shared" si="30"/>
        <v>58358.552288925443</v>
      </c>
      <c r="R55" s="279">
        <f t="shared" si="37"/>
        <v>586307.19771107461</v>
      </c>
      <c r="S55" s="385">
        <v>-58330</v>
      </c>
      <c r="T55" s="232">
        <f t="shared" si="38"/>
        <v>-28.552288925442554</v>
      </c>
      <c r="U55" s="111"/>
    </row>
    <row r="56" spans="1:21">
      <c r="A56" s="282" t="s">
        <v>79</v>
      </c>
      <c r="B56" s="277">
        <v>40278</v>
      </c>
      <c r="C56" s="322">
        <v>261500</v>
      </c>
      <c r="D56" s="282"/>
      <c r="E56" s="282"/>
      <c r="F56" s="282"/>
      <c r="G56" s="278">
        <f t="shared" si="31"/>
        <v>13075</v>
      </c>
      <c r="H56" s="282"/>
      <c r="I56" s="282"/>
      <c r="J56" s="282"/>
      <c r="K56" s="282">
        <f t="shared" si="33"/>
        <v>3643</v>
      </c>
      <c r="L56" s="278">
        <f t="shared" si="34"/>
        <v>9.9808219178082194</v>
      </c>
      <c r="M56" s="385">
        <v>123913.5</v>
      </c>
      <c r="N56" s="279">
        <f t="shared" si="35"/>
        <v>137586.5</v>
      </c>
      <c r="O56" s="290">
        <f t="shared" si="32"/>
        <v>10.019178082191781</v>
      </c>
      <c r="P56" s="278">
        <f t="shared" si="36"/>
        <v>124511.5</v>
      </c>
      <c r="Q56" s="279">
        <f t="shared" si="30"/>
        <v>12427.316789718348</v>
      </c>
      <c r="R56" s="279">
        <f t="shared" si="37"/>
        <v>125159.18321028166</v>
      </c>
      <c r="S56" s="385">
        <v>-12421.25</v>
      </c>
      <c r="T56" s="232">
        <f t="shared" si="38"/>
        <v>-6.0667897183484456</v>
      </c>
      <c r="U56" s="111"/>
    </row>
    <row r="57" spans="1:21">
      <c r="A57" s="282" t="s">
        <v>80</v>
      </c>
      <c r="B57" s="277">
        <v>40471</v>
      </c>
      <c r="C57" s="325">
        <v>223590207</v>
      </c>
      <c r="D57" s="282"/>
      <c r="E57" s="282"/>
      <c r="F57" s="282"/>
      <c r="G57" s="278">
        <f t="shared" si="31"/>
        <v>11179510.350000001</v>
      </c>
      <c r="H57" s="282"/>
      <c r="I57" s="282"/>
      <c r="J57" s="282"/>
      <c r="K57" s="282">
        <f t="shared" si="33"/>
        <v>3450</v>
      </c>
      <c r="L57" s="278">
        <f t="shared" si="34"/>
        <v>9.4520547945205475</v>
      </c>
      <c r="M57" s="323">
        <f>-SUM([1]Sheet1!$G$61:$G$108)</f>
        <v>100333681.70000002</v>
      </c>
      <c r="N57" s="279">
        <f t="shared" si="35"/>
        <v>123256525.29999998</v>
      </c>
      <c r="O57" s="290">
        <f t="shared" si="32"/>
        <v>10.547945205479452</v>
      </c>
      <c r="P57" s="278">
        <f t="shared" si="36"/>
        <v>112077014.94999999</v>
      </c>
      <c r="Q57" s="279">
        <f t="shared" si="30"/>
        <v>10625483.235519478</v>
      </c>
      <c r="R57" s="279">
        <f t="shared" si="37"/>
        <v>112631042.0644805</v>
      </c>
      <c r="S57" s="333">
        <f>+SUM([1]Sheet1!$I$61:$I$108)</f>
        <v>-10620534.870000005</v>
      </c>
      <c r="T57" s="232">
        <f t="shared" si="38"/>
        <v>-4948.3655194733292</v>
      </c>
      <c r="U57" s="111"/>
    </row>
    <row r="58" spans="1:21">
      <c r="A58" s="282" t="s">
        <v>79</v>
      </c>
      <c r="B58" s="277">
        <v>40584</v>
      </c>
      <c r="C58" s="322">
        <v>261500</v>
      </c>
      <c r="D58" s="282"/>
      <c r="E58" s="282"/>
      <c r="F58" s="282"/>
      <c r="G58" s="278">
        <f t="shared" si="31"/>
        <v>13075</v>
      </c>
      <c r="H58" s="282"/>
      <c r="I58" s="282"/>
      <c r="J58" s="282"/>
      <c r="K58" s="282">
        <f t="shared" si="33"/>
        <v>3337</v>
      </c>
      <c r="L58" s="278">
        <f t="shared" si="34"/>
        <v>9.1424657534246574</v>
      </c>
      <c r="M58" s="385">
        <v>113499.66</v>
      </c>
      <c r="N58" s="279">
        <f t="shared" si="35"/>
        <v>148000.34</v>
      </c>
      <c r="O58" s="290">
        <f t="shared" si="32"/>
        <v>10.857534246575343</v>
      </c>
      <c r="P58" s="278">
        <f t="shared" si="36"/>
        <v>134925.34</v>
      </c>
      <c r="Q58" s="279">
        <f t="shared" si="30"/>
        <v>12426.885970224577</v>
      </c>
      <c r="R58" s="279">
        <f t="shared" si="37"/>
        <v>135573.45402977543</v>
      </c>
      <c r="S58" s="385">
        <v>-12421.25</v>
      </c>
      <c r="T58" s="232">
        <f t="shared" si="38"/>
        <v>-5.6359702245772496</v>
      </c>
      <c r="U58" s="111"/>
    </row>
    <row r="59" spans="1:21">
      <c r="A59" s="282" t="s">
        <v>10</v>
      </c>
      <c r="B59" s="277">
        <v>41345</v>
      </c>
      <c r="C59" s="322">
        <v>856500</v>
      </c>
      <c r="D59" s="282"/>
      <c r="E59" s="282"/>
      <c r="F59" s="282"/>
      <c r="G59" s="278">
        <f t="shared" si="31"/>
        <v>42825</v>
      </c>
      <c r="H59" s="282"/>
      <c r="I59" s="282"/>
      <c r="J59" s="282"/>
      <c r="K59" s="282">
        <f t="shared" si="33"/>
        <v>2576</v>
      </c>
      <c r="L59" s="278">
        <f t="shared" si="34"/>
        <v>7.0575342465753428</v>
      </c>
      <c r="M59" s="385">
        <v>286923.77</v>
      </c>
      <c r="N59" s="279">
        <f t="shared" si="35"/>
        <v>569576.23</v>
      </c>
      <c r="O59" s="290">
        <f t="shared" si="32"/>
        <v>12.942465753424656</v>
      </c>
      <c r="P59" s="278">
        <f t="shared" si="36"/>
        <v>526751.23</v>
      </c>
      <c r="Q59" s="279">
        <f t="shared" si="30"/>
        <v>40699.449396697717</v>
      </c>
      <c r="R59" s="279">
        <f t="shared" si="37"/>
        <v>528876.78060330229</v>
      </c>
      <c r="S59" s="385">
        <v>-40683.75</v>
      </c>
      <c r="T59" s="232">
        <f t="shared" si="38"/>
        <v>-15.69939669771702</v>
      </c>
      <c r="U59" s="111"/>
    </row>
    <row r="60" spans="1:21">
      <c r="A60" s="282" t="s">
        <v>10</v>
      </c>
      <c r="B60" s="277">
        <v>41356</v>
      </c>
      <c r="C60" s="322">
        <v>222495</v>
      </c>
      <c r="D60" s="282"/>
      <c r="E60" s="282"/>
      <c r="F60" s="282"/>
      <c r="G60" s="278">
        <f t="shared" si="31"/>
        <v>11124.75</v>
      </c>
      <c r="H60" s="282"/>
      <c r="I60" s="282"/>
      <c r="J60" s="282"/>
      <c r="K60" s="282">
        <f t="shared" si="33"/>
        <v>2565</v>
      </c>
      <c r="L60" s="278">
        <f t="shared" si="34"/>
        <v>7.0273972602739727</v>
      </c>
      <c r="M60" s="385">
        <v>74216.34</v>
      </c>
      <c r="N60" s="279">
        <f t="shared" si="35"/>
        <v>148278.66</v>
      </c>
      <c r="O60" s="290">
        <f t="shared" si="32"/>
        <v>12.972602739726028</v>
      </c>
      <c r="P60" s="278">
        <f t="shared" si="36"/>
        <v>137153.91</v>
      </c>
      <c r="Q60" s="279">
        <f t="shared" si="30"/>
        <v>10572.582291446673</v>
      </c>
      <c r="R60" s="279">
        <f t="shared" si="37"/>
        <v>137706.07770855332</v>
      </c>
      <c r="S60" s="385">
        <v>-10568.51</v>
      </c>
      <c r="T60" s="232">
        <f t="shared" si="38"/>
        <v>-4.0722914466732618</v>
      </c>
      <c r="U60" s="111"/>
    </row>
    <row r="61" spans="1:21">
      <c r="A61" s="282" t="s">
        <v>81</v>
      </c>
      <c r="B61" s="277">
        <v>41489</v>
      </c>
      <c r="C61" s="322">
        <v>129646</v>
      </c>
      <c r="D61" s="282"/>
      <c r="E61" s="282"/>
      <c r="F61" s="282"/>
      <c r="G61" s="278">
        <f t="shared" si="31"/>
        <v>6482.3</v>
      </c>
      <c r="H61" s="282"/>
      <c r="I61" s="282"/>
      <c r="J61" s="282"/>
      <c r="K61" s="282">
        <f t="shared" si="33"/>
        <v>2432</v>
      </c>
      <c r="L61" s="278">
        <f t="shared" si="34"/>
        <v>6.6630136986301371</v>
      </c>
      <c r="M61" s="385">
        <v>41001.25</v>
      </c>
      <c r="N61" s="279">
        <f t="shared" si="35"/>
        <v>88644.75</v>
      </c>
      <c r="O61" s="290">
        <f t="shared" si="32"/>
        <v>13.336986301369862</v>
      </c>
      <c r="P61" s="278">
        <f t="shared" si="36"/>
        <v>82162.45</v>
      </c>
      <c r="Q61" s="279">
        <f t="shared" si="30"/>
        <v>6160.4959428923585</v>
      </c>
      <c r="R61" s="279">
        <f t="shared" si="37"/>
        <v>82484.254057107639</v>
      </c>
      <c r="S61" s="385">
        <v>-6158.19</v>
      </c>
      <c r="T61" s="232">
        <f t="shared" si="38"/>
        <v>-2.3059428923588712</v>
      </c>
      <c r="U61" s="111"/>
    </row>
    <row r="62" spans="1:21">
      <c r="A62" s="282" t="s">
        <v>79</v>
      </c>
      <c r="B62" s="277">
        <v>41494</v>
      </c>
      <c r="C62" s="322">
        <v>10939</v>
      </c>
      <c r="D62" s="282"/>
      <c r="E62" s="282"/>
      <c r="F62" s="282"/>
      <c r="G62" s="278">
        <f t="shared" si="31"/>
        <v>546.95000000000005</v>
      </c>
      <c r="H62" s="282"/>
      <c r="I62" s="282"/>
      <c r="J62" s="282"/>
      <c r="K62" s="282">
        <f t="shared" si="33"/>
        <v>2427</v>
      </c>
      <c r="L62" s="278">
        <f t="shared" si="34"/>
        <v>6.6493150684931503</v>
      </c>
      <c r="M62" s="385">
        <v>3451.6</v>
      </c>
      <c r="N62" s="279">
        <f t="shared" si="35"/>
        <v>7487.4</v>
      </c>
      <c r="O62" s="290">
        <f t="shared" si="32"/>
        <v>13.35068493150685</v>
      </c>
      <c r="P62" s="278">
        <f t="shared" si="36"/>
        <v>6940.45</v>
      </c>
      <c r="Q62" s="279">
        <f t="shared" si="30"/>
        <v>519.85722347629792</v>
      </c>
      <c r="R62" s="279">
        <f t="shared" si="37"/>
        <v>6967.5427765237018</v>
      </c>
      <c r="S62" s="385">
        <v>-519.6</v>
      </c>
      <c r="T62" s="232">
        <f t="shared" si="38"/>
        <v>-0.2572234762978951</v>
      </c>
      <c r="U62" s="111"/>
    </row>
    <row r="63" spans="1:21">
      <c r="A63" s="282" t="s">
        <v>84</v>
      </c>
      <c r="B63" s="277">
        <v>41499</v>
      </c>
      <c r="C63" s="322">
        <v>1808797</v>
      </c>
      <c r="D63" s="282"/>
      <c r="E63" s="282"/>
      <c r="F63" s="282"/>
      <c r="G63" s="278">
        <f t="shared" si="31"/>
        <v>90439.85</v>
      </c>
      <c r="H63" s="282"/>
      <c r="I63" s="282"/>
      <c r="J63" s="282"/>
      <c r="K63" s="282">
        <f t="shared" si="33"/>
        <v>2422</v>
      </c>
      <c r="L63" s="278">
        <f t="shared" si="34"/>
        <v>6.6356164383561644</v>
      </c>
      <c r="M63" s="385">
        <v>569687.82999999996</v>
      </c>
      <c r="N63" s="279">
        <f t="shared" si="35"/>
        <v>1239109.17</v>
      </c>
      <c r="O63" s="290">
        <f t="shared" si="32"/>
        <v>13.364383561643836</v>
      </c>
      <c r="P63" s="278">
        <f t="shared" si="36"/>
        <v>1148669.3199999998</v>
      </c>
      <c r="Q63" s="279">
        <f t="shared" si="30"/>
        <v>85950.041369413681</v>
      </c>
      <c r="R63" s="279">
        <f t="shared" si="37"/>
        <v>1153159.1286305862</v>
      </c>
      <c r="S63" s="385">
        <v>-85917.86</v>
      </c>
      <c r="T63" s="232">
        <f t="shared" si="38"/>
        <v>-32.181369413679931</v>
      </c>
      <c r="U63" s="111"/>
    </row>
    <row r="64" spans="1:21">
      <c r="A64" s="282" t="s">
        <v>10</v>
      </c>
      <c r="B64" s="277">
        <v>41559</v>
      </c>
      <c r="C64" s="322">
        <v>142800</v>
      </c>
      <c r="D64" s="282"/>
      <c r="E64" s="282"/>
      <c r="F64" s="282"/>
      <c r="G64" s="278">
        <f t="shared" si="31"/>
        <v>7140</v>
      </c>
      <c r="H64" s="282"/>
      <c r="I64" s="282"/>
      <c r="J64" s="282"/>
      <c r="K64" s="282">
        <f t="shared" si="33"/>
        <v>2362</v>
      </c>
      <c r="L64" s="278">
        <f t="shared" si="34"/>
        <v>6.4712328767123291</v>
      </c>
      <c r="M64" s="385">
        <v>43860.39</v>
      </c>
      <c r="N64" s="279">
        <f t="shared" si="35"/>
        <v>98939.61</v>
      </c>
      <c r="O64" s="290">
        <f t="shared" si="32"/>
        <v>13.528767123287672</v>
      </c>
      <c r="P64" s="278">
        <f t="shared" si="36"/>
        <v>91799.61</v>
      </c>
      <c r="Q64" s="279">
        <f t="shared" si="30"/>
        <v>6785.5118772782498</v>
      </c>
      <c r="R64" s="279">
        <f t="shared" si="37"/>
        <v>92154.098122721756</v>
      </c>
      <c r="S64" s="385">
        <v>-6783</v>
      </c>
      <c r="T64" s="232">
        <f t="shared" si="38"/>
        <v>-2.5118772782498127</v>
      </c>
      <c r="U64" s="111"/>
    </row>
    <row r="65" spans="1:21">
      <c r="A65" s="282" t="s">
        <v>10</v>
      </c>
      <c r="B65" s="277">
        <v>41563</v>
      </c>
      <c r="C65" s="322">
        <v>1182919</v>
      </c>
      <c r="D65" s="282"/>
      <c r="E65" s="282"/>
      <c r="F65" s="282"/>
      <c r="G65" s="278">
        <f t="shared" si="31"/>
        <v>59145.950000000004</v>
      </c>
      <c r="H65" s="282"/>
      <c r="I65" s="282"/>
      <c r="J65" s="282"/>
      <c r="K65" s="282">
        <f t="shared" si="33"/>
        <v>2358</v>
      </c>
      <c r="L65" s="278">
        <f t="shared" si="34"/>
        <v>6.4602739726027396</v>
      </c>
      <c r="M65" s="323">
        <f>-([1]Sheet1!$G$116+[1]Sheet1!$G$117)</f>
        <v>362712.54000000004</v>
      </c>
      <c r="N65" s="279">
        <f t="shared" si="35"/>
        <v>820206.46</v>
      </c>
      <c r="O65" s="290">
        <f t="shared" si="32"/>
        <v>13.539726027397261</v>
      </c>
      <c r="P65" s="278">
        <f t="shared" si="36"/>
        <v>761060.51</v>
      </c>
      <c r="Q65" s="279">
        <f t="shared" si="30"/>
        <v>56209.446813031158</v>
      </c>
      <c r="R65" s="279">
        <f t="shared" si="37"/>
        <v>763997.01318696886</v>
      </c>
      <c r="S65" s="333">
        <f>+([1]Sheet1!$I$116+[1]Sheet1!$I$117)</f>
        <v>-56188.65</v>
      </c>
      <c r="T65" s="232">
        <f t="shared" si="38"/>
        <v>-20.796813031156489</v>
      </c>
      <c r="U65" s="111"/>
    </row>
    <row r="66" spans="1:21">
      <c r="A66" s="282" t="s">
        <v>10</v>
      </c>
      <c r="B66" s="277">
        <v>41575</v>
      </c>
      <c r="C66" s="322">
        <v>107100</v>
      </c>
      <c r="D66" s="282"/>
      <c r="E66" s="282"/>
      <c r="F66" s="282"/>
      <c r="G66" s="278">
        <f t="shared" si="31"/>
        <v>5355</v>
      </c>
      <c r="H66" s="282"/>
      <c r="I66" s="282"/>
      <c r="J66" s="282"/>
      <c r="K66" s="282">
        <f t="shared" si="33"/>
        <v>2346</v>
      </c>
      <c r="L66" s="278">
        <f t="shared" si="34"/>
        <v>6.4273972602739722</v>
      </c>
      <c r="M66" s="385">
        <v>32672.28</v>
      </c>
      <c r="N66" s="279">
        <f t="shared" si="35"/>
        <v>74427.72</v>
      </c>
      <c r="O66" s="290">
        <f t="shared" si="32"/>
        <v>13.572602739726028</v>
      </c>
      <c r="P66" s="278">
        <f t="shared" si="36"/>
        <v>69072.72</v>
      </c>
      <c r="Q66" s="279">
        <f t="shared" si="30"/>
        <v>5089.128542591845</v>
      </c>
      <c r="R66" s="279">
        <f t="shared" si="37"/>
        <v>69338.591457408154</v>
      </c>
      <c r="S66" s="385">
        <v>-5087.25</v>
      </c>
      <c r="T66" s="232">
        <f t="shared" si="38"/>
        <v>-1.8785425918449619</v>
      </c>
      <c r="U66" s="111"/>
    </row>
    <row r="67" spans="1:21">
      <c r="A67" s="282" t="s">
        <v>10</v>
      </c>
      <c r="B67" s="277">
        <v>41620</v>
      </c>
      <c r="C67" s="322">
        <v>16646</v>
      </c>
      <c r="D67" s="282"/>
      <c r="E67" s="282"/>
      <c r="F67" s="282"/>
      <c r="G67" s="278">
        <f t="shared" si="31"/>
        <v>832.30000000000007</v>
      </c>
      <c r="H67" s="282"/>
      <c r="I67" s="282"/>
      <c r="J67" s="282"/>
      <c r="K67" s="282">
        <f t="shared" si="33"/>
        <v>2301</v>
      </c>
      <c r="L67" s="278">
        <f t="shared" si="34"/>
        <v>6.3041095890410963</v>
      </c>
      <c r="M67" s="385">
        <v>4980.6000000000004</v>
      </c>
      <c r="N67" s="279">
        <f t="shared" si="35"/>
        <v>11665.4</v>
      </c>
      <c r="O67" s="290">
        <f t="shared" si="32"/>
        <v>13.695890410958903</v>
      </c>
      <c r="P67" s="278">
        <f t="shared" si="36"/>
        <v>10833.1</v>
      </c>
      <c r="Q67" s="279">
        <f t="shared" si="30"/>
        <v>790.97449489897986</v>
      </c>
      <c r="R67" s="279">
        <f t="shared" si="37"/>
        <v>10874.42550510102</v>
      </c>
      <c r="S67" s="385">
        <v>-790.69</v>
      </c>
      <c r="T67" s="232">
        <f t="shared" si="38"/>
        <v>-0.28449489897980129</v>
      </c>
      <c r="U67" s="111"/>
    </row>
    <row r="68" spans="1:21">
      <c r="A68" s="282" t="s">
        <v>63</v>
      </c>
      <c r="B68" s="277">
        <v>41627</v>
      </c>
      <c r="C68" s="322">
        <v>639045</v>
      </c>
      <c r="D68" s="282"/>
      <c r="E68" s="282"/>
      <c r="F68" s="282"/>
      <c r="G68" s="278">
        <f t="shared" si="31"/>
        <v>31952.25</v>
      </c>
      <c r="H68" s="282"/>
      <c r="I68" s="282"/>
      <c r="J68" s="282"/>
      <c r="K68" s="282">
        <f t="shared" si="33"/>
        <v>2294</v>
      </c>
      <c r="L68" s="278">
        <f t="shared" si="34"/>
        <v>6.2849315068493148</v>
      </c>
      <c r="M68" s="385">
        <v>190624.57</v>
      </c>
      <c r="N68" s="279">
        <f t="shared" si="35"/>
        <v>448420.43</v>
      </c>
      <c r="O68" s="290">
        <f t="shared" si="32"/>
        <v>13.715068493150685</v>
      </c>
      <c r="P68" s="278">
        <f t="shared" si="36"/>
        <v>416468.18</v>
      </c>
      <c r="Q68" s="279">
        <f t="shared" si="30"/>
        <v>30365.738254095086</v>
      </c>
      <c r="R68" s="279">
        <f t="shared" si="37"/>
        <v>418054.69174590491</v>
      </c>
      <c r="S68" s="385">
        <v>-30354.639999999999</v>
      </c>
      <c r="T68" s="232">
        <f t="shared" si="38"/>
        <v>-11.098254095086304</v>
      </c>
      <c r="U68" s="111"/>
    </row>
    <row r="69" spans="1:21">
      <c r="A69" s="282" t="s">
        <v>10</v>
      </c>
      <c r="B69" s="277">
        <v>41629</v>
      </c>
      <c r="C69" s="322">
        <v>35700</v>
      </c>
      <c r="D69" s="282"/>
      <c r="E69" s="282"/>
      <c r="F69" s="282"/>
      <c r="G69" s="278">
        <f t="shared" si="31"/>
        <v>1785</v>
      </c>
      <c r="H69" s="282"/>
      <c r="I69" s="282"/>
      <c r="J69" s="282"/>
      <c r="K69" s="282">
        <f t="shared" si="33"/>
        <v>2292</v>
      </c>
      <c r="L69" s="278">
        <f t="shared" si="34"/>
        <v>6.279452054794521</v>
      </c>
      <c r="M69" s="385">
        <v>10639.88</v>
      </c>
      <c r="N69" s="279">
        <f t="shared" si="35"/>
        <v>25060.120000000003</v>
      </c>
      <c r="O69" s="290">
        <f t="shared" si="32"/>
        <v>13.720547945205478</v>
      </c>
      <c r="P69" s="278">
        <f t="shared" si="36"/>
        <v>23275.120000000003</v>
      </c>
      <c r="Q69" s="279">
        <f t="shared" si="30"/>
        <v>1696.3695686900962</v>
      </c>
      <c r="R69" s="279">
        <f t="shared" si="37"/>
        <v>23363.750431309905</v>
      </c>
      <c r="S69" s="385">
        <v>-1695.75</v>
      </c>
      <c r="T69" s="232">
        <f t="shared" si="38"/>
        <v>-0.61956869009623006</v>
      </c>
      <c r="U69" s="111"/>
    </row>
    <row r="70" spans="1:21">
      <c r="A70" s="282" t="s">
        <v>83</v>
      </c>
      <c r="B70" s="277">
        <v>41639</v>
      </c>
      <c r="C70" s="322">
        <v>6672114</v>
      </c>
      <c r="D70" s="282"/>
      <c r="E70" s="282"/>
      <c r="F70" s="282"/>
      <c r="G70" s="278">
        <f t="shared" si="31"/>
        <v>333605.7</v>
      </c>
      <c r="H70" s="282"/>
      <c r="I70" s="282"/>
      <c r="J70" s="282"/>
      <c r="K70" s="282">
        <f t="shared" si="33"/>
        <v>2282</v>
      </c>
      <c r="L70" s="278">
        <f t="shared" si="34"/>
        <v>6.2520547945205482</v>
      </c>
      <c r="M70" s="385">
        <v>1979845.24</v>
      </c>
      <c r="N70" s="279">
        <f t="shared" si="35"/>
        <v>4692268.76</v>
      </c>
      <c r="O70" s="290">
        <f t="shared" si="32"/>
        <v>13.747945205479452</v>
      </c>
      <c r="P70" s="278">
        <f t="shared" si="36"/>
        <v>4358663.0599999996</v>
      </c>
      <c r="Q70" s="279">
        <f t="shared" si="30"/>
        <v>317041.05557991227</v>
      </c>
      <c r="R70" s="279">
        <f t="shared" si="37"/>
        <v>4375227.7044200879</v>
      </c>
      <c r="S70" s="385">
        <v>-316925.42</v>
      </c>
      <c r="T70" s="232">
        <f t="shared" si="38"/>
        <v>-115.63557991228299</v>
      </c>
      <c r="U70" s="111"/>
    </row>
    <row r="71" spans="1:21">
      <c r="A71" s="319" t="s">
        <v>82</v>
      </c>
      <c r="B71" s="320">
        <v>41725</v>
      </c>
      <c r="C71" s="322">
        <v>300000</v>
      </c>
      <c r="D71" s="319"/>
      <c r="E71" s="319"/>
      <c r="F71" s="319"/>
      <c r="G71" s="112">
        <f t="shared" si="31"/>
        <v>15000</v>
      </c>
      <c r="H71" s="319"/>
      <c r="I71" s="319"/>
      <c r="J71" s="319"/>
      <c r="K71" s="319">
        <f t="shared" si="33"/>
        <v>2196</v>
      </c>
      <c r="L71" s="112">
        <f t="shared" si="34"/>
        <v>6.0164383561643833</v>
      </c>
      <c r="M71" s="323">
        <v>85665</v>
      </c>
      <c r="N71" s="206">
        <f t="shared" si="35"/>
        <v>214335</v>
      </c>
      <c r="O71" s="318">
        <f t="shared" si="32"/>
        <v>13.983561643835618</v>
      </c>
      <c r="P71" s="112">
        <f t="shared" si="36"/>
        <v>199335</v>
      </c>
      <c r="Q71" s="206">
        <f t="shared" si="30"/>
        <v>14254.9519984326</v>
      </c>
      <c r="R71" s="206">
        <f t="shared" si="37"/>
        <v>200080.0480015674</v>
      </c>
      <c r="S71" s="333">
        <v>-14255</v>
      </c>
      <c r="T71" s="232">
        <f t="shared" si="38"/>
        <v>4.8001567400206113E-2</v>
      </c>
      <c r="U71" s="111"/>
    </row>
    <row r="72" spans="1:21">
      <c r="A72" s="319" t="s">
        <v>10</v>
      </c>
      <c r="B72" s="320">
        <v>41725</v>
      </c>
      <c r="C72" s="322">
        <v>1488955</v>
      </c>
      <c r="D72" s="319"/>
      <c r="E72" s="319"/>
      <c r="F72" s="319"/>
      <c r="G72" s="112">
        <f t="shared" si="31"/>
        <v>74447.75</v>
      </c>
      <c r="H72" s="319"/>
      <c r="I72" s="319"/>
      <c r="J72" s="319"/>
      <c r="K72" s="319">
        <f t="shared" si="33"/>
        <v>2196</v>
      </c>
      <c r="L72" s="112">
        <f t="shared" si="34"/>
        <v>6.0164383561643833</v>
      </c>
      <c r="M72" s="323">
        <v>425157</v>
      </c>
      <c r="N72" s="206">
        <f t="shared" si="35"/>
        <v>1063798</v>
      </c>
      <c r="O72" s="318">
        <f t="shared" si="32"/>
        <v>13.983561643835618</v>
      </c>
      <c r="P72" s="112">
        <f t="shared" si="36"/>
        <v>989350.25</v>
      </c>
      <c r="Q72" s="206">
        <f t="shared" si="30"/>
        <v>70750.948520768026</v>
      </c>
      <c r="R72" s="206">
        <f t="shared" si="37"/>
        <v>993047.05147923203</v>
      </c>
      <c r="S72" s="333">
        <f>+[1]Sheet1!$I$123-S71</f>
        <v>-70720.36</v>
      </c>
      <c r="T72" s="232">
        <f t="shared" si="38"/>
        <v>-30.588520768025774</v>
      </c>
      <c r="U72" s="111"/>
    </row>
    <row r="73" spans="1:21">
      <c r="A73" s="316" t="s">
        <v>87</v>
      </c>
      <c r="B73" s="277">
        <v>42145</v>
      </c>
      <c r="C73" s="326">
        <v>974100</v>
      </c>
      <c r="D73" s="282"/>
      <c r="E73" s="282"/>
      <c r="F73" s="282"/>
      <c r="G73" s="278">
        <f t="shared" si="31"/>
        <v>48705</v>
      </c>
      <c r="H73" s="282"/>
      <c r="I73" s="282"/>
      <c r="J73" s="282"/>
      <c r="K73" s="282">
        <f t="shared" si="33"/>
        <v>1776</v>
      </c>
      <c r="L73" s="278">
        <f t="shared" si="34"/>
        <v>4.8657534246575347</v>
      </c>
      <c r="M73" s="385">
        <v>225010.43</v>
      </c>
      <c r="N73" s="279">
        <f t="shared" si="35"/>
        <v>749089.57000000007</v>
      </c>
      <c r="O73" s="290">
        <f t="shared" si="32"/>
        <v>15.134246575342466</v>
      </c>
      <c r="P73" s="278">
        <f t="shared" si="36"/>
        <v>700384.57000000007</v>
      </c>
      <c r="Q73" s="279">
        <f t="shared" si="30"/>
        <v>46278.126004706741</v>
      </c>
      <c r="R73" s="279">
        <f t="shared" si="37"/>
        <v>702811.44399529335</v>
      </c>
      <c r="S73" s="385">
        <v>-46269.75</v>
      </c>
      <c r="T73" s="232">
        <f t="shared" si="38"/>
        <v>-8.3760047067407868</v>
      </c>
      <c r="U73" s="240"/>
    </row>
    <row r="74" spans="1:21">
      <c r="A74" s="316" t="s">
        <v>88</v>
      </c>
      <c r="B74" s="277">
        <v>42240</v>
      </c>
      <c r="C74" s="326">
        <v>5214750</v>
      </c>
      <c r="D74" s="282"/>
      <c r="E74" s="282"/>
      <c r="F74" s="282"/>
      <c r="G74" s="278">
        <f t="shared" si="31"/>
        <v>260737.5</v>
      </c>
      <c r="H74" s="282"/>
      <c r="I74" s="282"/>
      <c r="J74" s="282"/>
      <c r="K74" s="282">
        <f t="shared" si="33"/>
        <v>1681</v>
      </c>
      <c r="L74" s="278">
        <f t="shared" si="34"/>
        <v>4.6054794520547944</v>
      </c>
      <c r="M74" s="385">
        <v>1140101.51</v>
      </c>
      <c r="N74" s="279">
        <f t="shared" si="35"/>
        <v>4074648.49</v>
      </c>
      <c r="O74" s="290">
        <f t="shared" si="32"/>
        <v>15.394520547945206</v>
      </c>
      <c r="P74" s="278">
        <f t="shared" si="36"/>
        <v>3813910.99</v>
      </c>
      <c r="Q74" s="279">
        <f t="shared" si="30"/>
        <v>247744.70748353802</v>
      </c>
      <c r="R74" s="279">
        <f t="shared" si="37"/>
        <v>3826903.7825164623</v>
      </c>
      <c r="S74" s="385">
        <v>-247700.63</v>
      </c>
      <c r="T74" s="232">
        <f t="shared" si="38"/>
        <v>-44.077483538014349</v>
      </c>
      <c r="U74" s="240"/>
    </row>
    <row r="75" spans="1:21">
      <c r="A75" s="316" t="s">
        <v>89</v>
      </c>
      <c r="B75" s="277">
        <v>42339</v>
      </c>
      <c r="C75" s="327">
        <v>1436500</v>
      </c>
      <c r="D75" s="282"/>
      <c r="E75" s="282"/>
      <c r="F75" s="282"/>
      <c r="G75" s="278">
        <f t="shared" si="31"/>
        <v>71825</v>
      </c>
      <c r="H75" s="282"/>
      <c r="I75" s="282"/>
      <c r="J75" s="282"/>
      <c r="K75" s="282">
        <f t="shared" si="33"/>
        <v>1582</v>
      </c>
      <c r="L75" s="278">
        <f t="shared" si="34"/>
        <v>4.3342465753424655</v>
      </c>
      <c r="M75" s="385">
        <v>295554.96000000002</v>
      </c>
      <c r="N75" s="279">
        <f t="shared" si="35"/>
        <v>1140945.04</v>
      </c>
      <c r="O75" s="290">
        <f t="shared" si="32"/>
        <v>15.665753424657535</v>
      </c>
      <c r="P75" s="278">
        <f t="shared" si="36"/>
        <v>1069120.04</v>
      </c>
      <c r="Q75" s="279">
        <f t="shared" si="30"/>
        <v>68245.68286114026</v>
      </c>
      <c r="R75" s="279">
        <f t="shared" si="37"/>
        <v>1072699.3571388598</v>
      </c>
      <c r="S75" s="385">
        <v>-68233.75</v>
      </c>
      <c r="T75" s="232">
        <f t="shared" si="38"/>
        <v>-11.932861140259774</v>
      </c>
      <c r="U75" s="240"/>
    </row>
    <row r="76" spans="1:21">
      <c r="A76" s="316" t="s">
        <v>86</v>
      </c>
      <c r="B76" s="277">
        <v>42363</v>
      </c>
      <c r="C76" s="326">
        <v>469200</v>
      </c>
      <c r="D76" s="282"/>
      <c r="E76" s="282"/>
      <c r="F76" s="282"/>
      <c r="G76" s="278">
        <f t="shared" si="31"/>
        <v>23460</v>
      </c>
      <c r="H76" s="282"/>
      <c r="I76" s="282"/>
      <c r="J76" s="282"/>
      <c r="K76" s="282">
        <f t="shared" si="33"/>
        <v>1558</v>
      </c>
      <c r="L76" s="278">
        <f t="shared" si="34"/>
        <v>4.2684931506849315</v>
      </c>
      <c r="M76" s="385">
        <v>95070.85</v>
      </c>
      <c r="N76" s="279">
        <f t="shared" si="35"/>
        <v>374129.15</v>
      </c>
      <c r="O76" s="290">
        <f t="shared" si="32"/>
        <v>15.731506849315068</v>
      </c>
      <c r="P76" s="278">
        <f t="shared" si="36"/>
        <v>350669.15</v>
      </c>
      <c r="Q76" s="279">
        <f t="shared" ref="Q76:Q107" si="39">P76/O76</f>
        <v>22290.881182514808</v>
      </c>
      <c r="R76" s="279">
        <f t="shared" si="37"/>
        <v>351838.26881748519</v>
      </c>
      <c r="S76" s="385">
        <v>-22287</v>
      </c>
      <c r="T76" s="232">
        <f t="shared" si="38"/>
        <v>-3.8811825148077332</v>
      </c>
      <c r="U76" s="240"/>
    </row>
    <row r="77" spans="1:21">
      <c r="A77" s="316" t="s">
        <v>90</v>
      </c>
      <c r="B77" s="277">
        <v>42399</v>
      </c>
      <c r="C77" s="326">
        <v>178500</v>
      </c>
      <c r="D77" s="282"/>
      <c r="E77" s="282"/>
      <c r="F77" s="282"/>
      <c r="G77" s="278">
        <f t="shared" si="31"/>
        <v>8925</v>
      </c>
      <c r="H77" s="282"/>
      <c r="I77" s="282"/>
      <c r="J77" s="282"/>
      <c r="K77" s="282">
        <f t="shared" si="33"/>
        <v>1522</v>
      </c>
      <c r="L77" s="278">
        <f t="shared" si="34"/>
        <v>4.1698630136986301</v>
      </c>
      <c r="M77" s="385">
        <v>35332</v>
      </c>
      <c r="N77" s="279">
        <f t="shared" si="35"/>
        <v>143168</v>
      </c>
      <c r="O77" s="290">
        <f t="shared" si="32"/>
        <v>15.830136986301369</v>
      </c>
      <c r="P77" s="278">
        <f t="shared" si="36"/>
        <v>134243</v>
      </c>
      <c r="Q77" s="279">
        <f t="shared" si="39"/>
        <v>8480.217203184493</v>
      </c>
      <c r="R77" s="279">
        <f t="shared" si="37"/>
        <v>134687.7827968155</v>
      </c>
      <c r="S77" s="385">
        <v>-8478.75</v>
      </c>
      <c r="T77" s="232">
        <f t="shared" si="38"/>
        <v>-1.4672031844929734</v>
      </c>
      <c r="U77" s="240"/>
    </row>
    <row r="78" spans="1:21">
      <c r="A78" s="316" t="s">
        <v>85</v>
      </c>
      <c r="B78" s="277">
        <v>42413</v>
      </c>
      <c r="C78" s="326">
        <v>249753</v>
      </c>
      <c r="D78" s="282"/>
      <c r="E78" s="282"/>
      <c r="F78" s="282"/>
      <c r="G78" s="278">
        <f t="shared" si="31"/>
        <v>12487.650000000001</v>
      </c>
      <c r="H78" s="282"/>
      <c r="I78" s="282"/>
      <c r="J78" s="282"/>
      <c r="K78" s="282">
        <f t="shared" si="33"/>
        <v>1508</v>
      </c>
      <c r="L78" s="278">
        <f t="shared" si="34"/>
        <v>4.1315068493150688</v>
      </c>
      <c r="M78" s="385">
        <v>48980.67</v>
      </c>
      <c r="N78" s="279">
        <f t="shared" si="35"/>
        <v>200772.33000000002</v>
      </c>
      <c r="O78" s="290">
        <f t="shared" si="32"/>
        <v>15.86849315068493</v>
      </c>
      <c r="P78" s="278">
        <f t="shared" si="36"/>
        <v>188284.68000000002</v>
      </c>
      <c r="Q78" s="279">
        <f t="shared" si="39"/>
        <v>11865.315642265195</v>
      </c>
      <c r="R78" s="279">
        <f t="shared" si="37"/>
        <v>188907.01435773482</v>
      </c>
      <c r="S78" s="385">
        <v>-11863.27</v>
      </c>
      <c r="T78" s="232">
        <f t="shared" si="38"/>
        <v>-2.0456422651950561</v>
      </c>
      <c r="U78" s="240"/>
    </row>
    <row r="79" spans="1:21" ht="15">
      <c r="A79" s="389" t="s">
        <v>93</v>
      </c>
      <c r="B79" s="390">
        <v>42467</v>
      </c>
      <c r="C79" s="328">
        <v>688500</v>
      </c>
      <c r="D79" s="282"/>
      <c r="E79" s="282"/>
      <c r="F79" s="282"/>
      <c r="G79" s="278">
        <f t="shared" ref="G79:G110" si="40">C79*5%</f>
        <v>34425</v>
      </c>
      <c r="H79" s="282"/>
      <c r="I79" s="282"/>
      <c r="J79" s="282"/>
      <c r="K79" s="282">
        <f t="shared" si="33"/>
        <v>1454</v>
      </c>
      <c r="L79" s="278">
        <f t="shared" si="34"/>
        <v>3.9835616438356163</v>
      </c>
      <c r="M79" s="385">
        <v>130187.8</v>
      </c>
      <c r="N79" s="279">
        <f t="shared" si="35"/>
        <v>558312.19999999995</v>
      </c>
      <c r="O79" s="290">
        <f t="shared" ref="O79:O110" si="41">$O$14-L79</f>
        <v>16.016438356164382</v>
      </c>
      <c r="P79" s="278">
        <f t="shared" si="36"/>
        <v>523887.19999999995</v>
      </c>
      <c r="Q79" s="279">
        <f t="shared" si="39"/>
        <v>32709.344509066028</v>
      </c>
      <c r="R79" s="279">
        <f t="shared" si="37"/>
        <v>525602.85549093387</v>
      </c>
      <c r="S79" s="385">
        <v>-32703.75</v>
      </c>
      <c r="T79" s="232">
        <f t="shared" si="38"/>
        <v>-5.5945090660279675</v>
      </c>
      <c r="U79" s="391"/>
    </row>
    <row r="80" spans="1:21" ht="15">
      <c r="A80" s="389" t="s">
        <v>101</v>
      </c>
      <c r="B80" s="390">
        <v>42471</v>
      </c>
      <c r="C80" s="328">
        <v>407455</v>
      </c>
      <c r="D80" s="282"/>
      <c r="E80" s="282"/>
      <c r="F80" s="282"/>
      <c r="G80" s="278">
        <f t="shared" si="40"/>
        <v>20372.75</v>
      </c>
      <c r="H80" s="282"/>
      <c r="I80" s="282"/>
      <c r="J80" s="282"/>
      <c r="K80" s="282">
        <f t="shared" ref="K80:K111" si="42">$K$2-B80</f>
        <v>1450</v>
      </c>
      <c r="L80" s="278">
        <f t="shared" ref="L80:L111" si="43">K80/365</f>
        <v>3.9726027397260273</v>
      </c>
      <c r="M80" s="385">
        <v>76833.17</v>
      </c>
      <c r="N80" s="279">
        <f t="shared" ref="N80:N111" si="44">C80-M80</f>
        <v>330621.83</v>
      </c>
      <c r="O80" s="290">
        <f t="shared" si="41"/>
        <v>16.027397260273972</v>
      </c>
      <c r="P80" s="278">
        <f t="shared" ref="P80:P111" si="45">N80-G80</f>
        <v>310249.08</v>
      </c>
      <c r="Q80" s="279">
        <f t="shared" si="39"/>
        <v>19357.421230769232</v>
      </c>
      <c r="R80" s="279">
        <f t="shared" ref="R80:R111" si="46">N80-Q80</f>
        <v>311264.40876923077</v>
      </c>
      <c r="S80" s="385">
        <v>-19354.11</v>
      </c>
      <c r="T80" s="232">
        <f t="shared" ref="T80:T111" si="47">-(Q80+S80)</f>
        <v>-3.31123076923177</v>
      </c>
      <c r="U80" s="391"/>
    </row>
    <row r="81" spans="1:21" ht="15">
      <c r="A81" s="389" t="s">
        <v>98</v>
      </c>
      <c r="B81" s="390">
        <v>42497</v>
      </c>
      <c r="C81" s="328">
        <v>32179</v>
      </c>
      <c r="D81" s="282"/>
      <c r="E81" s="282"/>
      <c r="F81" s="282"/>
      <c r="G81" s="278">
        <f t="shared" si="40"/>
        <v>1608.95</v>
      </c>
      <c r="H81" s="282"/>
      <c r="I81" s="282"/>
      <c r="J81" s="282"/>
      <c r="K81" s="282">
        <f t="shared" si="42"/>
        <v>1424</v>
      </c>
      <c r="L81" s="278">
        <f t="shared" si="43"/>
        <v>3.9013698630136986</v>
      </c>
      <c r="M81" s="385">
        <v>5959.06</v>
      </c>
      <c r="N81" s="279">
        <f t="shared" si="44"/>
        <v>26219.94</v>
      </c>
      <c r="O81" s="290">
        <f t="shared" si="41"/>
        <v>16.098630136986301</v>
      </c>
      <c r="P81" s="278">
        <f t="shared" si="45"/>
        <v>24610.989999999998</v>
      </c>
      <c r="Q81" s="279">
        <f t="shared" si="39"/>
        <v>1528.7629935330156</v>
      </c>
      <c r="R81" s="279">
        <f t="shared" si="46"/>
        <v>24691.177006466984</v>
      </c>
      <c r="S81" s="385">
        <v>-1528.5</v>
      </c>
      <c r="T81" s="232">
        <f t="shared" si="47"/>
        <v>-0.26299353301556039</v>
      </c>
      <c r="U81" s="391"/>
    </row>
    <row r="82" spans="1:21" ht="15">
      <c r="A82" s="389" t="s">
        <v>96</v>
      </c>
      <c r="B82" s="390">
        <v>42504</v>
      </c>
      <c r="C82" s="328">
        <v>418200</v>
      </c>
      <c r="D82" s="282"/>
      <c r="E82" s="282"/>
      <c r="F82" s="282"/>
      <c r="G82" s="278">
        <f t="shared" si="40"/>
        <v>20910</v>
      </c>
      <c r="H82" s="282"/>
      <c r="I82" s="282"/>
      <c r="J82" s="282"/>
      <c r="K82" s="282">
        <f t="shared" si="42"/>
        <v>1417</v>
      </c>
      <c r="L82" s="278">
        <f t="shared" si="43"/>
        <v>3.882191780821918</v>
      </c>
      <c r="M82" s="385">
        <v>77063.38</v>
      </c>
      <c r="N82" s="279">
        <f t="shared" si="44"/>
        <v>341136.62</v>
      </c>
      <c r="O82" s="290">
        <f t="shared" si="41"/>
        <v>16.11780821917808</v>
      </c>
      <c r="P82" s="278">
        <f t="shared" si="45"/>
        <v>320226.62</v>
      </c>
      <c r="Q82" s="279">
        <f t="shared" si="39"/>
        <v>19867.876304606496</v>
      </c>
      <c r="R82" s="279">
        <f t="shared" si="46"/>
        <v>321268.7436953935</v>
      </c>
      <c r="S82" s="385">
        <v>-19864.5</v>
      </c>
      <c r="T82" s="232">
        <f t="shared" si="47"/>
        <v>-3.3763046064959781</v>
      </c>
      <c r="U82" s="391"/>
    </row>
    <row r="83" spans="1:21" ht="15">
      <c r="A83" s="389" t="s">
        <v>93</v>
      </c>
      <c r="B83" s="390">
        <v>42514</v>
      </c>
      <c r="C83" s="328">
        <v>54591</v>
      </c>
      <c r="D83" s="282"/>
      <c r="E83" s="282"/>
      <c r="F83" s="282"/>
      <c r="G83" s="278">
        <f t="shared" si="40"/>
        <v>2729.55</v>
      </c>
      <c r="H83" s="282"/>
      <c r="I83" s="282"/>
      <c r="J83" s="282"/>
      <c r="K83" s="282">
        <f t="shared" si="42"/>
        <v>1407</v>
      </c>
      <c r="L83" s="278">
        <f t="shared" si="43"/>
        <v>3.8547945205479452</v>
      </c>
      <c r="M83" s="385">
        <v>9988.65</v>
      </c>
      <c r="N83" s="279">
        <f t="shared" si="44"/>
        <v>44602.35</v>
      </c>
      <c r="O83" s="290">
        <f t="shared" si="41"/>
        <v>16.145205479452056</v>
      </c>
      <c r="P83" s="278">
        <f t="shared" si="45"/>
        <v>41872.799999999996</v>
      </c>
      <c r="Q83" s="279">
        <f t="shared" si="39"/>
        <v>2593.5129815034784</v>
      </c>
      <c r="R83" s="279">
        <f t="shared" si="46"/>
        <v>42008.837018496517</v>
      </c>
      <c r="S83" s="385">
        <v>-2593.0700000000002</v>
      </c>
      <c r="T83" s="232">
        <f t="shared" si="47"/>
        <v>-0.44298150347822229</v>
      </c>
      <c r="U83" s="391"/>
    </row>
    <row r="84" spans="1:21" ht="15">
      <c r="A84" s="389" t="s">
        <v>100</v>
      </c>
      <c r="B84" s="390">
        <v>42522</v>
      </c>
      <c r="C84" s="328">
        <v>730880</v>
      </c>
      <c r="D84" s="282"/>
      <c r="E84" s="282"/>
      <c r="F84" s="282"/>
      <c r="G84" s="278">
        <f t="shared" si="40"/>
        <v>36544</v>
      </c>
      <c r="H84" s="282"/>
      <c r="I84" s="282"/>
      <c r="J84" s="282"/>
      <c r="K84" s="282">
        <f t="shared" si="42"/>
        <v>1399</v>
      </c>
      <c r="L84" s="278">
        <f t="shared" si="43"/>
        <v>3.8328767123287673</v>
      </c>
      <c r="M84" s="385">
        <v>132970.1</v>
      </c>
      <c r="N84" s="279">
        <f t="shared" si="44"/>
        <v>597909.9</v>
      </c>
      <c r="O84" s="290">
        <f t="shared" si="41"/>
        <v>16.167123287671231</v>
      </c>
      <c r="P84" s="278">
        <f t="shared" si="45"/>
        <v>561365.9</v>
      </c>
      <c r="Q84" s="279">
        <f t="shared" si="39"/>
        <v>34722.683189289957</v>
      </c>
      <c r="R84" s="279">
        <f t="shared" si="46"/>
        <v>563187.21681071003</v>
      </c>
      <c r="S84" s="385">
        <v>-34716.800000000003</v>
      </c>
      <c r="T84" s="232">
        <f t="shared" si="47"/>
        <v>-5.8831892899543163</v>
      </c>
      <c r="U84" s="391"/>
    </row>
    <row r="85" spans="1:21" ht="15">
      <c r="A85" s="389" t="s">
        <v>92</v>
      </c>
      <c r="B85" s="390">
        <v>42548</v>
      </c>
      <c r="C85" s="328">
        <v>286522</v>
      </c>
      <c r="D85" s="282"/>
      <c r="E85" s="282"/>
      <c r="F85" s="282"/>
      <c r="G85" s="278">
        <f t="shared" si="40"/>
        <v>14326.1</v>
      </c>
      <c r="H85" s="282"/>
      <c r="I85" s="282"/>
      <c r="J85" s="282"/>
      <c r="K85" s="282">
        <f t="shared" si="42"/>
        <v>1373</v>
      </c>
      <c r="L85" s="278">
        <f t="shared" si="43"/>
        <v>3.7616438356164386</v>
      </c>
      <c r="M85" s="385">
        <v>51157.919999999998</v>
      </c>
      <c r="N85" s="279">
        <f t="shared" si="44"/>
        <v>235364.08000000002</v>
      </c>
      <c r="O85" s="290">
        <f t="shared" si="41"/>
        <v>16.238356164383561</v>
      </c>
      <c r="P85" s="278">
        <f t="shared" si="45"/>
        <v>221037.98</v>
      </c>
      <c r="Q85" s="279">
        <f t="shared" si="39"/>
        <v>13612.090889151343</v>
      </c>
      <c r="R85" s="279">
        <f t="shared" si="46"/>
        <v>221751.98911084866</v>
      </c>
      <c r="S85" s="385">
        <v>-13609.8</v>
      </c>
      <c r="T85" s="232">
        <f t="shared" si="47"/>
        <v>-2.2908891513434355</v>
      </c>
      <c r="U85" s="391"/>
    </row>
    <row r="86" spans="1:21" ht="15">
      <c r="A86" s="389" t="s">
        <v>99</v>
      </c>
      <c r="B86" s="390">
        <v>42551</v>
      </c>
      <c r="C86" s="328">
        <v>17117</v>
      </c>
      <c r="D86" s="282"/>
      <c r="E86" s="282"/>
      <c r="F86" s="282"/>
      <c r="G86" s="278">
        <f t="shared" si="40"/>
        <v>855.85</v>
      </c>
      <c r="H86" s="282"/>
      <c r="I86" s="282"/>
      <c r="J86" s="282"/>
      <c r="K86" s="282">
        <f t="shared" si="42"/>
        <v>1370</v>
      </c>
      <c r="L86" s="278">
        <f t="shared" si="43"/>
        <v>3.7534246575342465</v>
      </c>
      <c r="M86" s="385">
        <v>3049.53</v>
      </c>
      <c r="N86" s="279">
        <f t="shared" si="44"/>
        <v>14067.47</v>
      </c>
      <c r="O86" s="290">
        <f t="shared" si="41"/>
        <v>16.246575342465754</v>
      </c>
      <c r="P86" s="278">
        <f t="shared" si="45"/>
        <v>13211.619999999999</v>
      </c>
      <c r="Q86" s="279">
        <f t="shared" si="39"/>
        <v>813.19414839797628</v>
      </c>
      <c r="R86" s="279">
        <f t="shared" si="46"/>
        <v>13254.275851602022</v>
      </c>
      <c r="S86" s="385">
        <v>-813.06</v>
      </c>
      <c r="T86" s="232">
        <f t="shared" si="47"/>
        <v>-0.13414839797633249</v>
      </c>
      <c r="U86" s="391"/>
    </row>
    <row r="87" spans="1:21" ht="15">
      <c r="A87" s="389" t="s">
        <v>100</v>
      </c>
      <c r="B87" s="390">
        <v>42552</v>
      </c>
      <c r="C87" s="328">
        <v>899446</v>
      </c>
      <c r="D87" s="282"/>
      <c r="E87" s="282"/>
      <c r="F87" s="282"/>
      <c r="G87" s="278">
        <f t="shared" si="40"/>
        <v>44972.3</v>
      </c>
      <c r="H87" s="282"/>
      <c r="I87" s="282"/>
      <c r="J87" s="282"/>
      <c r="K87" s="282">
        <f t="shared" si="42"/>
        <v>1369</v>
      </c>
      <c r="L87" s="278">
        <f t="shared" si="43"/>
        <v>3.7506849315068491</v>
      </c>
      <c r="M87" s="385">
        <v>160126.04</v>
      </c>
      <c r="N87" s="279">
        <f t="shared" si="44"/>
        <v>739319.96</v>
      </c>
      <c r="O87" s="290">
        <f t="shared" si="41"/>
        <v>16.24931506849315</v>
      </c>
      <c r="P87" s="278">
        <f t="shared" si="45"/>
        <v>694347.65999999992</v>
      </c>
      <c r="Q87" s="279">
        <f t="shared" si="39"/>
        <v>42730.887860394534</v>
      </c>
      <c r="R87" s="279">
        <f t="shared" si="46"/>
        <v>696589.07213960541</v>
      </c>
      <c r="S87" s="385">
        <v>-42723.69</v>
      </c>
      <c r="T87" s="232">
        <f t="shared" si="47"/>
        <v>-7.1978603945317445</v>
      </c>
      <c r="U87" s="391"/>
    </row>
    <row r="88" spans="1:21" ht="15">
      <c r="A88" s="389" t="s">
        <v>99</v>
      </c>
      <c r="B88" s="390">
        <v>42557</v>
      </c>
      <c r="C88" s="328">
        <v>16300</v>
      </c>
      <c r="D88" s="282"/>
      <c r="E88" s="282"/>
      <c r="F88" s="282"/>
      <c r="G88" s="278">
        <f t="shared" si="40"/>
        <v>815</v>
      </c>
      <c r="H88" s="282"/>
      <c r="I88" s="282"/>
      <c r="J88" s="282"/>
      <c r="K88" s="282">
        <f t="shared" si="42"/>
        <v>1364</v>
      </c>
      <c r="L88" s="278">
        <f t="shared" si="43"/>
        <v>3.7369863013698632</v>
      </c>
      <c r="M88" s="385">
        <v>2891.24</v>
      </c>
      <c r="N88" s="279">
        <f t="shared" si="44"/>
        <v>13408.76</v>
      </c>
      <c r="O88" s="290">
        <f t="shared" si="41"/>
        <v>16.263013698630136</v>
      </c>
      <c r="P88" s="278">
        <f t="shared" si="45"/>
        <v>12593.76</v>
      </c>
      <c r="Q88" s="279">
        <f t="shared" si="39"/>
        <v>774.38045822102436</v>
      </c>
      <c r="R88" s="279">
        <f t="shared" si="46"/>
        <v>12634.379541778975</v>
      </c>
      <c r="S88" s="385">
        <v>-774.25</v>
      </c>
      <c r="T88" s="232">
        <f t="shared" si="47"/>
        <v>-0.13045822102435523</v>
      </c>
      <c r="U88" s="391"/>
    </row>
    <row r="89" spans="1:21" ht="15">
      <c r="A89" s="389" t="s">
        <v>91</v>
      </c>
      <c r="B89" s="390">
        <v>42563</v>
      </c>
      <c r="C89" s="328">
        <v>190000</v>
      </c>
      <c r="D89" s="282"/>
      <c r="E89" s="282"/>
      <c r="F89" s="282"/>
      <c r="G89" s="278">
        <f t="shared" si="40"/>
        <v>9500</v>
      </c>
      <c r="H89" s="282"/>
      <c r="I89" s="282"/>
      <c r="J89" s="282"/>
      <c r="K89" s="282">
        <f t="shared" si="42"/>
        <v>1358</v>
      </c>
      <c r="L89" s="278">
        <f t="shared" si="43"/>
        <v>3.7205479452054795</v>
      </c>
      <c r="M89" s="385">
        <v>33553.22</v>
      </c>
      <c r="N89" s="279">
        <f t="shared" si="44"/>
        <v>156446.78</v>
      </c>
      <c r="O89" s="290">
        <f t="shared" si="41"/>
        <v>16.279452054794522</v>
      </c>
      <c r="P89" s="278">
        <f t="shared" si="45"/>
        <v>146946.78</v>
      </c>
      <c r="Q89" s="279">
        <f t="shared" si="39"/>
        <v>9026.5187983843807</v>
      </c>
      <c r="R89" s="279">
        <f t="shared" si="46"/>
        <v>147420.26120161562</v>
      </c>
      <c r="S89" s="385">
        <v>-9025</v>
      </c>
      <c r="T89" s="232">
        <f t="shared" si="47"/>
        <v>-1.518798384380716</v>
      </c>
      <c r="U89" s="391"/>
    </row>
    <row r="90" spans="1:21" ht="15">
      <c r="A90" s="389" t="s">
        <v>102</v>
      </c>
      <c r="B90" s="390">
        <v>42576</v>
      </c>
      <c r="C90" s="328">
        <v>180186</v>
      </c>
      <c r="D90" s="282"/>
      <c r="E90" s="282"/>
      <c r="F90" s="282"/>
      <c r="G90" s="278">
        <f t="shared" si="40"/>
        <v>9009.3000000000011</v>
      </c>
      <c r="H90" s="282"/>
      <c r="I90" s="282"/>
      <c r="J90" s="282"/>
      <c r="K90" s="282">
        <f t="shared" si="42"/>
        <v>1345</v>
      </c>
      <c r="L90" s="278">
        <f t="shared" si="43"/>
        <v>3.6849315068493151</v>
      </c>
      <c r="M90" s="385">
        <v>31515.279999999999</v>
      </c>
      <c r="N90" s="279">
        <f t="shared" si="44"/>
        <v>148670.72</v>
      </c>
      <c r="O90" s="290">
        <f t="shared" si="41"/>
        <v>16.315068493150683</v>
      </c>
      <c r="P90" s="278">
        <f t="shared" si="45"/>
        <v>139661.42000000001</v>
      </c>
      <c r="Q90" s="279">
        <f t="shared" si="39"/>
        <v>8560.2717548278779</v>
      </c>
      <c r="R90" s="279">
        <f t="shared" si="46"/>
        <v>140110.44824517213</v>
      </c>
      <c r="S90" s="385">
        <v>-8558.84</v>
      </c>
      <c r="T90" s="232">
        <f t="shared" si="47"/>
        <v>-1.4317548278777394</v>
      </c>
      <c r="U90" s="391"/>
    </row>
    <row r="91" spans="1:21" ht="15">
      <c r="A91" s="389" t="s">
        <v>99</v>
      </c>
      <c r="B91" s="390">
        <v>42577</v>
      </c>
      <c r="C91" s="328">
        <v>50952.38</v>
      </c>
      <c r="D91" s="282"/>
      <c r="E91" s="282"/>
      <c r="F91" s="282"/>
      <c r="G91" s="278">
        <f t="shared" si="40"/>
        <v>2547.6190000000001</v>
      </c>
      <c r="H91" s="282"/>
      <c r="I91" s="282"/>
      <c r="J91" s="282"/>
      <c r="K91" s="282">
        <f t="shared" si="42"/>
        <v>1344</v>
      </c>
      <c r="L91" s="278">
        <f t="shared" si="43"/>
        <v>3.6821917808219178</v>
      </c>
      <c r="M91" s="385">
        <v>8905.15</v>
      </c>
      <c r="N91" s="279">
        <f t="shared" si="44"/>
        <v>42047.229999999996</v>
      </c>
      <c r="O91" s="290">
        <f t="shared" si="41"/>
        <v>16.317808219178083</v>
      </c>
      <c r="P91" s="278">
        <f t="shared" si="45"/>
        <v>39499.610999999997</v>
      </c>
      <c r="Q91" s="279">
        <f t="shared" si="39"/>
        <v>2420.644394728005</v>
      </c>
      <c r="R91" s="279">
        <f t="shared" si="46"/>
        <v>39626.58560527199</v>
      </c>
      <c r="S91" s="385">
        <v>-2420.2399999999998</v>
      </c>
      <c r="T91" s="232">
        <f t="shared" si="47"/>
        <v>-0.40439472800517251</v>
      </c>
      <c r="U91" s="391"/>
    </row>
    <row r="92" spans="1:21" ht="15">
      <c r="A92" s="389" t="s">
        <v>94</v>
      </c>
      <c r="B92" s="390">
        <v>42578</v>
      </c>
      <c r="C92" s="328">
        <v>114615</v>
      </c>
      <c r="D92" s="282"/>
      <c r="E92" s="282"/>
      <c r="F92" s="282"/>
      <c r="G92" s="278">
        <f t="shared" si="40"/>
        <v>5730.75</v>
      </c>
      <c r="H92" s="282"/>
      <c r="I92" s="282"/>
      <c r="J92" s="282"/>
      <c r="K92" s="282">
        <f t="shared" si="42"/>
        <v>1343</v>
      </c>
      <c r="L92" s="278">
        <f t="shared" si="43"/>
        <v>3.6794520547945204</v>
      </c>
      <c r="M92" s="385">
        <v>20016.8</v>
      </c>
      <c r="N92" s="279">
        <f t="shared" si="44"/>
        <v>94598.2</v>
      </c>
      <c r="O92" s="290">
        <f t="shared" si="41"/>
        <v>16.32054794520548</v>
      </c>
      <c r="P92" s="278">
        <f t="shared" si="45"/>
        <v>88867.45</v>
      </c>
      <c r="Q92" s="279">
        <f t="shared" si="39"/>
        <v>5445.1266157461805</v>
      </c>
      <c r="R92" s="279">
        <f t="shared" si="46"/>
        <v>89153.073384253817</v>
      </c>
      <c r="S92" s="385">
        <v>-5444.21</v>
      </c>
      <c r="T92" s="232">
        <f t="shared" si="47"/>
        <v>-0.9166157461804687</v>
      </c>
      <c r="U92" s="391"/>
    </row>
    <row r="93" spans="1:21" ht="15">
      <c r="A93" s="389" t="s">
        <v>102</v>
      </c>
      <c r="B93" s="390">
        <v>42587</v>
      </c>
      <c r="C93" s="328">
        <v>7761</v>
      </c>
      <c r="D93" s="282"/>
      <c r="E93" s="282"/>
      <c r="F93" s="282"/>
      <c r="G93" s="278">
        <f t="shared" si="40"/>
        <v>388.05</v>
      </c>
      <c r="H93" s="282"/>
      <c r="I93" s="282"/>
      <c r="J93" s="282"/>
      <c r="K93" s="282">
        <f t="shared" si="42"/>
        <v>1334</v>
      </c>
      <c r="L93" s="278">
        <f t="shared" si="43"/>
        <v>3.6547945205479451</v>
      </c>
      <c r="M93" s="385">
        <v>1346.32</v>
      </c>
      <c r="N93" s="279">
        <f t="shared" si="44"/>
        <v>6414.68</v>
      </c>
      <c r="O93" s="290">
        <f t="shared" si="41"/>
        <v>16.345205479452055</v>
      </c>
      <c r="P93" s="278">
        <f t="shared" si="45"/>
        <v>6026.63</v>
      </c>
      <c r="Q93" s="279">
        <f t="shared" si="39"/>
        <v>368.70934461951055</v>
      </c>
      <c r="R93" s="279">
        <f t="shared" si="46"/>
        <v>6045.9706553804899</v>
      </c>
      <c r="S93" s="385">
        <v>-368.65</v>
      </c>
      <c r="T93" s="232">
        <f t="shared" si="47"/>
        <v>-5.9344619510568464E-2</v>
      </c>
      <c r="U93" s="391"/>
    </row>
    <row r="94" spans="1:21" ht="15">
      <c r="A94" s="389" t="s">
        <v>91</v>
      </c>
      <c r="B94" s="390">
        <v>42591</v>
      </c>
      <c r="C94" s="328">
        <v>285000</v>
      </c>
      <c r="D94" s="282"/>
      <c r="E94" s="282"/>
      <c r="F94" s="282"/>
      <c r="G94" s="278">
        <f t="shared" si="40"/>
        <v>14250</v>
      </c>
      <c r="H94" s="282"/>
      <c r="I94" s="282"/>
      <c r="J94" s="282"/>
      <c r="K94" s="282">
        <f t="shared" si="42"/>
        <v>1330</v>
      </c>
      <c r="L94" s="278">
        <f t="shared" si="43"/>
        <v>3.6438356164383561</v>
      </c>
      <c r="M94" s="385">
        <v>49291.34</v>
      </c>
      <c r="N94" s="279">
        <f t="shared" si="44"/>
        <v>235708.66</v>
      </c>
      <c r="O94" s="290">
        <f t="shared" si="41"/>
        <v>16.356164383561644</v>
      </c>
      <c r="P94" s="278">
        <f t="shared" si="45"/>
        <v>221458.66</v>
      </c>
      <c r="Q94" s="279">
        <f t="shared" si="39"/>
        <v>13539.767319932998</v>
      </c>
      <c r="R94" s="279">
        <f t="shared" si="46"/>
        <v>222168.89268006702</v>
      </c>
      <c r="S94" s="385">
        <v>-13537.5</v>
      </c>
      <c r="T94" s="232">
        <f t="shared" si="47"/>
        <v>-2.2673199329983618</v>
      </c>
      <c r="U94" s="391"/>
    </row>
    <row r="95" spans="1:21" ht="15">
      <c r="A95" s="389" t="s">
        <v>97</v>
      </c>
      <c r="B95" s="390">
        <v>42608</v>
      </c>
      <c r="C95" s="328">
        <v>20834.400000000001</v>
      </c>
      <c r="D95" s="282"/>
      <c r="E95" s="282"/>
      <c r="F95" s="282"/>
      <c r="G95" s="278">
        <f t="shared" si="40"/>
        <v>1041.72</v>
      </c>
      <c r="H95" s="282"/>
      <c r="I95" s="282"/>
      <c r="J95" s="282"/>
      <c r="K95" s="282">
        <f t="shared" si="42"/>
        <v>1313</v>
      </c>
      <c r="L95" s="278">
        <f t="shared" si="43"/>
        <v>3.5972602739726027</v>
      </c>
      <c r="M95" s="385">
        <v>3557.26</v>
      </c>
      <c r="N95" s="279">
        <f t="shared" si="44"/>
        <v>17277.14</v>
      </c>
      <c r="O95" s="290">
        <f t="shared" si="41"/>
        <v>16.402739726027399</v>
      </c>
      <c r="P95" s="278">
        <f t="shared" si="45"/>
        <v>16235.42</v>
      </c>
      <c r="Q95" s="279">
        <f t="shared" si="39"/>
        <v>989.79928177718386</v>
      </c>
      <c r="R95" s="279">
        <f t="shared" si="46"/>
        <v>16287.340718222815</v>
      </c>
      <c r="S95" s="385">
        <v>-989.63</v>
      </c>
      <c r="T95" s="232">
        <f t="shared" si="47"/>
        <v>-0.16928177718386905</v>
      </c>
      <c r="U95" s="391"/>
    </row>
    <row r="96" spans="1:21" ht="15">
      <c r="A96" s="389" t="s">
        <v>99</v>
      </c>
      <c r="B96" s="390">
        <v>42627</v>
      </c>
      <c r="C96" s="328">
        <v>112857.14</v>
      </c>
      <c r="D96" s="282"/>
      <c r="E96" s="282"/>
      <c r="F96" s="282"/>
      <c r="G96" s="278">
        <f t="shared" si="40"/>
        <v>5642.857</v>
      </c>
      <c r="H96" s="282"/>
      <c r="I96" s="282"/>
      <c r="J96" s="282"/>
      <c r="K96" s="282">
        <f t="shared" si="42"/>
        <v>1294</v>
      </c>
      <c r="L96" s="278">
        <f t="shared" si="43"/>
        <v>3.5452054794520547</v>
      </c>
      <c r="M96" s="385">
        <v>18990.14</v>
      </c>
      <c r="N96" s="279">
        <f t="shared" si="44"/>
        <v>93867</v>
      </c>
      <c r="O96" s="290">
        <f t="shared" si="41"/>
        <v>16.454794520547946</v>
      </c>
      <c r="P96" s="278">
        <f t="shared" si="45"/>
        <v>88224.142999999996</v>
      </c>
      <c r="Q96" s="279">
        <f t="shared" si="39"/>
        <v>5361.6070920745915</v>
      </c>
      <c r="R96" s="279">
        <f t="shared" si="46"/>
        <v>88505.392907925416</v>
      </c>
      <c r="S96" s="385">
        <v>-5360.71</v>
      </c>
      <c r="T96" s="232">
        <f t="shared" si="47"/>
        <v>-0.89709207459145546</v>
      </c>
      <c r="U96" s="391"/>
    </row>
    <row r="97" spans="1:21" ht="15">
      <c r="A97" s="389" t="s">
        <v>95</v>
      </c>
      <c r="B97" s="390">
        <v>42705</v>
      </c>
      <c r="C97" s="328">
        <v>940858</v>
      </c>
      <c r="D97" s="282"/>
      <c r="E97" s="282"/>
      <c r="F97" s="282"/>
      <c r="G97" s="278">
        <f t="shared" si="40"/>
        <v>47042.9</v>
      </c>
      <c r="H97" s="282"/>
      <c r="I97" s="282"/>
      <c r="J97" s="282"/>
      <c r="K97" s="282">
        <f t="shared" si="42"/>
        <v>1216</v>
      </c>
      <c r="L97" s="278">
        <f t="shared" si="43"/>
        <v>3.3315068493150686</v>
      </c>
      <c r="M97" s="385">
        <v>148765.12</v>
      </c>
      <c r="N97" s="279">
        <f t="shared" si="44"/>
        <v>792092.88</v>
      </c>
      <c r="O97" s="290">
        <f t="shared" si="41"/>
        <v>16.668493150684931</v>
      </c>
      <c r="P97" s="278">
        <f t="shared" si="45"/>
        <v>745049.98</v>
      </c>
      <c r="Q97" s="279">
        <f t="shared" si="39"/>
        <v>44698.100378040763</v>
      </c>
      <c r="R97" s="279">
        <f t="shared" si="46"/>
        <v>747394.7796219592</v>
      </c>
      <c r="S97" s="385">
        <v>-44690.76</v>
      </c>
      <c r="T97" s="232">
        <f t="shared" si="47"/>
        <v>-7.3403780407606973</v>
      </c>
      <c r="U97" s="391"/>
    </row>
    <row r="98" spans="1:21" ht="15">
      <c r="A98" s="389" t="s">
        <v>95</v>
      </c>
      <c r="B98" s="390">
        <v>42710</v>
      </c>
      <c r="C98" s="328">
        <v>1597269</v>
      </c>
      <c r="D98" s="282"/>
      <c r="E98" s="282"/>
      <c r="F98" s="282"/>
      <c r="G98" s="278">
        <f t="shared" si="40"/>
        <v>79863.450000000012</v>
      </c>
      <c r="H98" s="282"/>
      <c r="I98" s="282"/>
      <c r="J98" s="282"/>
      <c r="K98" s="282">
        <f t="shared" si="42"/>
        <v>1211</v>
      </c>
      <c r="L98" s="278">
        <f t="shared" si="43"/>
        <v>3.3178082191780822</v>
      </c>
      <c r="M98" s="385">
        <v>251515.17</v>
      </c>
      <c r="N98" s="279">
        <f t="shared" si="44"/>
        <v>1345753.83</v>
      </c>
      <c r="O98" s="290">
        <f t="shared" si="41"/>
        <v>16.682191780821917</v>
      </c>
      <c r="P98" s="278">
        <f t="shared" si="45"/>
        <v>1265890.3800000001</v>
      </c>
      <c r="Q98" s="279">
        <f t="shared" si="39"/>
        <v>75882.737510264429</v>
      </c>
      <c r="R98" s="279">
        <f t="shared" si="46"/>
        <v>1269871.0924897357</v>
      </c>
      <c r="S98" s="385">
        <v>-75870.28</v>
      </c>
      <c r="T98" s="232">
        <f t="shared" si="47"/>
        <v>-12.457510264430312</v>
      </c>
      <c r="U98" s="391"/>
    </row>
    <row r="99" spans="1:21" ht="15">
      <c r="A99" s="389" t="s">
        <v>100</v>
      </c>
      <c r="B99" s="390">
        <v>42736</v>
      </c>
      <c r="C99" s="328">
        <v>1464900</v>
      </c>
      <c r="D99" s="282"/>
      <c r="E99" s="282"/>
      <c r="F99" s="282"/>
      <c r="G99" s="278">
        <f t="shared" si="40"/>
        <v>73245</v>
      </c>
      <c r="H99" s="282"/>
      <c r="I99" s="282"/>
      <c r="J99" s="282"/>
      <c r="K99" s="282">
        <f t="shared" si="42"/>
        <v>1185</v>
      </c>
      <c r="L99" s="278">
        <f t="shared" si="43"/>
        <v>3.2465753424657535</v>
      </c>
      <c r="M99" s="385">
        <v>225715</v>
      </c>
      <c r="N99" s="279">
        <f t="shared" si="44"/>
        <v>1239185</v>
      </c>
      <c r="O99" s="290">
        <f t="shared" si="41"/>
        <v>16.753424657534246</v>
      </c>
      <c r="P99" s="278">
        <f t="shared" si="45"/>
        <v>1165940</v>
      </c>
      <c r="Q99" s="279">
        <f t="shared" si="39"/>
        <v>69594.12919051513</v>
      </c>
      <c r="R99" s="279">
        <f t="shared" si="46"/>
        <v>1169590.870809485</v>
      </c>
      <c r="S99" s="385">
        <v>-69582.75</v>
      </c>
      <c r="T99" s="232">
        <f t="shared" si="47"/>
        <v>-11.379190515130176</v>
      </c>
      <c r="U99" s="391"/>
    </row>
    <row r="100" spans="1:21" ht="15">
      <c r="A100" s="389" t="s">
        <v>92</v>
      </c>
      <c r="B100" s="390">
        <v>42753</v>
      </c>
      <c r="C100" s="328">
        <v>467363</v>
      </c>
      <c r="D100" s="282"/>
      <c r="E100" s="282"/>
      <c r="F100" s="282"/>
      <c r="G100" s="278">
        <f t="shared" si="40"/>
        <v>23368.15</v>
      </c>
      <c r="H100" s="282"/>
      <c r="I100" s="282"/>
      <c r="J100" s="282"/>
      <c r="K100" s="282">
        <f t="shared" si="42"/>
        <v>1168</v>
      </c>
      <c r="L100" s="278">
        <f t="shared" si="43"/>
        <v>3.2</v>
      </c>
      <c r="M100" s="385">
        <v>70978.350000000006</v>
      </c>
      <c r="N100" s="279">
        <f t="shared" si="44"/>
        <v>396384.65</v>
      </c>
      <c r="O100" s="290">
        <f t="shared" si="41"/>
        <v>16.8</v>
      </c>
      <c r="P100" s="278">
        <f t="shared" si="45"/>
        <v>373016.5</v>
      </c>
      <c r="Q100" s="279">
        <f t="shared" si="39"/>
        <v>22203.363095238095</v>
      </c>
      <c r="R100" s="279">
        <f t="shared" si="46"/>
        <v>374181.28690476192</v>
      </c>
      <c r="S100" s="385">
        <v>-22199.74</v>
      </c>
      <c r="T100" s="232">
        <f t="shared" si="47"/>
        <v>-3.6230952380938106</v>
      </c>
      <c r="U100" s="391"/>
    </row>
    <row r="101" spans="1:21" ht="15">
      <c r="A101" s="392" t="s">
        <v>99</v>
      </c>
      <c r="B101" s="387">
        <v>42830</v>
      </c>
      <c r="C101" s="326">
        <v>99360</v>
      </c>
      <c r="D101" s="111"/>
      <c r="E101" s="111"/>
      <c r="F101" s="111"/>
      <c r="G101" s="278">
        <f t="shared" si="40"/>
        <v>4968</v>
      </c>
      <c r="H101" s="282"/>
      <c r="I101" s="282"/>
      <c r="J101" s="282"/>
      <c r="K101" s="282">
        <f t="shared" si="42"/>
        <v>1091</v>
      </c>
      <c r="L101" s="278">
        <f t="shared" si="43"/>
        <v>2.989041095890411</v>
      </c>
      <c r="M101" s="385">
        <v>14094.15</v>
      </c>
      <c r="N101" s="279">
        <f t="shared" si="44"/>
        <v>85265.85</v>
      </c>
      <c r="O101" s="290">
        <f t="shared" si="41"/>
        <v>17.010958904109589</v>
      </c>
      <c r="P101" s="278">
        <f t="shared" si="45"/>
        <v>80297.850000000006</v>
      </c>
      <c r="Q101" s="279">
        <f t="shared" si="39"/>
        <v>4720.3600016105656</v>
      </c>
      <c r="R101" s="279">
        <f t="shared" si="46"/>
        <v>80545.489998389443</v>
      </c>
      <c r="S101" s="385">
        <v>-4719.6000000000004</v>
      </c>
      <c r="T101" s="232">
        <f t="shared" si="47"/>
        <v>-0.76000161056526849</v>
      </c>
      <c r="U101" s="393"/>
    </row>
    <row r="102" spans="1:21" ht="15">
      <c r="A102" s="392" t="s">
        <v>157</v>
      </c>
      <c r="B102" s="387">
        <v>42842</v>
      </c>
      <c r="C102" s="326">
        <v>110496</v>
      </c>
      <c r="D102" s="111"/>
      <c r="E102" s="111"/>
      <c r="F102" s="111"/>
      <c r="G102" s="278">
        <f t="shared" si="40"/>
        <v>5524.8</v>
      </c>
      <c r="H102" s="282"/>
      <c r="I102" s="282"/>
      <c r="J102" s="282"/>
      <c r="K102" s="282">
        <f t="shared" si="42"/>
        <v>1079</v>
      </c>
      <c r="L102" s="278">
        <f t="shared" si="43"/>
        <v>2.956164383561644</v>
      </c>
      <c r="M102" s="385">
        <v>15501.23</v>
      </c>
      <c r="N102" s="279">
        <f t="shared" si="44"/>
        <v>94994.77</v>
      </c>
      <c r="O102" s="290">
        <f t="shared" si="41"/>
        <v>17.043835616438358</v>
      </c>
      <c r="P102" s="278">
        <f t="shared" si="45"/>
        <v>89469.97</v>
      </c>
      <c r="Q102" s="279">
        <f t="shared" si="39"/>
        <v>5249.4034801478856</v>
      </c>
      <c r="R102" s="279">
        <f t="shared" si="46"/>
        <v>89745.366519852119</v>
      </c>
      <c r="S102" s="385">
        <v>-5248.56</v>
      </c>
      <c r="T102" s="232">
        <f t="shared" si="47"/>
        <v>-0.84348014788520231</v>
      </c>
      <c r="U102" s="393"/>
    </row>
    <row r="103" spans="1:21" ht="15">
      <c r="A103" s="392" t="s">
        <v>155</v>
      </c>
      <c r="B103" s="387">
        <v>42870</v>
      </c>
      <c r="C103" s="326">
        <v>1900000</v>
      </c>
      <c r="D103" s="111"/>
      <c r="E103" s="111"/>
      <c r="F103" s="111"/>
      <c r="G103" s="278">
        <f t="shared" si="40"/>
        <v>95000</v>
      </c>
      <c r="H103" s="282"/>
      <c r="I103" s="282"/>
      <c r="J103" s="282"/>
      <c r="K103" s="282">
        <f t="shared" si="42"/>
        <v>1051</v>
      </c>
      <c r="L103" s="278">
        <f t="shared" si="43"/>
        <v>2.8794520547945206</v>
      </c>
      <c r="M103" s="385">
        <v>259623.29</v>
      </c>
      <c r="N103" s="279">
        <f t="shared" si="44"/>
        <v>1640376.71</v>
      </c>
      <c r="O103" s="290">
        <f t="shared" si="41"/>
        <v>17.12054794520548</v>
      </c>
      <c r="P103" s="278">
        <f t="shared" si="45"/>
        <v>1545376.71</v>
      </c>
      <c r="Q103" s="279">
        <f t="shared" si="39"/>
        <v>90264.44217474795</v>
      </c>
      <c r="R103" s="279">
        <f t="shared" si="46"/>
        <v>1550112.2678252519</v>
      </c>
      <c r="S103" s="385">
        <v>-90250</v>
      </c>
      <c r="T103" s="232">
        <f t="shared" si="47"/>
        <v>-14.442174747950048</v>
      </c>
      <c r="U103" s="393"/>
    </row>
    <row r="104" spans="1:21" ht="15">
      <c r="A104" s="392" t="s">
        <v>99</v>
      </c>
      <c r="B104" s="387">
        <v>42908</v>
      </c>
      <c r="C104" s="326">
        <v>41825</v>
      </c>
      <c r="D104" s="111"/>
      <c r="E104" s="111"/>
      <c r="F104" s="111"/>
      <c r="G104" s="278">
        <f t="shared" si="40"/>
        <v>2091.25</v>
      </c>
      <c r="H104" s="282"/>
      <c r="I104" s="282"/>
      <c r="J104" s="282"/>
      <c r="K104" s="282">
        <f t="shared" si="42"/>
        <v>1013</v>
      </c>
      <c r="L104" s="278">
        <f t="shared" si="43"/>
        <v>2.7753424657534245</v>
      </c>
      <c r="M104" s="385">
        <v>5508.3</v>
      </c>
      <c r="N104" s="279">
        <f t="shared" si="44"/>
        <v>36316.699999999997</v>
      </c>
      <c r="O104" s="290">
        <f t="shared" si="41"/>
        <v>17.224657534246575</v>
      </c>
      <c r="P104" s="278">
        <f t="shared" si="45"/>
        <v>34225.449999999997</v>
      </c>
      <c r="Q104" s="279">
        <f t="shared" si="39"/>
        <v>1987.0032209320821</v>
      </c>
      <c r="R104" s="279">
        <f t="shared" si="46"/>
        <v>34329.696779067912</v>
      </c>
      <c r="S104" s="385">
        <v>-1986.69</v>
      </c>
      <c r="T104" s="232">
        <f t="shared" si="47"/>
        <v>-0.31322093208200386</v>
      </c>
      <c r="U104" s="393"/>
    </row>
    <row r="105" spans="1:21" ht="15">
      <c r="A105" s="392" t="s">
        <v>158</v>
      </c>
      <c r="B105" s="387">
        <v>42943</v>
      </c>
      <c r="C105" s="326">
        <v>725000</v>
      </c>
      <c r="D105" s="111"/>
      <c r="E105" s="111"/>
      <c r="F105" s="111"/>
      <c r="G105" s="278">
        <f t="shared" si="40"/>
        <v>36250</v>
      </c>
      <c r="H105" s="282"/>
      <c r="I105" s="282"/>
      <c r="J105" s="282"/>
      <c r="K105" s="282">
        <f t="shared" si="42"/>
        <v>978</v>
      </c>
      <c r="L105" s="278">
        <f t="shared" si="43"/>
        <v>2.6794520547945204</v>
      </c>
      <c r="M105" s="385">
        <v>92179.28</v>
      </c>
      <c r="N105" s="279">
        <f t="shared" si="44"/>
        <v>632820.72</v>
      </c>
      <c r="O105" s="290">
        <f t="shared" si="41"/>
        <v>17.32054794520548</v>
      </c>
      <c r="P105" s="278">
        <f t="shared" si="45"/>
        <v>596570.72</v>
      </c>
      <c r="Q105" s="279">
        <f t="shared" si="39"/>
        <v>34442.947295159756</v>
      </c>
      <c r="R105" s="279">
        <f t="shared" si="46"/>
        <v>598377.77270484017</v>
      </c>
      <c r="S105" s="385">
        <v>-34437.5</v>
      </c>
      <c r="T105" s="232">
        <f t="shared" si="47"/>
        <v>-5.4472951597563224</v>
      </c>
      <c r="U105" s="393"/>
    </row>
    <row r="106" spans="1:21" ht="15">
      <c r="A106" s="392" t="s">
        <v>156</v>
      </c>
      <c r="B106" s="387">
        <v>42983</v>
      </c>
      <c r="C106" s="326">
        <v>19000</v>
      </c>
      <c r="D106" s="111"/>
      <c r="E106" s="111"/>
      <c r="F106" s="111"/>
      <c r="G106" s="278">
        <f t="shared" si="40"/>
        <v>950</v>
      </c>
      <c r="H106" s="282"/>
      <c r="I106" s="282"/>
      <c r="J106" s="282"/>
      <c r="K106" s="282">
        <f t="shared" si="42"/>
        <v>938</v>
      </c>
      <c r="L106" s="278">
        <f t="shared" si="43"/>
        <v>2.56986301369863</v>
      </c>
      <c r="M106" s="385">
        <v>2316.83</v>
      </c>
      <c r="N106" s="279">
        <f t="shared" si="44"/>
        <v>16683.169999999998</v>
      </c>
      <c r="O106" s="290">
        <f t="shared" si="41"/>
        <v>17.43013698630137</v>
      </c>
      <c r="P106" s="278">
        <f t="shared" si="45"/>
        <v>15733.169999999998</v>
      </c>
      <c r="Q106" s="279">
        <f t="shared" si="39"/>
        <v>902.64178717384459</v>
      </c>
      <c r="R106" s="279">
        <f t="shared" si="46"/>
        <v>15780.528212826153</v>
      </c>
      <c r="S106" s="385">
        <v>-902.5</v>
      </c>
      <c r="T106" s="232">
        <f t="shared" si="47"/>
        <v>-0.14178717384459105</v>
      </c>
      <c r="U106" s="393"/>
    </row>
    <row r="107" spans="1:21" ht="15">
      <c r="A107" s="392" t="s">
        <v>154</v>
      </c>
      <c r="B107" s="387">
        <v>43173</v>
      </c>
      <c r="C107" s="326">
        <v>191510</v>
      </c>
      <c r="D107" s="111"/>
      <c r="E107" s="111"/>
      <c r="F107" s="111"/>
      <c r="G107" s="278">
        <f t="shared" si="40"/>
        <v>9575.5</v>
      </c>
      <c r="H107" s="282"/>
      <c r="I107" s="282"/>
      <c r="J107" s="282"/>
      <c r="K107" s="282">
        <f t="shared" si="42"/>
        <v>748</v>
      </c>
      <c r="L107" s="278">
        <f t="shared" si="43"/>
        <v>2.0493150684931507</v>
      </c>
      <c r="M107" s="385">
        <v>18617.14</v>
      </c>
      <c r="N107" s="279">
        <f t="shared" si="44"/>
        <v>172892.86</v>
      </c>
      <c r="O107" s="290">
        <f t="shared" si="41"/>
        <v>17.950684931506849</v>
      </c>
      <c r="P107" s="278">
        <f t="shared" si="45"/>
        <v>163317.35999999999</v>
      </c>
      <c r="Q107" s="279">
        <f t="shared" si="39"/>
        <v>9098.113003663002</v>
      </c>
      <c r="R107" s="279">
        <f t="shared" si="46"/>
        <v>163794.74699633699</v>
      </c>
      <c r="S107" s="385">
        <v>-9096.73</v>
      </c>
      <c r="T107" s="232">
        <f t="shared" si="47"/>
        <v>-1.3830036630024551</v>
      </c>
      <c r="U107" s="393"/>
    </row>
    <row r="108" spans="1:21">
      <c r="A108" s="314" t="s">
        <v>199</v>
      </c>
      <c r="B108" s="387">
        <v>43201</v>
      </c>
      <c r="C108" s="329">
        <v>407744</v>
      </c>
      <c r="D108" s="282"/>
      <c r="E108" s="282"/>
      <c r="F108" s="282"/>
      <c r="G108" s="278">
        <f t="shared" si="40"/>
        <v>20387.2</v>
      </c>
      <c r="H108" s="282"/>
      <c r="I108" s="282"/>
      <c r="J108" s="282"/>
      <c r="K108" s="282">
        <f t="shared" si="42"/>
        <v>720</v>
      </c>
      <c r="L108" s="278">
        <f t="shared" si="43"/>
        <v>1.9726027397260273</v>
      </c>
      <c r="M108" s="385">
        <v>38151.99</v>
      </c>
      <c r="N108" s="279">
        <f t="shared" si="44"/>
        <v>369592.01</v>
      </c>
      <c r="O108" s="290">
        <f t="shared" si="41"/>
        <v>18.027397260273972</v>
      </c>
      <c r="P108" s="278">
        <f t="shared" si="45"/>
        <v>349204.81</v>
      </c>
      <c r="Q108" s="279">
        <f t="shared" ref="Q108:Q119" si="48">P108/O108</f>
        <v>19370.783533434653</v>
      </c>
      <c r="R108" s="279">
        <f t="shared" si="46"/>
        <v>350221.22646656533</v>
      </c>
      <c r="S108" s="385">
        <v>-19367.84</v>
      </c>
      <c r="T108" s="232">
        <f t="shared" si="47"/>
        <v>-2.9435334346526361</v>
      </c>
      <c r="U108" s="127"/>
    </row>
    <row r="109" spans="1:21" ht="15">
      <c r="A109" s="392" t="s">
        <v>156</v>
      </c>
      <c r="B109" s="387">
        <v>43265</v>
      </c>
      <c r="C109" s="330">
        <v>24500</v>
      </c>
      <c r="D109" s="282"/>
      <c r="E109" s="282"/>
      <c r="F109" s="282"/>
      <c r="G109" s="278">
        <f t="shared" si="40"/>
        <v>1225</v>
      </c>
      <c r="H109" s="282"/>
      <c r="I109" s="282"/>
      <c r="J109" s="282"/>
      <c r="K109" s="282">
        <f t="shared" si="42"/>
        <v>656</v>
      </c>
      <c r="L109" s="278">
        <f t="shared" si="43"/>
        <v>1.7972602739726027</v>
      </c>
      <c r="M109" s="385">
        <v>2088.37</v>
      </c>
      <c r="N109" s="279">
        <f t="shared" si="44"/>
        <v>22411.63</v>
      </c>
      <c r="O109" s="290">
        <f t="shared" si="41"/>
        <v>18.202739726027396</v>
      </c>
      <c r="P109" s="278">
        <f t="shared" si="45"/>
        <v>21186.63</v>
      </c>
      <c r="Q109" s="279">
        <f t="shared" si="48"/>
        <v>1163.9253386514149</v>
      </c>
      <c r="R109" s="279">
        <f t="shared" si="46"/>
        <v>21247.704661348587</v>
      </c>
      <c r="S109" s="385">
        <v>-1163.75</v>
      </c>
      <c r="T109" s="232">
        <f t="shared" si="47"/>
        <v>-0.17533865141490423</v>
      </c>
      <c r="U109" s="393"/>
    </row>
    <row r="110" spans="1:21" ht="15">
      <c r="A110" s="392" t="s">
        <v>209</v>
      </c>
      <c r="B110" s="387">
        <v>43285</v>
      </c>
      <c r="C110" s="330">
        <v>105600</v>
      </c>
      <c r="D110" s="282"/>
      <c r="E110" s="282"/>
      <c r="F110" s="282"/>
      <c r="G110" s="278">
        <f t="shared" si="40"/>
        <v>5280</v>
      </c>
      <c r="H110" s="282"/>
      <c r="I110" s="282"/>
      <c r="J110" s="282"/>
      <c r="K110" s="282">
        <f t="shared" si="42"/>
        <v>636</v>
      </c>
      <c r="L110" s="278">
        <f t="shared" si="43"/>
        <v>1.7424657534246575</v>
      </c>
      <c r="M110" s="385">
        <v>8726.4699999999993</v>
      </c>
      <c r="N110" s="279">
        <f t="shared" si="44"/>
        <v>96873.53</v>
      </c>
      <c r="O110" s="290">
        <f t="shared" si="41"/>
        <v>18.257534246575343</v>
      </c>
      <c r="P110" s="278">
        <f t="shared" si="45"/>
        <v>91593.53</v>
      </c>
      <c r="Q110" s="279">
        <f t="shared" si="48"/>
        <v>5016.7524684873952</v>
      </c>
      <c r="R110" s="279">
        <f t="shared" si="46"/>
        <v>91856.777531512605</v>
      </c>
      <c r="S110" s="385">
        <v>-5016</v>
      </c>
      <c r="T110" s="232">
        <f t="shared" si="47"/>
        <v>-0.75246848739516281</v>
      </c>
      <c r="U110" s="393"/>
    </row>
    <row r="111" spans="1:21" ht="15">
      <c r="A111" s="392" t="s">
        <v>200</v>
      </c>
      <c r="B111" s="387">
        <v>43287</v>
      </c>
      <c r="C111" s="330">
        <v>2325000</v>
      </c>
      <c r="D111" s="282"/>
      <c r="E111" s="282"/>
      <c r="F111" s="282"/>
      <c r="G111" s="278">
        <f t="shared" ref="G111:G119" si="49">C111*5%</f>
        <v>116250</v>
      </c>
      <c r="H111" s="282"/>
      <c r="I111" s="282"/>
      <c r="J111" s="282"/>
      <c r="K111" s="282">
        <f t="shared" si="42"/>
        <v>634</v>
      </c>
      <c r="L111" s="278">
        <f t="shared" si="43"/>
        <v>1.736986301369863</v>
      </c>
      <c r="M111" s="385">
        <v>191525.86</v>
      </c>
      <c r="N111" s="279">
        <f t="shared" si="44"/>
        <v>2133474.14</v>
      </c>
      <c r="O111" s="290">
        <f t="shared" ref="O111:O119" si="50">$O$14-L111</f>
        <v>18.263013698630136</v>
      </c>
      <c r="P111" s="278">
        <f t="shared" si="45"/>
        <v>2017224.1400000001</v>
      </c>
      <c r="Q111" s="279">
        <f t="shared" si="48"/>
        <v>110454.06707170719</v>
      </c>
      <c r="R111" s="279">
        <f t="shared" si="46"/>
        <v>2023020.0729282929</v>
      </c>
      <c r="S111" s="385">
        <v>-110437.5</v>
      </c>
      <c r="T111" s="232">
        <f t="shared" si="47"/>
        <v>-16.567071707191644</v>
      </c>
      <c r="U111" s="393"/>
    </row>
    <row r="112" spans="1:21" ht="15">
      <c r="A112" s="392" t="s">
        <v>204</v>
      </c>
      <c r="B112" s="387">
        <v>43293</v>
      </c>
      <c r="C112" s="330">
        <v>115500</v>
      </c>
      <c r="D112" s="282"/>
      <c r="E112" s="282"/>
      <c r="F112" s="282"/>
      <c r="G112" s="278">
        <f t="shared" si="49"/>
        <v>5775</v>
      </c>
      <c r="H112" s="282"/>
      <c r="I112" s="282"/>
      <c r="J112" s="282"/>
      <c r="K112" s="282">
        <f t="shared" ref="K112:K119" si="51">$K$2-B112</f>
        <v>628</v>
      </c>
      <c r="L112" s="278">
        <f t="shared" ref="L112:L119" si="52">K112/365</f>
        <v>1.7205479452054795</v>
      </c>
      <c r="M112" s="385">
        <v>9424.33</v>
      </c>
      <c r="N112" s="279">
        <f t="shared" ref="N112:N119" si="53">C112-M112</f>
        <v>106075.67</v>
      </c>
      <c r="O112" s="290">
        <f t="shared" si="50"/>
        <v>18.279452054794522</v>
      </c>
      <c r="P112" s="278">
        <f t="shared" ref="P112:P119" si="54">N112-G112</f>
        <v>100300.67</v>
      </c>
      <c r="Q112" s="279">
        <f t="shared" si="48"/>
        <v>5487.0720248800953</v>
      </c>
      <c r="R112" s="279">
        <f t="shared" ref="R112:R119" si="55">N112-Q112</f>
        <v>100588.5979751199</v>
      </c>
      <c r="S112" s="385">
        <v>-5486.25</v>
      </c>
      <c r="T112" s="232">
        <f t="shared" ref="T112:T119" si="56">-(Q112+S112)</f>
        <v>-0.82202488009534136</v>
      </c>
      <c r="U112" s="393"/>
    </row>
    <row r="113" spans="1:21" ht="15">
      <c r="A113" s="392" t="s">
        <v>203</v>
      </c>
      <c r="B113" s="387">
        <v>43294</v>
      </c>
      <c r="C113" s="330">
        <v>109650.74</v>
      </c>
      <c r="D113" s="282"/>
      <c r="E113" s="282"/>
      <c r="F113" s="282"/>
      <c r="G113" s="278">
        <f t="shared" si="49"/>
        <v>5482.5370000000003</v>
      </c>
      <c r="H113" s="282"/>
      <c r="I113" s="282"/>
      <c r="J113" s="282"/>
      <c r="K113" s="282">
        <f t="shared" si="51"/>
        <v>627</v>
      </c>
      <c r="L113" s="278">
        <f t="shared" si="52"/>
        <v>1.7178082191780821</v>
      </c>
      <c r="M113" s="385">
        <v>8932.7800000000007</v>
      </c>
      <c r="N113" s="279">
        <f t="shared" si="53"/>
        <v>100717.96</v>
      </c>
      <c r="O113" s="290">
        <f t="shared" si="50"/>
        <v>18.282191780821918</v>
      </c>
      <c r="P113" s="278">
        <f t="shared" si="54"/>
        <v>95235.42300000001</v>
      </c>
      <c r="Q113" s="279">
        <f t="shared" si="48"/>
        <v>5209.1906781057996</v>
      </c>
      <c r="R113" s="279">
        <f t="shared" si="55"/>
        <v>95508.7693218942</v>
      </c>
      <c r="S113" s="385">
        <v>-5208.41</v>
      </c>
      <c r="T113" s="232">
        <f t="shared" si="56"/>
        <v>-0.78067810579977959</v>
      </c>
      <c r="U113" s="393"/>
    </row>
    <row r="114" spans="1:21" ht="15">
      <c r="A114" s="392" t="s">
        <v>201</v>
      </c>
      <c r="B114" s="387">
        <v>43294</v>
      </c>
      <c r="C114" s="330">
        <v>420000</v>
      </c>
      <c r="D114" s="282"/>
      <c r="E114" s="282"/>
      <c r="F114" s="282"/>
      <c r="G114" s="278">
        <f t="shared" si="49"/>
        <v>21000</v>
      </c>
      <c r="H114" s="282"/>
      <c r="I114" s="282"/>
      <c r="J114" s="282"/>
      <c r="K114" s="282">
        <f t="shared" si="51"/>
        <v>627</v>
      </c>
      <c r="L114" s="278">
        <f t="shared" si="52"/>
        <v>1.7178082191780821</v>
      </c>
      <c r="M114" s="385">
        <v>34215.620000000003</v>
      </c>
      <c r="N114" s="279">
        <f t="shared" si="53"/>
        <v>385784.38</v>
      </c>
      <c r="O114" s="290">
        <f t="shared" si="50"/>
        <v>18.282191780821918</v>
      </c>
      <c r="P114" s="278">
        <f t="shared" si="54"/>
        <v>364784.38</v>
      </c>
      <c r="Q114" s="279">
        <f t="shared" si="48"/>
        <v>19952.989465008242</v>
      </c>
      <c r="R114" s="279">
        <f t="shared" si="55"/>
        <v>365831.39053499175</v>
      </c>
      <c r="S114" s="385">
        <v>-19950</v>
      </c>
      <c r="T114" s="232">
        <f t="shared" si="56"/>
        <v>-2.989465008242405</v>
      </c>
      <c r="U114" s="393"/>
    </row>
    <row r="115" spans="1:21" ht="15">
      <c r="A115" s="392" t="s">
        <v>205</v>
      </c>
      <c r="B115" s="387">
        <v>43308</v>
      </c>
      <c r="C115" s="330">
        <v>1900000</v>
      </c>
      <c r="D115" s="282"/>
      <c r="E115" s="282"/>
      <c r="F115" s="282"/>
      <c r="G115" s="278">
        <f t="shared" si="49"/>
        <v>95000</v>
      </c>
      <c r="H115" s="282"/>
      <c r="I115" s="282"/>
      <c r="J115" s="282"/>
      <c r="K115" s="282">
        <f t="shared" si="51"/>
        <v>613</v>
      </c>
      <c r="L115" s="278">
        <f t="shared" si="52"/>
        <v>1.6794520547945206</v>
      </c>
      <c r="M115" s="385">
        <v>151323.29</v>
      </c>
      <c r="N115" s="279">
        <f t="shared" si="53"/>
        <v>1748676.71</v>
      </c>
      <c r="O115" s="290">
        <f t="shared" si="50"/>
        <v>18.32054794520548</v>
      </c>
      <c r="P115" s="278">
        <f t="shared" si="54"/>
        <v>1653676.71</v>
      </c>
      <c r="Q115" s="279">
        <f t="shared" si="48"/>
        <v>90263.496209062359</v>
      </c>
      <c r="R115" s="279">
        <f t="shared" si="55"/>
        <v>1658413.2137909376</v>
      </c>
      <c r="S115" s="385">
        <v>-90250</v>
      </c>
      <c r="T115" s="232">
        <f t="shared" si="56"/>
        <v>-13.496209062359412</v>
      </c>
      <c r="U115" s="393"/>
    </row>
    <row r="116" spans="1:21" ht="15">
      <c r="A116" s="392" t="s">
        <v>206</v>
      </c>
      <c r="B116" s="387">
        <v>43308</v>
      </c>
      <c r="C116" s="330">
        <v>212500</v>
      </c>
      <c r="D116" s="282"/>
      <c r="E116" s="282"/>
      <c r="F116" s="282"/>
      <c r="G116" s="278">
        <f t="shared" si="49"/>
        <v>10625</v>
      </c>
      <c r="H116" s="282"/>
      <c r="I116" s="282"/>
      <c r="J116" s="282"/>
      <c r="K116" s="282">
        <f t="shared" si="51"/>
        <v>613</v>
      </c>
      <c r="L116" s="278">
        <f t="shared" si="52"/>
        <v>1.6794520547945206</v>
      </c>
      <c r="M116" s="385">
        <v>16924.32</v>
      </c>
      <c r="N116" s="279">
        <f t="shared" si="53"/>
        <v>195575.67999999999</v>
      </c>
      <c r="O116" s="290">
        <f t="shared" si="50"/>
        <v>18.32054794520548</v>
      </c>
      <c r="P116" s="278">
        <f t="shared" si="54"/>
        <v>184950.68</v>
      </c>
      <c r="Q116" s="279">
        <f t="shared" si="48"/>
        <v>10095.25918947211</v>
      </c>
      <c r="R116" s="279">
        <f t="shared" si="55"/>
        <v>185480.4208105279</v>
      </c>
      <c r="S116" s="385">
        <v>-10093.75</v>
      </c>
      <c r="T116" s="232">
        <f t="shared" si="56"/>
        <v>-1.5091894721099379</v>
      </c>
      <c r="U116" s="393"/>
    </row>
    <row r="117" spans="1:21" ht="15">
      <c r="A117" s="392" t="s">
        <v>202</v>
      </c>
      <c r="B117" s="387">
        <v>43308</v>
      </c>
      <c r="C117" s="330">
        <v>178500</v>
      </c>
      <c r="D117" s="282"/>
      <c r="E117" s="282"/>
      <c r="F117" s="282"/>
      <c r="G117" s="278">
        <f t="shared" si="49"/>
        <v>8925</v>
      </c>
      <c r="H117" s="282"/>
      <c r="I117" s="282"/>
      <c r="J117" s="282"/>
      <c r="K117" s="282">
        <f t="shared" si="51"/>
        <v>613</v>
      </c>
      <c r="L117" s="278">
        <f t="shared" si="52"/>
        <v>1.6794520547945206</v>
      </c>
      <c r="M117" s="385">
        <v>14216.42</v>
      </c>
      <c r="N117" s="279">
        <f t="shared" si="53"/>
        <v>164283.57999999999</v>
      </c>
      <c r="O117" s="290">
        <f t="shared" si="50"/>
        <v>18.32054794520548</v>
      </c>
      <c r="P117" s="278">
        <f t="shared" si="54"/>
        <v>155358.57999999999</v>
      </c>
      <c r="Q117" s="279">
        <f t="shared" si="48"/>
        <v>8480.0181994915492</v>
      </c>
      <c r="R117" s="279">
        <f t="shared" si="55"/>
        <v>155803.56180050844</v>
      </c>
      <c r="S117" s="385">
        <v>-8478.75</v>
      </c>
      <c r="T117" s="232">
        <f t="shared" si="56"/>
        <v>-1.2681994915492396</v>
      </c>
      <c r="U117" s="393"/>
    </row>
    <row r="118" spans="1:21" ht="15">
      <c r="A118" s="392" t="s">
        <v>207</v>
      </c>
      <c r="B118" s="387">
        <v>43406</v>
      </c>
      <c r="C118" s="330">
        <v>198000</v>
      </c>
      <c r="D118" s="282"/>
      <c r="E118" s="282"/>
      <c r="F118" s="282"/>
      <c r="G118" s="278">
        <f t="shared" si="49"/>
        <v>9900</v>
      </c>
      <c r="H118" s="282"/>
      <c r="I118" s="282"/>
      <c r="J118" s="282"/>
      <c r="K118" s="282">
        <f t="shared" si="51"/>
        <v>515</v>
      </c>
      <c r="L118" s="278">
        <f t="shared" si="52"/>
        <v>1.4109589041095891</v>
      </c>
      <c r="M118" s="385">
        <v>13244.3</v>
      </c>
      <c r="N118" s="279">
        <f t="shared" si="53"/>
        <v>184755.7</v>
      </c>
      <c r="O118" s="290">
        <f t="shared" si="50"/>
        <v>18.589041095890412</v>
      </c>
      <c r="P118" s="278">
        <f t="shared" si="54"/>
        <v>174855.7</v>
      </c>
      <c r="Q118" s="279">
        <f t="shared" si="48"/>
        <v>9406.3862196020636</v>
      </c>
      <c r="R118" s="279">
        <f t="shared" si="55"/>
        <v>175349.31378039793</v>
      </c>
      <c r="S118" s="385">
        <v>-9405</v>
      </c>
      <c r="T118" s="232">
        <f t="shared" si="56"/>
        <v>-1.3862196020636475</v>
      </c>
      <c r="U118" s="393"/>
    </row>
    <row r="119" spans="1:21" ht="15">
      <c r="A119" s="392" t="s">
        <v>208</v>
      </c>
      <c r="B119" s="387">
        <v>43406</v>
      </c>
      <c r="C119" s="330">
        <v>27870</v>
      </c>
      <c r="D119" s="282"/>
      <c r="E119" s="282"/>
      <c r="F119" s="282"/>
      <c r="G119" s="278">
        <f t="shared" si="49"/>
        <v>1393.5</v>
      </c>
      <c r="H119" s="282"/>
      <c r="I119" s="282"/>
      <c r="J119" s="282"/>
      <c r="K119" s="282">
        <f t="shared" si="51"/>
        <v>515</v>
      </c>
      <c r="L119" s="278">
        <f t="shared" si="52"/>
        <v>1.4109589041095891</v>
      </c>
      <c r="M119" s="385">
        <v>1864.24</v>
      </c>
      <c r="N119" s="279">
        <f t="shared" si="53"/>
        <v>26005.759999999998</v>
      </c>
      <c r="O119" s="290">
        <f t="shared" si="50"/>
        <v>18.589041095890412</v>
      </c>
      <c r="P119" s="278">
        <f t="shared" si="54"/>
        <v>24612.26</v>
      </c>
      <c r="Q119" s="279">
        <f t="shared" si="48"/>
        <v>1324.0198820928517</v>
      </c>
      <c r="R119" s="279">
        <f t="shared" si="55"/>
        <v>24681.740117907146</v>
      </c>
      <c r="S119" s="385">
        <v>-1323.83</v>
      </c>
      <c r="T119" s="232">
        <f t="shared" si="56"/>
        <v>-0.18988209285180346</v>
      </c>
      <c r="U119" s="393"/>
    </row>
    <row r="120" spans="1:21" ht="15">
      <c r="A120" s="394" t="s">
        <v>100</v>
      </c>
      <c r="B120" s="395">
        <v>42494</v>
      </c>
      <c r="C120" s="328">
        <v>227094</v>
      </c>
      <c r="D120" s="319"/>
      <c r="E120" s="319"/>
      <c r="F120" s="319"/>
      <c r="G120" s="112">
        <f t="shared" ref="G120:G167" si="57">C120*5%</f>
        <v>11354.7</v>
      </c>
      <c r="H120" s="319"/>
      <c r="I120" s="319"/>
      <c r="J120" s="319"/>
      <c r="K120" s="319">
        <f t="shared" ref="K120:K165" si="58">$K$2-B120</f>
        <v>1427</v>
      </c>
      <c r="L120" s="112">
        <f t="shared" ref="L120:L165" si="59">K120/365</f>
        <v>3.9095890410958902</v>
      </c>
      <c r="M120" s="323">
        <v>42495.238110851795</v>
      </c>
      <c r="N120" s="206">
        <f t="shared" ref="N120:N165" si="60">C120-M120</f>
        <v>184598.76188914821</v>
      </c>
      <c r="O120" s="318">
        <f t="shared" ref="O120:O167" si="61">$O$14-L120</f>
        <v>16.090410958904108</v>
      </c>
      <c r="P120" s="112">
        <f t="shared" ref="P120:P165" si="62">N120-G120</f>
        <v>173244.0618891482</v>
      </c>
      <c r="Q120" s="206">
        <f t="shared" ref="Q120:Q165" si="63">P120/O120</f>
        <v>10766.913432579448</v>
      </c>
      <c r="R120" s="206">
        <f t="shared" ref="R120:R165" si="64">N120-Q120</f>
        <v>173831.84845656875</v>
      </c>
      <c r="S120" s="681">
        <f>+[1]Sheet1!$I$152+[1]Sheet1!$I$153+[1]Sheet1!$I$154+[1]Sheet1!$I$162+[1]Sheet1!$I$163</f>
        <v>-717767.61</v>
      </c>
      <c r="T120" s="682">
        <f>-(S120+SUM(Q120:Q232))</f>
        <v>24747.597800529678</v>
      </c>
    </row>
    <row r="121" spans="1:21" ht="15">
      <c r="A121" s="394" t="s">
        <v>100</v>
      </c>
      <c r="B121" s="395">
        <v>42497</v>
      </c>
      <c r="C121" s="328">
        <v>22393</v>
      </c>
      <c r="D121" s="319"/>
      <c r="E121" s="319"/>
      <c r="F121" s="319"/>
      <c r="G121" s="112">
        <f t="shared" si="57"/>
        <v>1119.6500000000001</v>
      </c>
      <c r="H121" s="319"/>
      <c r="I121" s="319"/>
      <c r="J121" s="319"/>
      <c r="K121" s="319">
        <f t="shared" si="58"/>
        <v>1424</v>
      </c>
      <c r="L121" s="112">
        <f t="shared" si="59"/>
        <v>3.9013698630136986</v>
      </c>
      <c r="M121" s="323">
        <v>4181.5015463942655</v>
      </c>
      <c r="N121" s="206">
        <f t="shared" si="60"/>
        <v>18211.498453605735</v>
      </c>
      <c r="O121" s="318">
        <f t="shared" si="61"/>
        <v>16.098630136986301</v>
      </c>
      <c r="P121" s="112">
        <f t="shared" si="62"/>
        <v>17091.848453605733</v>
      </c>
      <c r="Q121" s="206">
        <f t="shared" si="63"/>
        <v>1061.6958280405195</v>
      </c>
      <c r="R121" s="206">
        <f t="shared" si="64"/>
        <v>17149.802625565215</v>
      </c>
      <c r="S121" s="681"/>
      <c r="T121" s="682"/>
    </row>
    <row r="122" spans="1:21" ht="15">
      <c r="A122" s="394" t="s">
        <v>100</v>
      </c>
      <c r="B122" s="395">
        <v>42497</v>
      </c>
      <c r="C122" s="328">
        <v>162066</v>
      </c>
      <c r="D122" s="319"/>
      <c r="E122" s="319"/>
      <c r="F122" s="319"/>
      <c r="G122" s="112">
        <f t="shared" si="57"/>
        <v>8103.3</v>
      </c>
      <c r="H122" s="319"/>
      <c r="I122" s="319"/>
      <c r="J122" s="319"/>
      <c r="K122" s="319">
        <f t="shared" si="58"/>
        <v>1424</v>
      </c>
      <c r="L122" s="112">
        <f t="shared" si="59"/>
        <v>3.9013698630136986</v>
      </c>
      <c r="M122" s="323">
        <v>30262.994222209305</v>
      </c>
      <c r="N122" s="206">
        <f t="shared" si="60"/>
        <v>131803.00577779071</v>
      </c>
      <c r="O122" s="318">
        <f t="shared" si="61"/>
        <v>16.098630136986301</v>
      </c>
      <c r="P122" s="112">
        <f t="shared" si="62"/>
        <v>123699.7057777907</v>
      </c>
      <c r="Q122" s="206">
        <f t="shared" si="63"/>
        <v>7683.8653180554129</v>
      </c>
      <c r="R122" s="206">
        <f t="shared" si="64"/>
        <v>124119.1404597353</v>
      </c>
      <c r="S122" s="681"/>
      <c r="T122" s="682"/>
    </row>
    <row r="123" spans="1:21" ht="15">
      <c r="A123" s="394" t="s">
        <v>100</v>
      </c>
      <c r="B123" s="395">
        <v>42497</v>
      </c>
      <c r="C123" s="328">
        <v>266873</v>
      </c>
      <c r="D123" s="319"/>
      <c r="E123" s="319"/>
      <c r="F123" s="319"/>
      <c r="G123" s="112">
        <f t="shared" si="57"/>
        <v>13343.650000000001</v>
      </c>
      <c r="H123" s="319"/>
      <c r="I123" s="319"/>
      <c r="J123" s="319"/>
      <c r="K123" s="319">
        <f t="shared" si="58"/>
        <v>1424</v>
      </c>
      <c r="L123" s="112">
        <f t="shared" si="59"/>
        <v>3.9013698630136986</v>
      </c>
      <c r="M123" s="323">
        <v>49833.87050376799</v>
      </c>
      <c r="N123" s="206">
        <f t="shared" si="60"/>
        <v>217039.12949623202</v>
      </c>
      <c r="O123" s="318">
        <f t="shared" si="61"/>
        <v>16.098630136986301</v>
      </c>
      <c r="P123" s="112">
        <f t="shared" si="62"/>
        <v>203695.47949623203</v>
      </c>
      <c r="Q123" s="206">
        <f t="shared" si="63"/>
        <v>12652.969710028028</v>
      </c>
      <c r="R123" s="206">
        <f t="shared" si="64"/>
        <v>204386.15978620399</v>
      </c>
      <c r="S123" s="681"/>
      <c r="T123" s="682"/>
    </row>
    <row r="124" spans="1:21" ht="15">
      <c r="A124" s="394" t="s">
        <v>100</v>
      </c>
      <c r="B124" s="395">
        <v>42497</v>
      </c>
      <c r="C124" s="328">
        <v>174234</v>
      </c>
      <c r="D124" s="319"/>
      <c r="E124" s="319"/>
      <c r="F124" s="319"/>
      <c r="G124" s="112">
        <f t="shared" si="57"/>
        <v>8711.7000000000007</v>
      </c>
      <c r="H124" s="319"/>
      <c r="I124" s="319"/>
      <c r="J124" s="319"/>
      <c r="K124" s="319">
        <f t="shared" si="58"/>
        <v>1424</v>
      </c>
      <c r="L124" s="112">
        <f t="shared" si="59"/>
        <v>3.9013698630136986</v>
      </c>
      <c r="M124" s="323">
        <v>32535.155648392723</v>
      </c>
      <c r="N124" s="206">
        <f t="shared" si="60"/>
        <v>141698.84435160729</v>
      </c>
      <c r="O124" s="318">
        <f t="shared" si="61"/>
        <v>16.098630136986301</v>
      </c>
      <c r="P124" s="112">
        <f t="shared" si="62"/>
        <v>132987.14435160728</v>
      </c>
      <c r="Q124" s="206">
        <f t="shared" si="63"/>
        <v>8260.7739428755376</v>
      </c>
      <c r="R124" s="206">
        <f t="shared" si="64"/>
        <v>133438.07040873176</v>
      </c>
      <c r="S124" s="681"/>
      <c r="T124" s="682"/>
    </row>
    <row r="125" spans="1:21" ht="15">
      <c r="A125" s="394" t="s">
        <v>100</v>
      </c>
      <c r="B125" s="395">
        <v>42506</v>
      </c>
      <c r="C125" s="328">
        <v>35243.21</v>
      </c>
      <c r="D125" s="319"/>
      <c r="E125" s="319"/>
      <c r="F125" s="319"/>
      <c r="G125" s="112">
        <f t="shared" si="57"/>
        <v>1762.1605</v>
      </c>
      <c r="H125" s="319"/>
      <c r="I125" s="319"/>
      <c r="J125" s="319"/>
      <c r="K125" s="319">
        <f t="shared" si="58"/>
        <v>1415</v>
      </c>
      <c r="L125" s="112">
        <f t="shared" si="59"/>
        <v>3.8767123287671232</v>
      </c>
      <c r="M125" s="323">
        <v>6539.4308035933918</v>
      </c>
      <c r="N125" s="206">
        <f t="shared" si="60"/>
        <v>28703.779196406605</v>
      </c>
      <c r="O125" s="318">
        <f t="shared" si="61"/>
        <v>16.123287671232877</v>
      </c>
      <c r="P125" s="112">
        <f t="shared" si="62"/>
        <v>26941.618696406607</v>
      </c>
      <c r="Q125" s="206">
        <f t="shared" si="63"/>
        <v>1670.9755011365185</v>
      </c>
      <c r="R125" s="206">
        <f t="shared" si="64"/>
        <v>27032.803695270086</v>
      </c>
      <c r="S125" s="681"/>
      <c r="T125" s="682"/>
    </row>
    <row r="126" spans="1:21" ht="15">
      <c r="A126" s="394" t="s">
        <v>100</v>
      </c>
      <c r="B126" s="395">
        <v>42510</v>
      </c>
      <c r="C126" s="328">
        <v>29089.81</v>
      </c>
      <c r="D126" s="319"/>
      <c r="E126" s="319"/>
      <c r="F126" s="319"/>
      <c r="G126" s="112">
        <f t="shared" si="57"/>
        <v>1454.4905000000001</v>
      </c>
      <c r="H126" s="319"/>
      <c r="I126" s="319"/>
      <c r="J126" s="319"/>
      <c r="K126" s="319">
        <f t="shared" si="58"/>
        <v>1411</v>
      </c>
      <c r="L126" s="112">
        <f t="shared" si="59"/>
        <v>3.8657534246575342</v>
      </c>
      <c r="M126" s="323">
        <v>5382.3889585147826</v>
      </c>
      <c r="N126" s="206">
        <f t="shared" si="60"/>
        <v>23707.42104148522</v>
      </c>
      <c r="O126" s="318">
        <f t="shared" si="61"/>
        <v>16.134246575342466</v>
      </c>
      <c r="P126" s="112">
        <f t="shared" si="62"/>
        <v>22252.930541485221</v>
      </c>
      <c r="Q126" s="206">
        <f t="shared" si="63"/>
        <v>1379.2358036410435</v>
      </c>
      <c r="R126" s="206">
        <f t="shared" si="64"/>
        <v>22328.185237844176</v>
      </c>
      <c r="S126" s="681"/>
      <c r="T126" s="682"/>
    </row>
    <row r="127" spans="1:21" ht="15">
      <c r="A127" s="394" t="s">
        <v>100</v>
      </c>
      <c r="B127" s="395">
        <v>42514</v>
      </c>
      <c r="C127" s="328">
        <v>24294</v>
      </c>
      <c r="D127" s="319"/>
      <c r="E127" s="319"/>
      <c r="F127" s="319"/>
      <c r="G127" s="112">
        <f t="shared" si="57"/>
        <v>1214.7</v>
      </c>
      <c r="H127" s="319"/>
      <c r="I127" s="319"/>
      <c r="J127" s="319"/>
      <c r="K127" s="319">
        <f t="shared" si="58"/>
        <v>1407</v>
      </c>
      <c r="L127" s="112">
        <f t="shared" si="59"/>
        <v>3.8547945205479452</v>
      </c>
      <c r="M127" s="323">
        <v>4482.2846107243004</v>
      </c>
      <c r="N127" s="206">
        <f t="shared" si="60"/>
        <v>19811.715389275698</v>
      </c>
      <c r="O127" s="318">
        <f t="shared" si="61"/>
        <v>16.145205479452056</v>
      </c>
      <c r="P127" s="112">
        <f t="shared" si="62"/>
        <v>18597.015389275697</v>
      </c>
      <c r="Q127" s="206">
        <f t="shared" si="63"/>
        <v>1151.8599384160239</v>
      </c>
      <c r="R127" s="206">
        <f t="shared" si="64"/>
        <v>18659.855450859675</v>
      </c>
      <c r="S127" s="681"/>
      <c r="T127" s="682"/>
    </row>
    <row r="128" spans="1:21" ht="15">
      <c r="A128" s="394" t="s">
        <v>100</v>
      </c>
      <c r="B128" s="395">
        <v>42516</v>
      </c>
      <c r="C128" s="328">
        <v>204040</v>
      </c>
      <c r="D128" s="319"/>
      <c r="E128" s="319"/>
      <c r="F128" s="319"/>
      <c r="G128" s="112">
        <f t="shared" si="57"/>
        <v>10202</v>
      </c>
      <c r="H128" s="319"/>
      <c r="I128" s="319"/>
      <c r="J128" s="319"/>
      <c r="K128" s="319">
        <f t="shared" si="58"/>
        <v>1405</v>
      </c>
      <c r="L128" s="112">
        <f t="shared" si="59"/>
        <v>3.8493150684931505</v>
      </c>
      <c r="M128" s="323">
        <v>37592.179366327844</v>
      </c>
      <c r="N128" s="206">
        <f t="shared" si="60"/>
        <v>166447.82063367215</v>
      </c>
      <c r="O128" s="318">
        <f t="shared" si="61"/>
        <v>16.150684931506849</v>
      </c>
      <c r="P128" s="112">
        <f t="shared" si="62"/>
        <v>156245.82063367215</v>
      </c>
      <c r="Q128" s="206">
        <f t="shared" si="63"/>
        <v>9674.2535252400903</v>
      </c>
      <c r="R128" s="206">
        <f t="shared" si="64"/>
        <v>156773.56710843206</v>
      </c>
      <c r="S128" s="681"/>
      <c r="T128" s="682"/>
    </row>
    <row r="129" spans="1:20" ht="15">
      <c r="A129" s="394" t="s">
        <v>100</v>
      </c>
      <c r="B129" s="395">
        <v>42517</v>
      </c>
      <c r="C129" s="328">
        <v>35276</v>
      </c>
      <c r="D129" s="319"/>
      <c r="E129" s="319"/>
      <c r="F129" s="319"/>
      <c r="G129" s="112">
        <f t="shared" si="57"/>
        <v>1763.8000000000002</v>
      </c>
      <c r="H129" s="319"/>
      <c r="I129" s="319"/>
      <c r="J129" s="319"/>
      <c r="K129" s="319">
        <f t="shared" si="58"/>
        <v>1404</v>
      </c>
      <c r="L129" s="112">
        <f t="shared" si="59"/>
        <v>3.8465753424657536</v>
      </c>
      <c r="M129" s="323">
        <v>6494.595189337746</v>
      </c>
      <c r="N129" s="206">
        <f t="shared" si="60"/>
        <v>28781.404810662254</v>
      </c>
      <c r="O129" s="318">
        <f t="shared" si="61"/>
        <v>16.153424657534245</v>
      </c>
      <c r="P129" s="112">
        <f t="shared" si="62"/>
        <v>27017.604810662255</v>
      </c>
      <c r="Q129" s="206">
        <f t="shared" si="63"/>
        <v>1672.5620345813643</v>
      </c>
      <c r="R129" s="206">
        <f t="shared" si="64"/>
        <v>27108.842776080888</v>
      </c>
      <c r="S129" s="681"/>
      <c r="T129" s="682"/>
    </row>
    <row r="130" spans="1:20" ht="15">
      <c r="A130" s="394" t="s">
        <v>100</v>
      </c>
      <c r="B130" s="395">
        <v>42522</v>
      </c>
      <c r="C130" s="328">
        <v>177255.52</v>
      </c>
      <c r="D130" s="319"/>
      <c r="E130" s="319"/>
      <c r="F130" s="319"/>
      <c r="G130" s="112">
        <f t="shared" si="57"/>
        <v>8862.7759999999998</v>
      </c>
      <c r="H130" s="319"/>
      <c r="I130" s="319"/>
      <c r="J130" s="319"/>
      <c r="K130" s="319">
        <f t="shared" si="58"/>
        <v>1399</v>
      </c>
      <c r="L130" s="112">
        <f t="shared" si="59"/>
        <v>3.8328767123287673</v>
      </c>
      <c r="M130" s="323">
        <v>32517.864840734856</v>
      </c>
      <c r="N130" s="206">
        <f t="shared" si="60"/>
        <v>144737.65515926512</v>
      </c>
      <c r="O130" s="318">
        <f t="shared" si="61"/>
        <v>16.167123287671231</v>
      </c>
      <c r="P130" s="112">
        <f t="shared" si="62"/>
        <v>135874.87915926511</v>
      </c>
      <c r="Q130" s="206">
        <f t="shared" si="63"/>
        <v>8404.3943218321929</v>
      </c>
      <c r="R130" s="206">
        <f t="shared" si="64"/>
        <v>136333.26083743293</v>
      </c>
      <c r="S130" s="681"/>
      <c r="T130" s="682"/>
    </row>
    <row r="131" spans="1:20" ht="15">
      <c r="A131" s="394" t="s">
        <v>100</v>
      </c>
      <c r="B131" s="395">
        <v>42522</v>
      </c>
      <c r="C131" s="328">
        <v>43880.41</v>
      </c>
      <c r="D131" s="319"/>
      <c r="E131" s="319"/>
      <c r="F131" s="319"/>
      <c r="G131" s="112">
        <f t="shared" si="57"/>
        <v>2194.0205000000001</v>
      </c>
      <c r="H131" s="319"/>
      <c r="I131" s="319"/>
      <c r="J131" s="319"/>
      <c r="K131" s="319">
        <f t="shared" si="58"/>
        <v>1399</v>
      </c>
      <c r="L131" s="112">
        <f t="shared" si="59"/>
        <v>3.8328767123287673</v>
      </c>
      <c r="M131" s="323">
        <v>8049.9453079714003</v>
      </c>
      <c r="N131" s="206">
        <f t="shared" si="60"/>
        <v>35830.464692028603</v>
      </c>
      <c r="O131" s="318">
        <f t="shared" si="61"/>
        <v>16.167123287671231</v>
      </c>
      <c r="P131" s="112">
        <f t="shared" si="62"/>
        <v>33636.444192028604</v>
      </c>
      <c r="Q131" s="206">
        <f t="shared" si="63"/>
        <v>2080.5460311964821</v>
      </c>
      <c r="R131" s="206">
        <f t="shared" si="64"/>
        <v>33749.918660832118</v>
      </c>
      <c r="S131" s="681"/>
      <c r="T131" s="682"/>
    </row>
    <row r="132" spans="1:20" ht="15">
      <c r="A132" s="394" t="s">
        <v>100</v>
      </c>
      <c r="B132" s="395">
        <v>42532</v>
      </c>
      <c r="C132" s="328">
        <v>163268</v>
      </c>
      <c r="D132" s="319"/>
      <c r="E132" s="319"/>
      <c r="F132" s="319"/>
      <c r="G132" s="112">
        <f t="shared" si="57"/>
        <v>8163.4000000000005</v>
      </c>
      <c r="H132" s="319"/>
      <c r="I132" s="319"/>
      <c r="J132" s="319"/>
      <c r="K132" s="319">
        <f t="shared" si="58"/>
        <v>1389</v>
      </c>
      <c r="L132" s="112">
        <f t="shared" si="59"/>
        <v>3.8054794520547945</v>
      </c>
      <c r="M132" s="323">
        <v>29737.579797649028</v>
      </c>
      <c r="N132" s="206">
        <f t="shared" si="60"/>
        <v>133530.42020235097</v>
      </c>
      <c r="O132" s="318">
        <f t="shared" si="61"/>
        <v>16.194520547945206</v>
      </c>
      <c r="P132" s="112">
        <f t="shared" si="62"/>
        <v>125367.02020235098</v>
      </c>
      <c r="Q132" s="206">
        <f t="shared" si="63"/>
        <v>7741.3233587985287</v>
      </c>
      <c r="R132" s="206">
        <f t="shared" si="64"/>
        <v>125789.09684355244</v>
      </c>
      <c r="S132" s="681"/>
      <c r="T132" s="682"/>
    </row>
    <row r="133" spans="1:20" ht="15">
      <c r="A133" s="394" t="s">
        <v>100</v>
      </c>
      <c r="B133" s="395">
        <v>42532</v>
      </c>
      <c r="C133" s="328">
        <v>47035</v>
      </c>
      <c r="D133" s="319"/>
      <c r="E133" s="319"/>
      <c r="F133" s="319"/>
      <c r="G133" s="112">
        <f t="shared" si="57"/>
        <v>2351.75</v>
      </c>
      <c r="H133" s="319"/>
      <c r="I133" s="319"/>
      <c r="J133" s="319"/>
      <c r="K133" s="319">
        <f t="shared" si="58"/>
        <v>1389</v>
      </c>
      <c r="L133" s="112">
        <f t="shared" si="59"/>
        <v>3.8054794520547945</v>
      </c>
      <c r="M133" s="323">
        <v>8566.9394234168485</v>
      </c>
      <c r="N133" s="206">
        <f t="shared" si="60"/>
        <v>38468.06057658315</v>
      </c>
      <c r="O133" s="318">
        <f t="shared" si="61"/>
        <v>16.194520547945206</v>
      </c>
      <c r="P133" s="112">
        <f t="shared" si="62"/>
        <v>36116.31057658315</v>
      </c>
      <c r="Q133" s="206">
        <f t="shared" si="63"/>
        <v>2230.1562105316948</v>
      </c>
      <c r="R133" s="206">
        <f t="shared" si="64"/>
        <v>36237.904366051458</v>
      </c>
      <c r="S133" s="681"/>
      <c r="T133" s="682"/>
    </row>
    <row r="134" spans="1:20" ht="15">
      <c r="A134" s="394" t="s">
        <v>100</v>
      </c>
      <c r="B134" s="395">
        <v>42532</v>
      </c>
      <c r="C134" s="328">
        <v>27608</v>
      </c>
      <c r="D134" s="319"/>
      <c r="E134" s="319"/>
      <c r="F134" s="319"/>
      <c r="G134" s="112">
        <f t="shared" si="57"/>
        <v>1380.4</v>
      </c>
      <c r="H134" s="319"/>
      <c r="I134" s="319"/>
      <c r="J134" s="319"/>
      <c r="K134" s="319">
        <f t="shared" si="58"/>
        <v>1389</v>
      </c>
      <c r="L134" s="112">
        <f t="shared" si="59"/>
        <v>3.8054794520547945</v>
      </c>
      <c r="M134" s="323">
        <v>5028.5120357540636</v>
      </c>
      <c r="N134" s="206">
        <f t="shared" si="60"/>
        <v>22579.487964245935</v>
      </c>
      <c r="O134" s="318">
        <f t="shared" si="61"/>
        <v>16.194520547945206</v>
      </c>
      <c r="P134" s="112">
        <f t="shared" si="62"/>
        <v>21199.087964245933</v>
      </c>
      <c r="Q134" s="206">
        <f t="shared" si="63"/>
        <v>1309.0284396802174</v>
      </c>
      <c r="R134" s="206">
        <f t="shared" si="64"/>
        <v>21270.459524565718</v>
      </c>
      <c r="S134" s="681"/>
      <c r="T134" s="682"/>
    </row>
    <row r="135" spans="1:20" ht="15">
      <c r="A135" s="394" t="s">
        <v>100</v>
      </c>
      <c r="B135" s="395">
        <v>42532</v>
      </c>
      <c r="C135" s="328">
        <v>53988</v>
      </c>
      <c r="D135" s="319"/>
      <c r="E135" s="319"/>
      <c r="F135" s="319"/>
      <c r="G135" s="112">
        <f t="shared" si="57"/>
        <v>2699.4</v>
      </c>
      <c r="H135" s="319"/>
      <c r="I135" s="319"/>
      <c r="J135" s="319"/>
      <c r="K135" s="319">
        <f t="shared" si="58"/>
        <v>1389</v>
      </c>
      <c r="L135" s="112">
        <f t="shared" si="59"/>
        <v>3.8054794520547945</v>
      </c>
      <c r="M135" s="323">
        <v>9833.3565555741225</v>
      </c>
      <c r="N135" s="206">
        <f t="shared" si="60"/>
        <v>44154.643444425878</v>
      </c>
      <c r="O135" s="318">
        <f t="shared" si="61"/>
        <v>16.194520547945206</v>
      </c>
      <c r="P135" s="112">
        <f t="shared" si="62"/>
        <v>41455.243444425876</v>
      </c>
      <c r="Q135" s="206">
        <f t="shared" si="63"/>
        <v>2559.8314764363804</v>
      </c>
      <c r="R135" s="206">
        <f t="shared" si="64"/>
        <v>41594.811967989495</v>
      </c>
      <c r="S135" s="681"/>
      <c r="T135" s="682"/>
    </row>
    <row r="136" spans="1:20" ht="15">
      <c r="A136" s="394" t="s">
        <v>100</v>
      </c>
      <c r="B136" s="395">
        <v>42532</v>
      </c>
      <c r="C136" s="328">
        <v>135788</v>
      </c>
      <c r="D136" s="319"/>
      <c r="E136" s="319"/>
      <c r="F136" s="319"/>
      <c r="G136" s="112">
        <f t="shared" si="57"/>
        <v>6789.4000000000005</v>
      </c>
      <c r="H136" s="319"/>
      <c r="I136" s="319"/>
      <c r="J136" s="319"/>
      <c r="K136" s="319">
        <f t="shared" si="58"/>
        <v>1389</v>
      </c>
      <c r="L136" s="112">
        <f t="shared" si="59"/>
        <v>3.8054794520547945</v>
      </c>
      <c r="M136" s="323">
        <v>24732.381639777341</v>
      </c>
      <c r="N136" s="206">
        <f t="shared" si="60"/>
        <v>111055.61836022267</v>
      </c>
      <c r="O136" s="318">
        <f t="shared" si="61"/>
        <v>16.194520547945206</v>
      </c>
      <c r="P136" s="112">
        <f t="shared" si="62"/>
        <v>104266.21836022267</v>
      </c>
      <c r="Q136" s="206">
        <f t="shared" si="63"/>
        <v>6438.3640164915032</v>
      </c>
      <c r="R136" s="206">
        <f t="shared" si="64"/>
        <v>104617.25434373117</v>
      </c>
      <c r="S136" s="681"/>
      <c r="T136" s="682"/>
    </row>
    <row r="137" spans="1:20" ht="15">
      <c r="A137" s="394" t="s">
        <v>100</v>
      </c>
      <c r="B137" s="395">
        <v>42537</v>
      </c>
      <c r="C137" s="328">
        <v>32925</v>
      </c>
      <c r="D137" s="319"/>
      <c r="E137" s="319"/>
      <c r="F137" s="319"/>
      <c r="G137" s="112">
        <f t="shared" si="57"/>
        <v>1646.25</v>
      </c>
      <c r="H137" s="319"/>
      <c r="I137" s="319"/>
      <c r="J137" s="319"/>
      <c r="K137" s="319">
        <f t="shared" si="58"/>
        <v>1384</v>
      </c>
      <c r="L137" s="112">
        <f t="shared" si="59"/>
        <v>3.7917808219178082</v>
      </c>
      <c r="M137" s="323">
        <v>5975.3458252106029</v>
      </c>
      <c r="N137" s="206">
        <f t="shared" si="60"/>
        <v>26949.654174789397</v>
      </c>
      <c r="O137" s="318">
        <f t="shared" si="61"/>
        <v>16.208219178082192</v>
      </c>
      <c r="P137" s="112">
        <f t="shared" si="62"/>
        <v>25303.404174789397</v>
      </c>
      <c r="Q137" s="206">
        <f t="shared" si="63"/>
        <v>1561.146471230245</v>
      </c>
      <c r="R137" s="206">
        <f t="shared" si="64"/>
        <v>25388.507703559153</v>
      </c>
      <c r="S137" s="681"/>
      <c r="T137" s="682"/>
    </row>
    <row r="138" spans="1:20" ht="15">
      <c r="A138" s="394" t="s">
        <v>100</v>
      </c>
      <c r="B138" s="395">
        <v>42537</v>
      </c>
      <c r="C138" s="328">
        <v>19325</v>
      </c>
      <c r="D138" s="319"/>
      <c r="E138" s="319"/>
      <c r="F138" s="319"/>
      <c r="G138" s="112">
        <f t="shared" si="57"/>
        <v>966.25</v>
      </c>
      <c r="H138" s="319"/>
      <c r="I138" s="319"/>
      <c r="J138" s="319"/>
      <c r="K138" s="319">
        <f t="shared" si="58"/>
        <v>1384</v>
      </c>
      <c r="L138" s="112">
        <f t="shared" si="59"/>
        <v>3.7917808219178082</v>
      </c>
      <c r="M138" s="323">
        <v>3507.1695693908855</v>
      </c>
      <c r="N138" s="206">
        <f t="shared" si="60"/>
        <v>15817.830430609114</v>
      </c>
      <c r="O138" s="318">
        <f t="shared" si="61"/>
        <v>16.208219178082192</v>
      </c>
      <c r="P138" s="112">
        <f t="shared" si="62"/>
        <v>14851.580430609114</v>
      </c>
      <c r="Q138" s="206">
        <f t="shared" si="63"/>
        <v>916.29933353149534</v>
      </c>
      <c r="R138" s="206">
        <f t="shared" si="64"/>
        <v>14901.531097077619</v>
      </c>
      <c r="S138" s="681"/>
      <c r="T138" s="682"/>
    </row>
    <row r="139" spans="1:20" ht="15">
      <c r="A139" s="394" t="s">
        <v>100</v>
      </c>
      <c r="B139" s="395">
        <v>42549</v>
      </c>
      <c r="C139" s="328">
        <v>166054</v>
      </c>
      <c r="D139" s="319"/>
      <c r="E139" s="319"/>
      <c r="F139" s="319"/>
      <c r="G139" s="112">
        <f t="shared" si="57"/>
        <v>8302.7000000000007</v>
      </c>
      <c r="H139" s="319"/>
      <c r="I139" s="319"/>
      <c r="J139" s="319"/>
      <c r="K139" s="319">
        <f t="shared" si="58"/>
        <v>1372</v>
      </c>
      <c r="L139" s="112">
        <f t="shared" si="59"/>
        <v>3.7589041095890412</v>
      </c>
      <c r="M139" s="323">
        <v>29874.584785733783</v>
      </c>
      <c r="N139" s="206">
        <f t="shared" si="60"/>
        <v>136179.41521426622</v>
      </c>
      <c r="O139" s="318">
        <f t="shared" si="61"/>
        <v>16.241095890410961</v>
      </c>
      <c r="P139" s="112">
        <f t="shared" si="62"/>
        <v>127876.71521426622</v>
      </c>
      <c r="Q139" s="206">
        <f t="shared" si="63"/>
        <v>7873.6506500012092</v>
      </c>
      <c r="R139" s="206">
        <f t="shared" si="64"/>
        <v>128305.76456426502</v>
      </c>
      <c r="S139" s="681"/>
      <c r="T139" s="682"/>
    </row>
    <row r="140" spans="1:20" ht="15">
      <c r="A140" s="394" t="s">
        <v>100</v>
      </c>
      <c r="B140" s="395">
        <v>42550</v>
      </c>
      <c r="C140" s="328">
        <v>136256</v>
      </c>
      <c r="D140" s="319"/>
      <c r="E140" s="319"/>
      <c r="F140" s="319"/>
      <c r="G140" s="112">
        <f t="shared" si="57"/>
        <v>6812.8</v>
      </c>
      <c r="H140" s="319"/>
      <c r="I140" s="319"/>
      <c r="J140" s="319"/>
      <c r="K140" s="319">
        <f t="shared" si="58"/>
        <v>1371</v>
      </c>
      <c r="L140" s="112">
        <f t="shared" si="59"/>
        <v>3.7561643835616438</v>
      </c>
      <c r="M140" s="323">
        <v>24495.780632510894</v>
      </c>
      <c r="N140" s="206">
        <f t="shared" si="60"/>
        <v>111760.2193674891</v>
      </c>
      <c r="O140" s="318">
        <f t="shared" si="61"/>
        <v>16.243835616438357</v>
      </c>
      <c r="P140" s="112">
        <f t="shared" si="62"/>
        <v>104947.4193674891</v>
      </c>
      <c r="Q140" s="206">
        <f t="shared" si="63"/>
        <v>6460.7535957384916</v>
      </c>
      <c r="R140" s="206">
        <f t="shared" si="64"/>
        <v>105299.46577175061</v>
      </c>
      <c r="S140" s="681"/>
      <c r="T140" s="682"/>
    </row>
    <row r="141" spans="1:20" ht="15">
      <c r="A141" s="394" t="s">
        <v>100</v>
      </c>
      <c r="B141" s="395">
        <v>42550</v>
      </c>
      <c r="C141" s="328">
        <v>35276</v>
      </c>
      <c r="D141" s="319"/>
      <c r="E141" s="319"/>
      <c r="F141" s="319"/>
      <c r="G141" s="112">
        <f t="shared" si="57"/>
        <v>1763.8000000000002</v>
      </c>
      <c r="H141" s="319"/>
      <c r="I141" s="319"/>
      <c r="J141" s="319"/>
      <c r="K141" s="319">
        <f t="shared" si="58"/>
        <v>1371</v>
      </c>
      <c r="L141" s="112">
        <f t="shared" si="59"/>
        <v>3.7561643835616438</v>
      </c>
      <c r="M141" s="323">
        <v>6341.8356446134803</v>
      </c>
      <c r="N141" s="206">
        <f t="shared" si="60"/>
        <v>28934.164355386521</v>
      </c>
      <c r="O141" s="318">
        <f t="shared" si="61"/>
        <v>16.243835616438357</v>
      </c>
      <c r="P141" s="112">
        <f t="shared" si="62"/>
        <v>27170.364355386522</v>
      </c>
      <c r="Q141" s="206">
        <f t="shared" si="63"/>
        <v>1672.6569387276236</v>
      </c>
      <c r="R141" s="206">
        <f t="shared" si="64"/>
        <v>27261.507416658897</v>
      </c>
      <c r="S141" s="681"/>
      <c r="T141" s="682"/>
    </row>
    <row r="142" spans="1:20" ht="15">
      <c r="A142" s="394" t="s">
        <v>100</v>
      </c>
      <c r="B142" s="395">
        <v>42550</v>
      </c>
      <c r="C142" s="328">
        <v>31084</v>
      </c>
      <c r="D142" s="319"/>
      <c r="E142" s="319"/>
      <c r="F142" s="319"/>
      <c r="G142" s="112">
        <f t="shared" si="57"/>
        <v>1554.2</v>
      </c>
      <c r="H142" s="319"/>
      <c r="I142" s="319"/>
      <c r="J142" s="319"/>
      <c r="K142" s="319">
        <f t="shared" si="58"/>
        <v>1371</v>
      </c>
      <c r="L142" s="112">
        <f t="shared" si="59"/>
        <v>3.7561643835616438</v>
      </c>
      <c r="M142" s="323">
        <v>5588.2078233690154</v>
      </c>
      <c r="N142" s="206">
        <f t="shared" si="60"/>
        <v>25495.792176630985</v>
      </c>
      <c r="O142" s="318">
        <f t="shared" si="61"/>
        <v>16.243835616438357</v>
      </c>
      <c r="P142" s="112">
        <f t="shared" si="62"/>
        <v>23941.592176630984</v>
      </c>
      <c r="Q142" s="206">
        <f t="shared" si="63"/>
        <v>1473.8878638000183</v>
      </c>
      <c r="R142" s="206">
        <f t="shared" si="64"/>
        <v>24021.904312830968</v>
      </c>
      <c r="S142" s="681"/>
      <c r="T142" s="682"/>
    </row>
    <row r="143" spans="1:20" ht="15">
      <c r="A143" s="394" t="s">
        <v>100</v>
      </c>
      <c r="B143" s="395">
        <v>42554</v>
      </c>
      <c r="C143" s="328">
        <v>116188</v>
      </c>
      <c r="D143" s="319"/>
      <c r="E143" s="319"/>
      <c r="F143" s="319"/>
      <c r="G143" s="112">
        <f t="shared" si="57"/>
        <v>5809.4000000000005</v>
      </c>
      <c r="H143" s="319"/>
      <c r="I143" s="319"/>
      <c r="J143" s="319"/>
      <c r="K143" s="319">
        <f t="shared" si="58"/>
        <v>1367</v>
      </c>
      <c r="L143" s="112">
        <f t="shared" si="59"/>
        <v>3.7452054794520548</v>
      </c>
      <c r="M143" s="323">
        <v>20827.016300884359</v>
      </c>
      <c r="N143" s="206">
        <f t="shared" si="60"/>
        <v>95360.983699115633</v>
      </c>
      <c r="O143" s="318">
        <f t="shared" si="61"/>
        <v>16.254794520547946</v>
      </c>
      <c r="P143" s="112">
        <f t="shared" si="62"/>
        <v>89551.583699115639</v>
      </c>
      <c r="Q143" s="206">
        <f t="shared" si="63"/>
        <v>5509.2412017827755</v>
      </c>
      <c r="R143" s="206">
        <f t="shared" si="64"/>
        <v>89851.74249733286</v>
      </c>
      <c r="S143" s="681"/>
      <c r="T143" s="682"/>
    </row>
    <row r="144" spans="1:20" ht="15">
      <c r="A144" s="394" t="s">
        <v>100</v>
      </c>
      <c r="B144" s="395">
        <v>42562</v>
      </c>
      <c r="C144" s="328">
        <v>238995.7</v>
      </c>
      <c r="D144" s="319"/>
      <c r="E144" s="319"/>
      <c r="F144" s="319"/>
      <c r="G144" s="112">
        <f t="shared" si="57"/>
        <v>11949.785000000002</v>
      </c>
      <c r="H144" s="319"/>
      <c r="I144" s="319"/>
      <c r="J144" s="319"/>
      <c r="K144" s="319">
        <f t="shared" si="58"/>
        <v>1359</v>
      </c>
      <c r="L144" s="112">
        <f t="shared" si="59"/>
        <v>3.7232876712328768</v>
      </c>
      <c r="M144" s="323">
        <v>42589.735085328728</v>
      </c>
      <c r="N144" s="206">
        <f t="shared" si="60"/>
        <v>196405.96491467129</v>
      </c>
      <c r="O144" s="318">
        <f t="shared" si="61"/>
        <v>16.276712328767122</v>
      </c>
      <c r="P144" s="112">
        <f t="shared" si="62"/>
        <v>184456.17991467129</v>
      </c>
      <c r="Q144" s="206">
        <f t="shared" si="63"/>
        <v>11332.520732007242</v>
      </c>
      <c r="R144" s="206">
        <f t="shared" si="64"/>
        <v>185073.44418266404</v>
      </c>
      <c r="S144" s="681"/>
      <c r="T144" s="682"/>
    </row>
    <row r="145" spans="1:20" ht="15">
      <c r="A145" s="394" t="s">
        <v>100</v>
      </c>
      <c r="B145" s="395">
        <v>42563</v>
      </c>
      <c r="C145" s="328">
        <v>333028.27</v>
      </c>
      <c r="D145" s="319"/>
      <c r="E145" s="319"/>
      <c r="F145" s="319"/>
      <c r="G145" s="112">
        <f t="shared" si="57"/>
        <v>16651.413500000002</v>
      </c>
      <c r="H145" s="319"/>
      <c r="I145" s="319"/>
      <c r="J145" s="319"/>
      <c r="K145" s="319">
        <f t="shared" si="58"/>
        <v>1358</v>
      </c>
      <c r="L145" s="112">
        <f t="shared" si="59"/>
        <v>3.7205479452054795</v>
      </c>
      <c r="M145" s="323">
        <v>59302.913519000918</v>
      </c>
      <c r="N145" s="206">
        <f t="shared" si="60"/>
        <v>273725.35648099909</v>
      </c>
      <c r="O145" s="318">
        <f t="shared" si="61"/>
        <v>16.279452054794522</v>
      </c>
      <c r="P145" s="112">
        <f t="shared" si="62"/>
        <v>257073.9429809991</v>
      </c>
      <c r="Q145" s="206">
        <f t="shared" si="63"/>
        <v>15791.314235621789</v>
      </c>
      <c r="R145" s="206">
        <f t="shared" si="64"/>
        <v>257934.04224537729</v>
      </c>
      <c r="S145" s="681"/>
      <c r="T145" s="682"/>
    </row>
    <row r="146" spans="1:20" ht="15">
      <c r="A146" s="394" t="s">
        <v>100</v>
      </c>
      <c r="B146" s="395">
        <v>42563</v>
      </c>
      <c r="C146" s="328">
        <v>315850.25</v>
      </c>
      <c r="D146" s="319"/>
      <c r="E146" s="319"/>
      <c r="F146" s="319"/>
      <c r="G146" s="112">
        <f t="shared" si="57"/>
        <v>15792.512500000001</v>
      </c>
      <c r="H146" s="319"/>
      <c r="I146" s="319"/>
      <c r="J146" s="319"/>
      <c r="K146" s="319">
        <f t="shared" si="58"/>
        <v>1358</v>
      </c>
      <c r="L146" s="112">
        <f t="shared" si="59"/>
        <v>3.7205479452054795</v>
      </c>
      <c r="M146" s="323">
        <v>56243.994123095959</v>
      </c>
      <c r="N146" s="206">
        <f t="shared" si="60"/>
        <v>259606.25587690403</v>
      </c>
      <c r="O146" s="318">
        <f t="shared" si="61"/>
        <v>16.279452054794522</v>
      </c>
      <c r="P146" s="112">
        <f t="shared" si="62"/>
        <v>243813.74337690402</v>
      </c>
      <c r="Q146" s="206">
        <f t="shared" si="63"/>
        <v>14976.778245131263</v>
      </c>
      <c r="R146" s="206">
        <f t="shared" si="64"/>
        <v>244629.47763177278</v>
      </c>
      <c r="S146" s="681"/>
      <c r="T146" s="682"/>
    </row>
    <row r="147" spans="1:20" ht="15">
      <c r="A147" s="394" t="s">
        <v>100</v>
      </c>
      <c r="B147" s="395">
        <v>42564</v>
      </c>
      <c r="C147" s="328">
        <v>36441</v>
      </c>
      <c r="D147" s="319"/>
      <c r="E147" s="319"/>
      <c r="F147" s="319"/>
      <c r="G147" s="112">
        <f t="shared" si="57"/>
        <v>1822.0500000000002</v>
      </c>
      <c r="H147" s="319"/>
      <c r="I147" s="319"/>
      <c r="J147" s="319"/>
      <c r="K147" s="319">
        <f t="shared" si="58"/>
        <v>1357</v>
      </c>
      <c r="L147" s="112">
        <f t="shared" si="59"/>
        <v>3.7178082191780821</v>
      </c>
      <c r="M147" s="323">
        <v>6484.3292305926225</v>
      </c>
      <c r="N147" s="206">
        <f t="shared" si="60"/>
        <v>29956.670769407378</v>
      </c>
      <c r="O147" s="318">
        <f t="shared" si="61"/>
        <v>16.282191780821918</v>
      </c>
      <c r="P147" s="112">
        <f t="shared" si="62"/>
        <v>28134.620769407378</v>
      </c>
      <c r="Q147" s="206">
        <f t="shared" si="63"/>
        <v>1727.9381761456659</v>
      </c>
      <c r="R147" s="206">
        <f t="shared" si="64"/>
        <v>28228.732593261713</v>
      </c>
      <c r="S147" s="681"/>
      <c r="T147" s="682"/>
    </row>
    <row r="148" spans="1:20" ht="15">
      <c r="A148" s="394" t="s">
        <v>100</v>
      </c>
      <c r="B148" s="395">
        <v>42565</v>
      </c>
      <c r="C148" s="328">
        <v>23142.68</v>
      </c>
      <c r="D148" s="319"/>
      <c r="E148" s="319"/>
      <c r="F148" s="319"/>
      <c r="G148" s="112">
        <f t="shared" si="57"/>
        <v>1157.134</v>
      </c>
      <c r="H148" s="319"/>
      <c r="I148" s="319"/>
      <c r="J148" s="319"/>
      <c r="K148" s="319">
        <f t="shared" si="58"/>
        <v>1356</v>
      </c>
      <c r="L148" s="112">
        <f t="shared" si="59"/>
        <v>3.7150684931506848</v>
      </c>
      <c r="M148" s="323">
        <v>4114.9828263156551</v>
      </c>
      <c r="N148" s="206">
        <f t="shared" si="60"/>
        <v>19027.697173684344</v>
      </c>
      <c r="O148" s="318">
        <f t="shared" si="61"/>
        <v>16.284931506849315</v>
      </c>
      <c r="P148" s="112">
        <f t="shared" si="62"/>
        <v>17870.563173684342</v>
      </c>
      <c r="Q148" s="206">
        <f t="shared" si="63"/>
        <v>1097.3680279937391</v>
      </c>
      <c r="R148" s="206">
        <f t="shared" si="64"/>
        <v>17930.329145690604</v>
      </c>
      <c r="S148" s="681"/>
      <c r="T148" s="682"/>
    </row>
    <row r="149" spans="1:20" ht="15">
      <c r="A149" s="394" t="s">
        <v>100</v>
      </c>
      <c r="B149" s="395">
        <v>42566</v>
      </c>
      <c r="C149" s="328">
        <v>150256</v>
      </c>
      <c r="D149" s="319"/>
      <c r="E149" s="319"/>
      <c r="F149" s="319"/>
      <c r="G149" s="112">
        <f t="shared" si="57"/>
        <v>7512.8</v>
      </c>
      <c r="H149" s="319"/>
      <c r="I149" s="319"/>
      <c r="J149" s="319"/>
      <c r="K149" s="319">
        <f t="shared" si="58"/>
        <v>1355</v>
      </c>
      <c r="L149" s="112">
        <f t="shared" si="59"/>
        <v>3.7123287671232879</v>
      </c>
      <c r="M149" s="323">
        <v>26697.191032042549</v>
      </c>
      <c r="N149" s="206">
        <f t="shared" si="60"/>
        <v>123558.80896795745</v>
      </c>
      <c r="O149" s="318">
        <f t="shared" si="61"/>
        <v>16.287671232876711</v>
      </c>
      <c r="P149" s="112">
        <f t="shared" si="62"/>
        <v>116046.00896795744</v>
      </c>
      <c r="Q149" s="206">
        <f t="shared" si="63"/>
        <v>7124.7759921454117</v>
      </c>
      <c r="R149" s="206">
        <f t="shared" si="64"/>
        <v>116434.03297581204</v>
      </c>
      <c r="S149" s="681"/>
      <c r="T149" s="682"/>
    </row>
    <row r="150" spans="1:20" ht="15">
      <c r="A150" s="394" t="s">
        <v>100</v>
      </c>
      <c r="B150" s="395">
        <v>42566</v>
      </c>
      <c r="C150" s="328">
        <v>31084</v>
      </c>
      <c r="D150" s="319"/>
      <c r="E150" s="319"/>
      <c r="F150" s="319"/>
      <c r="G150" s="112">
        <f t="shared" si="57"/>
        <v>1554.2</v>
      </c>
      <c r="H150" s="319"/>
      <c r="I150" s="319"/>
      <c r="J150" s="319"/>
      <c r="K150" s="319">
        <f t="shared" si="58"/>
        <v>1355</v>
      </c>
      <c r="L150" s="112">
        <f t="shared" si="59"/>
        <v>3.7123287671232879</v>
      </c>
      <c r="M150" s="323">
        <v>5522.9440823661653</v>
      </c>
      <c r="N150" s="206">
        <f t="shared" si="60"/>
        <v>25561.055917633836</v>
      </c>
      <c r="O150" s="318">
        <f t="shared" si="61"/>
        <v>16.287671232876711</v>
      </c>
      <c r="P150" s="112">
        <f t="shared" si="62"/>
        <v>24006.855917633835</v>
      </c>
      <c r="Q150" s="206">
        <f t="shared" si="63"/>
        <v>1473.928075683154</v>
      </c>
      <c r="R150" s="206">
        <f t="shared" si="64"/>
        <v>24087.127841950682</v>
      </c>
      <c r="S150" s="681"/>
      <c r="T150" s="682"/>
    </row>
    <row r="151" spans="1:20" ht="15">
      <c r="A151" s="394" t="s">
        <v>100</v>
      </c>
      <c r="B151" s="395">
        <v>42566</v>
      </c>
      <c r="C151" s="328">
        <v>70553</v>
      </c>
      <c r="D151" s="319"/>
      <c r="E151" s="319"/>
      <c r="F151" s="319"/>
      <c r="G151" s="112">
        <f t="shared" si="57"/>
        <v>3527.65</v>
      </c>
      <c r="H151" s="319"/>
      <c r="I151" s="319"/>
      <c r="J151" s="319"/>
      <c r="K151" s="319">
        <f t="shared" si="58"/>
        <v>1355</v>
      </c>
      <c r="L151" s="112">
        <f t="shared" si="59"/>
        <v>3.7123287671232879</v>
      </c>
      <c r="M151" s="323">
        <v>12535.718499651914</v>
      </c>
      <c r="N151" s="206">
        <f t="shared" si="60"/>
        <v>58017.281500348086</v>
      </c>
      <c r="O151" s="318">
        <f t="shared" si="61"/>
        <v>16.287671232876711</v>
      </c>
      <c r="P151" s="112">
        <f t="shared" si="62"/>
        <v>54489.631500348085</v>
      </c>
      <c r="Q151" s="206">
        <f t="shared" si="63"/>
        <v>3345.452564781674</v>
      </c>
      <c r="R151" s="206">
        <f t="shared" si="64"/>
        <v>54671.828935566409</v>
      </c>
      <c r="S151" s="681"/>
      <c r="T151" s="682"/>
    </row>
    <row r="152" spans="1:20" ht="15">
      <c r="A152" s="394" t="s">
        <v>100</v>
      </c>
      <c r="B152" s="395">
        <v>42583</v>
      </c>
      <c r="C152" s="328">
        <v>20706</v>
      </c>
      <c r="D152" s="319"/>
      <c r="E152" s="319"/>
      <c r="F152" s="319"/>
      <c r="G152" s="112">
        <f t="shared" si="57"/>
        <v>1035.3</v>
      </c>
      <c r="H152" s="319"/>
      <c r="I152" s="319"/>
      <c r="J152" s="319"/>
      <c r="K152" s="319">
        <f t="shared" si="58"/>
        <v>1338</v>
      </c>
      <c r="L152" s="112">
        <f t="shared" si="59"/>
        <v>3.6657534246575341</v>
      </c>
      <c r="M152" s="323">
        <v>3632.8101180492699</v>
      </c>
      <c r="N152" s="206">
        <f t="shared" si="60"/>
        <v>17073.18988195073</v>
      </c>
      <c r="O152" s="318">
        <f t="shared" si="61"/>
        <v>16.334246575342465</v>
      </c>
      <c r="P152" s="112">
        <f t="shared" si="62"/>
        <v>16037.88988195073</v>
      </c>
      <c r="Q152" s="206">
        <f t="shared" si="63"/>
        <v>981.85672709024095</v>
      </c>
      <c r="R152" s="206">
        <f t="shared" si="64"/>
        <v>16091.333154860489</v>
      </c>
      <c r="S152" s="681"/>
      <c r="T152" s="682"/>
    </row>
    <row r="153" spans="1:20" ht="15">
      <c r="A153" s="394" t="s">
        <v>100</v>
      </c>
      <c r="B153" s="395">
        <v>42583</v>
      </c>
      <c r="C153" s="328">
        <v>58794</v>
      </c>
      <c r="D153" s="319"/>
      <c r="E153" s="319"/>
      <c r="F153" s="319"/>
      <c r="G153" s="112">
        <f t="shared" si="57"/>
        <v>2939.7000000000003</v>
      </c>
      <c r="H153" s="319"/>
      <c r="I153" s="319"/>
      <c r="J153" s="319"/>
      <c r="K153" s="319">
        <f t="shared" si="58"/>
        <v>1338</v>
      </c>
      <c r="L153" s="112">
        <f t="shared" si="59"/>
        <v>3.6657534246575341</v>
      </c>
      <c r="M153" s="323">
        <v>10315.243797961402</v>
      </c>
      <c r="N153" s="206">
        <f t="shared" si="60"/>
        <v>48478.756202038596</v>
      </c>
      <c r="O153" s="318">
        <f t="shared" si="61"/>
        <v>16.334246575342465</v>
      </c>
      <c r="P153" s="112">
        <f t="shared" si="62"/>
        <v>45539.056202038599</v>
      </c>
      <c r="Q153" s="206">
        <f t="shared" si="63"/>
        <v>2787.9495997558015</v>
      </c>
      <c r="R153" s="206">
        <f t="shared" si="64"/>
        <v>45690.806602282792</v>
      </c>
      <c r="S153" s="681"/>
      <c r="T153" s="682"/>
    </row>
    <row r="154" spans="1:20" ht="15">
      <c r="A154" s="394" t="s">
        <v>100</v>
      </c>
      <c r="B154" s="395">
        <v>42583</v>
      </c>
      <c r="C154" s="328">
        <v>168457</v>
      </c>
      <c r="D154" s="319"/>
      <c r="E154" s="319"/>
      <c r="F154" s="319"/>
      <c r="G154" s="112">
        <f t="shared" si="57"/>
        <v>8422.85</v>
      </c>
      <c r="H154" s="319"/>
      <c r="I154" s="319"/>
      <c r="J154" s="319"/>
      <c r="K154" s="319">
        <f t="shared" si="58"/>
        <v>1338</v>
      </c>
      <c r="L154" s="112">
        <f t="shared" si="59"/>
        <v>3.6657534246575341</v>
      </c>
      <c r="M154" s="323">
        <v>29555.31218275987</v>
      </c>
      <c r="N154" s="206">
        <f t="shared" si="60"/>
        <v>138901.68781724013</v>
      </c>
      <c r="O154" s="318">
        <f t="shared" si="61"/>
        <v>16.334246575342465</v>
      </c>
      <c r="P154" s="112">
        <f t="shared" si="62"/>
        <v>130478.83781724013</v>
      </c>
      <c r="Q154" s="206">
        <f t="shared" si="63"/>
        <v>7988.0536402704874</v>
      </c>
      <c r="R154" s="206">
        <f t="shared" si="64"/>
        <v>130913.63417696964</v>
      </c>
      <c r="S154" s="681"/>
      <c r="T154" s="682"/>
    </row>
    <row r="155" spans="1:20" ht="15">
      <c r="A155" s="394" t="s">
        <v>100</v>
      </c>
      <c r="B155" s="395">
        <v>42590</v>
      </c>
      <c r="C155" s="328">
        <v>47035</v>
      </c>
      <c r="D155" s="319"/>
      <c r="E155" s="319"/>
      <c r="F155" s="319"/>
      <c r="G155" s="112">
        <f t="shared" si="57"/>
        <v>2351.75</v>
      </c>
      <c r="H155" s="319"/>
      <c r="I155" s="319"/>
      <c r="J155" s="319"/>
      <c r="K155" s="319">
        <f t="shared" si="58"/>
        <v>1331</v>
      </c>
      <c r="L155" s="112">
        <f t="shared" si="59"/>
        <v>3.6465753424657534</v>
      </c>
      <c r="M155" s="323">
        <v>8208.954923014704</v>
      </c>
      <c r="N155" s="206">
        <f t="shared" si="60"/>
        <v>38826.045076985298</v>
      </c>
      <c r="O155" s="318">
        <f t="shared" si="61"/>
        <v>16.353424657534248</v>
      </c>
      <c r="P155" s="112">
        <f t="shared" si="62"/>
        <v>36474.295076985298</v>
      </c>
      <c r="Q155" s="206">
        <f t="shared" si="63"/>
        <v>2230.3765627575194</v>
      </c>
      <c r="R155" s="206">
        <f t="shared" si="64"/>
        <v>36595.668514227778</v>
      </c>
      <c r="S155" s="681"/>
      <c r="T155" s="682"/>
    </row>
    <row r="156" spans="1:20" ht="15">
      <c r="A156" s="394" t="s">
        <v>100</v>
      </c>
      <c r="B156" s="395">
        <v>42594</v>
      </c>
      <c r="C156" s="328">
        <v>13804</v>
      </c>
      <c r="D156" s="319"/>
      <c r="E156" s="319"/>
      <c r="F156" s="319"/>
      <c r="G156" s="112">
        <f t="shared" si="57"/>
        <v>690.2</v>
      </c>
      <c r="H156" s="319"/>
      <c r="I156" s="319"/>
      <c r="J156" s="319"/>
      <c r="K156" s="319">
        <f t="shared" si="58"/>
        <v>1327</v>
      </c>
      <c r="L156" s="112">
        <f t="shared" si="59"/>
        <v>3.6356164383561644</v>
      </c>
      <c r="M156" s="323">
        <v>2401.9477519488069</v>
      </c>
      <c r="N156" s="206">
        <f t="shared" si="60"/>
        <v>11402.052248051194</v>
      </c>
      <c r="O156" s="318">
        <f t="shared" si="61"/>
        <v>16.364383561643834</v>
      </c>
      <c r="P156" s="112">
        <f t="shared" si="62"/>
        <v>10711.852248051193</v>
      </c>
      <c r="Q156" s="206">
        <f t="shared" si="63"/>
        <v>654.58330328790987</v>
      </c>
      <c r="R156" s="206">
        <f t="shared" si="64"/>
        <v>10747.468944763285</v>
      </c>
      <c r="S156" s="681"/>
      <c r="T156" s="682"/>
    </row>
    <row r="157" spans="1:20" ht="15">
      <c r="A157" s="394" t="s">
        <v>100</v>
      </c>
      <c r="B157" s="395">
        <v>42594</v>
      </c>
      <c r="C157" s="328">
        <v>199592</v>
      </c>
      <c r="D157" s="319"/>
      <c r="E157" s="319"/>
      <c r="F157" s="319"/>
      <c r="G157" s="112">
        <f t="shared" si="57"/>
        <v>9979.6</v>
      </c>
      <c r="H157" s="319"/>
      <c r="I157" s="319"/>
      <c r="J157" s="319"/>
      <c r="K157" s="319">
        <f t="shared" si="58"/>
        <v>1327</v>
      </c>
      <c r="L157" s="112">
        <f t="shared" si="59"/>
        <v>3.6356164383561644</v>
      </c>
      <c r="M157" s="323">
        <v>34729.756281292823</v>
      </c>
      <c r="N157" s="206">
        <f t="shared" si="60"/>
        <v>164862.24371870718</v>
      </c>
      <c r="O157" s="318">
        <f t="shared" si="61"/>
        <v>16.364383561643834</v>
      </c>
      <c r="P157" s="112">
        <f t="shared" si="62"/>
        <v>154882.64371870717</v>
      </c>
      <c r="Q157" s="206">
        <f t="shared" si="63"/>
        <v>9464.6182751260876</v>
      </c>
      <c r="R157" s="206">
        <f t="shared" si="64"/>
        <v>155397.62544358108</v>
      </c>
      <c r="S157" s="681"/>
      <c r="T157" s="682"/>
    </row>
    <row r="158" spans="1:20" ht="15">
      <c r="A158" s="394" t="s">
        <v>100</v>
      </c>
      <c r="B158" s="395">
        <v>42594</v>
      </c>
      <c r="C158" s="328">
        <v>145706.26</v>
      </c>
      <c r="D158" s="319"/>
      <c r="E158" s="319"/>
      <c r="F158" s="319"/>
      <c r="G158" s="112">
        <f t="shared" si="57"/>
        <v>7285.313000000001</v>
      </c>
      <c r="H158" s="319"/>
      <c r="I158" s="319"/>
      <c r="J158" s="319"/>
      <c r="K158" s="319">
        <f t="shared" si="58"/>
        <v>1327</v>
      </c>
      <c r="L158" s="112">
        <f t="shared" si="59"/>
        <v>3.6356164383561644</v>
      </c>
      <c r="M158" s="323">
        <v>25353.435500714895</v>
      </c>
      <c r="N158" s="206">
        <f t="shared" si="60"/>
        <v>120352.82449928511</v>
      </c>
      <c r="O158" s="318">
        <f t="shared" si="61"/>
        <v>16.364383561643834</v>
      </c>
      <c r="P158" s="112">
        <f t="shared" si="62"/>
        <v>113067.51149928512</v>
      </c>
      <c r="Q158" s="206">
        <f t="shared" si="63"/>
        <v>6909.3657621361244</v>
      </c>
      <c r="R158" s="206">
        <f t="shared" si="64"/>
        <v>113443.45873714899</v>
      </c>
      <c r="S158" s="681"/>
      <c r="T158" s="682"/>
    </row>
    <row r="159" spans="1:20" ht="15">
      <c r="A159" s="394" t="s">
        <v>100</v>
      </c>
      <c r="B159" s="395">
        <v>42594</v>
      </c>
      <c r="C159" s="328">
        <v>142843.25</v>
      </c>
      <c r="D159" s="319"/>
      <c r="E159" s="319"/>
      <c r="F159" s="319"/>
      <c r="G159" s="112">
        <f t="shared" si="57"/>
        <v>7142.1625000000004</v>
      </c>
      <c r="H159" s="319"/>
      <c r="I159" s="319"/>
      <c r="J159" s="319"/>
      <c r="K159" s="319">
        <f t="shared" si="58"/>
        <v>1327</v>
      </c>
      <c r="L159" s="112">
        <f t="shared" si="59"/>
        <v>3.6356164383561644</v>
      </c>
      <c r="M159" s="323">
        <v>24855.261027134264</v>
      </c>
      <c r="N159" s="206">
        <f t="shared" si="60"/>
        <v>117987.98897286574</v>
      </c>
      <c r="O159" s="318">
        <f t="shared" si="61"/>
        <v>16.364383561643834</v>
      </c>
      <c r="P159" s="112">
        <f t="shared" si="62"/>
        <v>110845.82647286574</v>
      </c>
      <c r="Q159" s="206">
        <f t="shared" si="63"/>
        <v>6773.602320876611</v>
      </c>
      <c r="R159" s="206">
        <f t="shared" si="64"/>
        <v>111214.38665198913</v>
      </c>
      <c r="S159" s="681"/>
      <c r="T159" s="682"/>
    </row>
    <row r="160" spans="1:20" ht="15">
      <c r="A160" s="394" t="s">
        <v>100</v>
      </c>
      <c r="B160" s="395">
        <v>42609</v>
      </c>
      <c r="C160" s="328">
        <v>99579</v>
      </c>
      <c r="D160" s="319"/>
      <c r="E160" s="319"/>
      <c r="F160" s="319"/>
      <c r="G160" s="112">
        <f t="shared" si="57"/>
        <v>4978.9500000000007</v>
      </c>
      <c r="H160" s="319"/>
      <c r="I160" s="319"/>
      <c r="J160" s="319"/>
      <c r="K160" s="319">
        <f t="shared" si="58"/>
        <v>1312</v>
      </c>
      <c r="L160" s="112">
        <f t="shared" si="59"/>
        <v>3.5945205479452054</v>
      </c>
      <c r="M160" s="323">
        <v>17131.111189917181</v>
      </c>
      <c r="N160" s="206">
        <f t="shared" si="60"/>
        <v>82447.888810082819</v>
      </c>
      <c r="O160" s="318">
        <f t="shared" si="61"/>
        <v>16.405479452054795</v>
      </c>
      <c r="P160" s="112">
        <f t="shared" si="62"/>
        <v>77468.938810082822</v>
      </c>
      <c r="Q160" s="206">
        <f t="shared" si="63"/>
        <v>4722.1380537208133</v>
      </c>
      <c r="R160" s="206">
        <f t="shared" si="64"/>
        <v>77725.750756362002</v>
      </c>
      <c r="S160" s="681"/>
      <c r="T160" s="682"/>
    </row>
    <row r="161" spans="1:20" ht="15">
      <c r="A161" s="394" t="s">
        <v>100</v>
      </c>
      <c r="B161" s="395">
        <v>42614</v>
      </c>
      <c r="C161" s="328">
        <v>53681.25</v>
      </c>
      <c r="D161" s="319"/>
      <c r="E161" s="319"/>
      <c r="F161" s="319"/>
      <c r="G161" s="112">
        <f t="shared" si="57"/>
        <v>2684.0625</v>
      </c>
      <c r="H161" s="319"/>
      <c r="I161" s="319"/>
      <c r="J161" s="319"/>
      <c r="K161" s="319">
        <f t="shared" si="58"/>
        <v>1307</v>
      </c>
      <c r="L161" s="112">
        <f t="shared" si="59"/>
        <v>3.580821917808219</v>
      </c>
      <c r="M161" s="323">
        <v>9199.8527998774625</v>
      </c>
      <c r="N161" s="206">
        <f t="shared" si="60"/>
        <v>44481.397200122534</v>
      </c>
      <c r="O161" s="318">
        <f t="shared" si="61"/>
        <v>16.419178082191781</v>
      </c>
      <c r="P161" s="112">
        <f t="shared" si="62"/>
        <v>41797.334700122534</v>
      </c>
      <c r="Q161" s="206">
        <f t="shared" si="63"/>
        <v>2545.6411088844861</v>
      </c>
      <c r="R161" s="206">
        <f t="shared" si="64"/>
        <v>41935.75609123805</v>
      </c>
      <c r="S161" s="681"/>
      <c r="T161" s="682"/>
    </row>
    <row r="162" spans="1:20" ht="15">
      <c r="A162" s="394" t="s">
        <v>100</v>
      </c>
      <c r="B162" s="395">
        <v>42615</v>
      </c>
      <c r="C162" s="328">
        <v>178835</v>
      </c>
      <c r="D162" s="319"/>
      <c r="E162" s="319"/>
      <c r="F162" s="319"/>
      <c r="G162" s="112">
        <f t="shared" si="57"/>
        <v>8941.75</v>
      </c>
      <c r="H162" s="319"/>
      <c r="I162" s="319"/>
      <c r="J162" s="319"/>
      <c r="K162" s="319">
        <f t="shared" si="58"/>
        <v>1306</v>
      </c>
      <c r="L162" s="112">
        <f t="shared" si="59"/>
        <v>3.5780821917808221</v>
      </c>
      <c r="M162" s="323">
        <v>30625.142083807717</v>
      </c>
      <c r="N162" s="206">
        <f t="shared" si="60"/>
        <v>148209.85791619227</v>
      </c>
      <c r="O162" s="318">
        <f t="shared" si="61"/>
        <v>16.421917808219177</v>
      </c>
      <c r="P162" s="112">
        <f t="shared" si="62"/>
        <v>139268.10791619227</v>
      </c>
      <c r="Q162" s="206">
        <f t="shared" si="63"/>
        <v>8480.623855423788</v>
      </c>
      <c r="R162" s="206">
        <f t="shared" si="64"/>
        <v>139729.23406076847</v>
      </c>
      <c r="S162" s="681"/>
      <c r="T162" s="682"/>
    </row>
    <row r="163" spans="1:20" ht="15">
      <c r="A163" s="394" t="s">
        <v>100</v>
      </c>
      <c r="B163" s="395">
        <v>42616</v>
      </c>
      <c r="C163" s="328">
        <v>27608</v>
      </c>
      <c r="D163" s="319"/>
      <c r="E163" s="319"/>
      <c r="F163" s="319"/>
      <c r="G163" s="112">
        <f t="shared" si="57"/>
        <v>1380.4</v>
      </c>
      <c r="H163" s="319"/>
      <c r="I163" s="319"/>
      <c r="J163" s="319"/>
      <c r="K163" s="319">
        <f t="shared" si="58"/>
        <v>1305</v>
      </c>
      <c r="L163" s="112">
        <f t="shared" si="59"/>
        <v>3.5753424657534247</v>
      </c>
      <c r="M163" s="323">
        <v>4724.192863561454</v>
      </c>
      <c r="N163" s="206">
        <f t="shared" si="60"/>
        <v>22883.807136438547</v>
      </c>
      <c r="O163" s="318">
        <f t="shared" si="61"/>
        <v>16.424657534246574</v>
      </c>
      <c r="P163" s="112">
        <f t="shared" si="62"/>
        <v>21503.407136438545</v>
      </c>
      <c r="Q163" s="206">
        <f t="shared" si="63"/>
        <v>1309.2149465888356</v>
      </c>
      <c r="R163" s="206">
        <f t="shared" si="64"/>
        <v>21574.592189849711</v>
      </c>
      <c r="S163" s="681"/>
      <c r="T163" s="682"/>
    </row>
    <row r="164" spans="1:20" ht="15">
      <c r="A164" s="394" t="s">
        <v>100</v>
      </c>
      <c r="B164" s="395">
        <v>42616</v>
      </c>
      <c r="C164" s="328">
        <v>70553</v>
      </c>
      <c r="D164" s="319"/>
      <c r="E164" s="319"/>
      <c r="F164" s="319"/>
      <c r="G164" s="112">
        <f t="shared" si="57"/>
        <v>3527.65</v>
      </c>
      <c r="H164" s="319"/>
      <c r="I164" s="319"/>
      <c r="J164" s="319"/>
      <c r="K164" s="319">
        <f t="shared" si="58"/>
        <v>1305</v>
      </c>
      <c r="L164" s="112">
        <f t="shared" si="59"/>
        <v>3.5753424657534247</v>
      </c>
      <c r="M164" s="323">
        <v>12072.80422713892</v>
      </c>
      <c r="N164" s="206">
        <f t="shared" si="60"/>
        <v>58480.19577286108</v>
      </c>
      <c r="O164" s="318">
        <f t="shared" si="61"/>
        <v>16.424657534246574</v>
      </c>
      <c r="P164" s="112">
        <f t="shared" si="62"/>
        <v>54952.545772861078</v>
      </c>
      <c r="Q164" s="206">
        <f t="shared" si="63"/>
        <v>3345.7346467213169</v>
      </c>
      <c r="R164" s="206">
        <f t="shared" si="64"/>
        <v>55134.461126139766</v>
      </c>
      <c r="S164" s="681"/>
      <c r="T164" s="682"/>
    </row>
    <row r="165" spans="1:20" ht="15">
      <c r="A165" s="394" t="s">
        <v>100</v>
      </c>
      <c r="B165" s="395">
        <v>42617</v>
      </c>
      <c r="C165" s="328">
        <v>4859</v>
      </c>
      <c r="D165" s="319"/>
      <c r="E165" s="319"/>
      <c r="F165" s="319"/>
      <c r="G165" s="112">
        <f t="shared" si="57"/>
        <v>242.95000000000002</v>
      </c>
      <c r="H165" s="319"/>
      <c r="I165" s="319"/>
      <c r="J165" s="319"/>
      <c r="K165" s="319">
        <f t="shared" si="58"/>
        <v>1304</v>
      </c>
      <c r="L165" s="112">
        <f t="shared" si="59"/>
        <v>3.5726027397260274</v>
      </c>
      <c r="M165" s="323">
        <v>830.81895497945084</v>
      </c>
      <c r="N165" s="206">
        <f t="shared" si="60"/>
        <v>4028.1810450205494</v>
      </c>
      <c r="O165" s="318">
        <f t="shared" si="61"/>
        <v>16.427397260273974</v>
      </c>
      <c r="P165" s="112">
        <f t="shared" si="62"/>
        <v>3785.2310450205496</v>
      </c>
      <c r="Q165" s="206">
        <f t="shared" si="63"/>
        <v>230.42183646305878</v>
      </c>
      <c r="R165" s="206">
        <f t="shared" si="64"/>
        <v>3797.7592085574906</v>
      </c>
      <c r="S165" s="681"/>
      <c r="T165" s="682"/>
    </row>
    <row r="166" spans="1:20" ht="15">
      <c r="A166" s="394" t="s">
        <v>100</v>
      </c>
      <c r="B166" s="395">
        <v>42619</v>
      </c>
      <c r="C166" s="328">
        <v>7288</v>
      </c>
      <c r="D166" s="319"/>
      <c r="E166" s="319"/>
      <c r="F166" s="319"/>
      <c r="G166" s="112">
        <f t="shared" si="57"/>
        <v>364.40000000000003</v>
      </c>
      <c r="H166" s="319"/>
      <c r="I166" s="319"/>
      <c r="J166" s="319"/>
      <c r="K166" s="319">
        <f t="shared" ref="K166:K219" si="65">$K$2-B166</f>
        <v>1302</v>
      </c>
      <c r="L166" s="112">
        <f t="shared" ref="L166:L219" si="66">K166/365</f>
        <v>3.5671232876712327</v>
      </c>
      <c r="M166" s="323">
        <v>1244.2302106828056</v>
      </c>
      <c r="N166" s="206">
        <f t="shared" ref="N166:N219" si="67">C166-M166</f>
        <v>6043.7697893171944</v>
      </c>
      <c r="O166" s="318">
        <f t="shared" si="61"/>
        <v>16.432876712328767</v>
      </c>
      <c r="P166" s="112">
        <f t="shared" ref="P166:P219" si="68">N166-G166</f>
        <v>5679.3697893171948</v>
      </c>
      <c r="Q166" s="206">
        <f t="shared" ref="Q166:Q219" si="69">P166/O166</f>
        <v>345.61019891643485</v>
      </c>
      <c r="R166" s="206">
        <f t="shared" ref="R166:R219" si="70">N166-Q166</f>
        <v>5698.15959040076</v>
      </c>
      <c r="S166" s="681"/>
      <c r="T166" s="682"/>
    </row>
    <row r="167" spans="1:20" ht="15">
      <c r="A167" s="394" t="s">
        <v>100</v>
      </c>
      <c r="B167" s="395">
        <v>42621</v>
      </c>
      <c r="C167" s="328">
        <v>235016</v>
      </c>
      <c r="D167" s="319"/>
      <c r="E167" s="319"/>
      <c r="F167" s="319"/>
      <c r="G167" s="112">
        <f t="shared" si="57"/>
        <v>11750.800000000001</v>
      </c>
      <c r="H167" s="319"/>
      <c r="I167" s="319"/>
      <c r="J167" s="319"/>
      <c r="K167" s="319">
        <f t="shared" si="65"/>
        <v>1300</v>
      </c>
      <c r="L167" s="112">
        <f t="shared" si="66"/>
        <v>3.5616438356164384</v>
      </c>
      <c r="M167" s="323">
        <v>40060.988649361316</v>
      </c>
      <c r="N167" s="206">
        <f t="shared" si="67"/>
        <v>194955.0113506387</v>
      </c>
      <c r="O167" s="318">
        <f t="shared" si="61"/>
        <v>16.438356164383563</v>
      </c>
      <c r="P167" s="112">
        <f t="shared" si="68"/>
        <v>183204.21135063871</v>
      </c>
      <c r="Q167" s="206">
        <f t="shared" si="69"/>
        <v>11144.922857163854</v>
      </c>
      <c r="R167" s="206">
        <f t="shared" si="70"/>
        <v>183810.08849347485</v>
      </c>
      <c r="S167" s="681"/>
      <c r="T167" s="682"/>
    </row>
    <row r="168" spans="1:20" ht="15">
      <c r="A168" s="394" t="s">
        <v>100</v>
      </c>
      <c r="B168" s="395">
        <v>42626</v>
      </c>
      <c r="C168" s="328">
        <v>21834.15</v>
      </c>
      <c r="D168" s="319"/>
      <c r="E168" s="319"/>
      <c r="F168" s="319"/>
      <c r="G168" s="112">
        <f t="shared" ref="G168:G232" si="71">C168*5%</f>
        <v>1091.7075000000002</v>
      </c>
      <c r="H168" s="319"/>
      <c r="I168" s="319"/>
      <c r="J168" s="319"/>
      <c r="K168" s="319">
        <f t="shared" si="65"/>
        <v>1295</v>
      </c>
      <c r="L168" s="112">
        <f t="shared" si="66"/>
        <v>3.547945205479452</v>
      </c>
      <c r="M168" s="323">
        <v>3707.5383113878543</v>
      </c>
      <c r="N168" s="206">
        <f t="shared" si="67"/>
        <v>18126.611688612145</v>
      </c>
      <c r="O168" s="318">
        <f t="shared" ref="O168:O220" si="72">$O$14-L168</f>
        <v>16.452054794520549</v>
      </c>
      <c r="P168" s="112">
        <f t="shared" si="68"/>
        <v>17034.904188612145</v>
      </c>
      <c r="Q168" s="206">
        <f t="shared" si="69"/>
        <v>1035.4271488498639</v>
      </c>
      <c r="R168" s="206">
        <f t="shared" si="70"/>
        <v>17091.184539762282</v>
      </c>
      <c r="S168" s="681"/>
      <c r="T168" s="682"/>
    </row>
    <row r="169" spans="1:20" ht="15">
      <c r="A169" s="394" t="s">
        <v>100</v>
      </c>
      <c r="B169" s="395">
        <v>42627</v>
      </c>
      <c r="C169" s="328">
        <v>43880.41</v>
      </c>
      <c r="D169" s="319"/>
      <c r="E169" s="319"/>
      <c r="F169" s="319"/>
      <c r="G169" s="112">
        <f t="shared" si="71"/>
        <v>2194.0205000000001</v>
      </c>
      <c r="H169" s="319"/>
      <c r="I169" s="319"/>
      <c r="J169" s="319"/>
      <c r="K169" s="319">
        <f t="shared" si="65"/>
        <v>1294</v>
      </c>
      <c r="L169" s="112">
        <f t="shared" si="66"/>
        <v>3.5452054794520547</v>
      </c>
      <c r="M169" s="323">
        <v>7445.3356818362108</v>
      </c>
      <c r="N169" s="206">
        <f t="shared" si="67"/>
        <v>36435.074318163795</v>
      </c>
      <c r="O169" s="318">
        <f t="shared" si="72"/>
        <v>16.454794520547946</v>
      </c>
      <c r="P169" s="112">
        <f t="shared" si="68"/>
        <v>34241.053818163797</v>
      </c>
      <c r="Q169" s="206">
        <f t="shared" si="69"/>
        <v>2080.9165240808834</v>
      </c>
      <c r="R169" s="206">
        <f t="shared" si="70"/>
        <v>34354.157794082916</v>
      </c>
      <c r="S169" s="681"/>
      <c r="T169" s="682"/>
    </row>
    <row r="170" spans="1:20" ht="15">
      <c r="A170" s="394" t="s">
        <v>100</v>
      </c>
      <c r="B170" s="395">
        <v>42629</v>
      </c>
      <c r="C170" s="328">
        <v>241105.5</v>
      </c>
      <c r="D170" s="319"/>
      <c r="E170" s="319"/>
      <c r="F170" s="319"/>
      <c r="G170" s="112">
        <f t="shared" si="71"/>
        <v>12055.275000000001</v>
      </c>
      <c r="H170" s="319"/>
      <c r="I170" s="319"/>
      <c r="J170" s="319"/>
      <c r="K170" s="319">
        <f t="shared" si="65"/>
        <v>1292</v>
      </c>
      <c r="L170" s="112">
        <f t="shared" si="66"/>
        <v>3.5397260273972604</v>
      </c>
      <c r="M170" s="323">
        <v>40845.897318785646</v>
      </c>
      <c r="N170" s="206">
        <f t="shared" si="67"/>
        <v>200259.60268121434</v>
      </c>
      <c r="O170" s="318">
        <f t="shared" si="72"/>
        <v>16.460273972602739</v>
      </c>
      <c r="P170" s="112">
        <f t="shared" si="68"/>
        <v>188204.32768121434</v>
      </c>
      <c r="Q170" s="206">
        <f t="shared" si="69"/>
        <v>11433.851465320113</v>
      </c>
      <c r="R170" s="206">
        <f t="shared" si="70"/>
        <v>188825.75121589424</v>
      </c>
      <c r="S170" s="681"/>
      <c r="T170" s="682"/>
    </row>
    <row r="171" spans="1:20" ht="15">
      <c r="A171" s="394" t="s">
        <v>100</v>
      </c>
      <c r="B171" s="395">
        <v>42629</v>
      </c>
      <c r="C171" s="328">
        <v>269940</v>
      </c>
      <c r="D171" s="319"/>
      <c r="E171" s="319"/>
      <c r="F171" s="319"/>
      <c r="G171" s="112">
        <f t="shared" si="71"/>
        <v>13497</v>
      </c>
      <c r="H171" s="319"/>
      <c r="I171" s="319"/>
      <c r="J171" s="319"/>
      <c r="K171" s="319">
        <f t="shared" si="65"/>
        <v>1292</v>
      </c>
      <c r="L171" s="112">
        <f t="shared" si="66"/>
        <v>3.5397260273972604</v>
      </c>
      <c r="M171" s="323">
        <v>45730.775624085712</v>
      </c>
      <c r="N171" s="206">
        <f t="shared" si="67"/>
        <v>224209.22437591429</v>
      </c>
      <c r="O171" s="318">
        <f t="shared" si="72"/>
        <v>16.460273972602739</v>
      </c>
      <c r="P171" s="112">
        <f t="shared" si="68"/>
        <v>210712.22437591429</v>
      </c>
      <c r="Q171" s="206">
        <f t="shared" si="69"/>
        <v>12801.258638017431</v>
      </c>
      <c r="R171" s="206">
        <f t="shared" si="70"/>
        <v>211407.96573789685</v>
      </c>
      <c r="S171" s="681"/>
      <c r="T171" s="682"/>
    </row>
    <row r="172" spans="1:20" ht="15">
      <c r="A172" s="394" t="s">
        <v>100</v>
      </c>
      <c r="B172" s="395">
        <v>42632</v>
      </c>
      <c r="C172" s="328">
        <v>146831</v>
      </c>
      <c r="D172" s="319"/>
      <c r="E172" s="319"/>
      <c r="F172" s="319"/>
      <c r="G172" s="112">
        <f t="shared" si="71"/>
        <v>7341.55</v>
      </c>
      <c r="H172" s="319"/>
      <c r="I172" s="319"/>
      <c r="J172" s="319"/>
      <c r="K172" s="319">
        <f t="shared" si="65"/>
        <v>1289</v>
      </c>
      <c r="L172" s="112">
        <f t="shared" si="66"/>
        <v>3.5315068493150683</v>
      </c>
      <c r="M172" s="323">
        <v>24816.966883050769</v>
      </c>
      <c r="N172" s="206">
        <f t="shared" si="67"/>
        <v>122014.03311694923</v>
      </c>
      <c r="O172" s="318">
        <f t="shared" si="72"/>
        <v>16.468493150684932</v>
      </c>
      <c r="P172" s="112">
        <f t="shared" si="68"/>
        <v>114672.48311694922</v>
      </c>
      <c r="Q172" s="206">
        <f t="shared" si="69"/>
        <v>6963.1436262995285</v>
      </c>
      <c r="R172" s="206">
        <f t="shared" si="70"/>
        <v>115050.8894906497</v>
      </c>
      <c r="S172" s="681"/>
      <c r="T172" s="682"/>
    </row>
    <row r="173" spans="1:20" ht="15">
      <c r="A173" s="394" t="s">
        <v>100</v>
      </c>
      <c r="B173" s="395">
        <v>42632</v>
      </c>
      <c r="C173" s="328">
        <v>9407</v>
      </c>
      <c r="D173" s="319"/>
      <c r="E173" s="319"/>
      <c r="F173" s="319"/>
      <c r="G173" s="112">
        <f t="shared" si="71"/>
        <v>470.35</v>
      </c>
      <c r="H173" s="319"/>
      <c r="I173" s="319"/>
      <c r="J173" s="319"/>
      <c r="K173" s="319">
        <f t="shared" si="65"/>
        <v>1289</v>
      </c>
      <c r="L173" s="112">
        <f t="shared" si="66"/>
        <v>3.5315068493150683</v>
      </c>
      <c r="M173" s="323">
        <v>1589.9449535102162</v>
      </c>
      <c r="N173" s="206">
        <f t="shared" si="67"/>
        <v>7817.0550464897842</v>
      </c>
      <c r="O173" s="318">
        <f t="shared" si="72"/>
        <v>16.468493150684932</v>
      </c>
      <c r="P173" s="112">
        <f t="shared" si="68"/>
        <v>7346.7050464897839</v>
      </c>
      <c r="Q173" s="206">
        <f t="shared" si="69"/>
        <v>446.10669472113977</v>
      </c>
      <c r="R173" s="206">
        <f t="shared" si="70"/>
        <v>7370.948351768644</v>
      </c>
      <c r="S173" s="681"/>
      <c r="T173" s="682"/>
    </row>
    <row r="174" spans="1:20" ht="15">
      <c r="A174" s="394" t="s">
        <v>100</v>
      </c>
      <c r="B174" s="395">
        <v>42635</v>
      </c>
      <c r="C174" s="328">
        <v>53394.04</v>
      </c>
      <c r="D174" s="319"/>
      <c r="E174" s="319"/>
      <c r="F174" s="319"/>
      <c r="G174" s="112">
        <f t="shared" si="71"/>
        <v>2669.7020000000002</v>
      </c>
      <c r="H174" s="319"/>
      <c r="I174" s="319"/>
      <c r="J174" s="319"/>
      <c r="K174" s="319">
        <f t="shared" si="65"/>
        <v>1286</v>
      </c>
      <c r="L174" s="112">
        <f t="shared" si="66"/>
        <v>3.5232876712328767</v>
      </c>
      <c r="M174" s="323">
        <v>9003.4921804378992</v>
      </c>
      <c r="N174" s="206">
        <f t="shared" si="67"/>
        <v>44390.547819562104</v>
      </c>
      <c r="O174" s="318">
        <f t="shared" si="72"/>
        <v>16.476712328767125</v>
      </c>
      <c r="P174" s="112">
        <f t="shared" si="68"/>
        <v>41720.845819562106</v>
      </c>
      <c r="Q174" s="206">
        <f t="shared" si="69"/>
        <v>2532.1098643399014</v>
      </c>
      <c r="R174" s="206">
        <f t="shared" si="70"/>
        <v>41858.437955222202</v>
      </c>
      <c r="S174" s="681"/>
      <c r="T174" s="682"/>
    </row>
    <row r="175" spans="1:20" ht="15">
      <c r="A175" s="394" t="s">
        <v>100</v>
      </c>
      <c r="B175" s="395">
        <v>42639</v>
      </c>
      <c r="C175" s="328">
        <v>35276</v>
      </c>
      <c r="D175" s="319"/>
      <c r="E175" s="319"/>
      <c r="F175" s="319"/>
      <c r="G175" s="112">
        <f t="shared" si="71"/>
        <v>1763.8000000000002</v>
      </c>
      <c r="H175" s="319"/>
      <c r="I175" s="319"/>
      <c r="J175" s="319"/>
      <c r="K175" s="319">
        <f t="shared" si="65"/>
        <v>1282</v>
      </c>
      <c r="L175" s="112">
        <f t="shared" si="66"/>
        <v>3.5123287671232877</v>
      </c>
      <c r="M175" s="323">
        <v>5929.8477815692459</v>
      </c>
      <c r="N175" s="206">
        <f t="shared" si="67"/>
        <v>29346.152218430754</v>
      </c>
      <c r="O175" s="318">
        <f t="shared" si="72"/>
        <v>16.487671232876714</v>
      </c>
      <c r="P175" s="112">
        <f t="shared" si="68"/>
        <v>27582.352218430755</v>
      </c>
      <c r="Q175" s="206">
        <f t="shared" si="69"/>
        <v>1672.907703510672</v>
      </c>
      <c r="R175" s="206">
        <f t="shared" si="70"/>
        <v>27673.244514920083</v>
      </c>
      <c r="S175" s="681"/>
      <c r="T175" s="682"/>
    </row>
    <row r="176" spans="1:20" ht="15">
      <c r="A176" s="394" t="s">
        <v>100</v>
      </c>
      <c r="B176" s="395">
        <v>42639</v>
      </c>
      <c r="C176" s="328">
        <v>20706</v>
      </c>
      <c r="D176" s="319"/>
      <c r="E176" s="319"/>
      <c r="F176" s="319"/>
      <c r="G176" s="112">
        <f t="shared" si="71"/>
        <v>1035.3</v>
      </c>
      <c r="H176" s="319"/>
      <c r="I176" s="319"/>
      <c r="J176" s="319"/>
      <c r="K176" s="319">
        <f t="shared" si="65"/>
        <v>1282</v>
      </c>
      <c r="L176" s="112">
        <f t="shared" si="66"/>
        <v>3.5123287671232877</v>
      </c>
      <c r="M176" s="323">
        <v>3480.6505319529656</v>
      </c>
      <c r="N176" s="206">
        <f t="shared" si="67"/>
        <v>17225.349468047036</v>
      </c>
      <c r="O176" s="318">
        <f t="shared" si="72"/>
        <v>16.487671232876714</v>
      </c>
      <c r="P176" s="112">
        <f t="shared" si="68"/>
        <v>16190.049468047036</v>
      </c>
      <c r="Q176" s="206">
        <f t="shared" si="69"/>
        <v>981.94882948440807</v>
      </c>
      <c r="R176" s="206">
        <f t="shared" si="70"/>
        <v>16243.400638562627</v>
      </c>
      <c r="S176" s="681"/>
      <c r="T176" s="682"/>
    </row>
    <row r="177" spans="1:20" ht="15">
      <c r="A177" s="394" t="s">
        <v>100</v>
      </c>
      <c r="B177" s="395">
        <v>42647</v>
      </c>
      <c r="C177" s="328">
        <v>166888.85999999999</v>
      </c>
      <c r="D177" s="319"/>
      <c r="E177" s="319"/>
      <c r="F177" s="319"/>
      <c r="G177" s="112">
        <f t="shared" si="71"/>
        <v>8344.4429999999993</v>
      </c>
      <c r="H177" s="319"/>
      <c r="I177" s="319"/>
      <c r="J177" s="319"/>
      <c r="K177" s="319">
        <f t="shared" si="65"/>
        <v>1274</v>
      </c>
      <c r="L177" s="112">
        <f t="shared" si="66"/>
        <v>3.4904109589041097</v>
      </c>
      <c r="M177" s="323">
        <v>27878.591819420762</v>
      </c>
      <c r="N177" s="206">
        <f t="shared" si="67"/>
        <v>139010.26818057924</v>
      </c>
      <c r="O177" s="318">
        <f t="shared" si="72"/>
        <v>16.509589041095889</v>
      </c>
      <c r="P177" s="112">
        <f t="shared" si="68"/>
        <v>130665.82518057924</v>
      </c>
      <c r="Q177" s="206">
        <f t="shared" si="69"/>
        <v>7914.5413526238672</v>
      </c>
      <c r="R177" s="206">
        <f t="shared" si="70"/>
        <v>131095.72682795537</v>
      </c>
      <c r="S177" s="681"/>
      <c r="T177" s="682"/>
    </row>
    <row r="178" spans="1:20" ht="15">
      <c r="A178" s="394" t="s">
        <v>100</v>
      </c>
      <c r="B178" s="395">
        <v>42647</v>
      </c>
      <c r="C178" s="328">
        <v>61811.51</v>
      </c>
      <c r="D178" s="319"/>
      <c r="E178" s="319"/>
      <c r="F178" s="319"/>
      <c r="G178" s="112">
        <f t="shared" si="71"/>
        <v>3090.5755000000004</v>
      </c>
      <c r="H178" s="319"/>
      <c r="I178" s="319"/>
      <c r="J178" s="319"/>
      <c r="K178" s="319">
        <f t="shared" si="65"/>
        <v>1274</v>
      </c>
      <c r="L178" s="112">
        <f t="shared" si="66"/>
        <v>3.4904109589041097</v>
      </c>
      <c r="M178" s="323">
        <v>10325.541543228497</v>
      </c>
      <c r="N178" s="206">
        <f t="shared" si="67"/>
        <v>51485.968456771501</v>
      </c>
      <c r="O178" s="318">
        <f t="shared" si="72"/>
        <v>16.509589041095889</v>
      </c>
      <c r="P178" s="112">
        <f t="shared" si="68"/>
        <v>48395.392956771502</v>
      </c>
      <c r="Q178" s="206">
        <f t="shared" si="69"/>
        <v>2931.3505524762031</v>
      </c>
      <c r="R178" s="206">
        <f t="shared" si="70"/>
        <v>48554.617904295301</v>
      </c>
      <c r="S178" s="681"/>
      <c r="T178" s="682"/>
    </row>
    <row r="179" spans="1:20" ht="15">
      <c r="A179" s="394" t="s">
        <v>100</v>
      </c>
      <c r="B179" s="395">
        <v>42648</v>
      </c>
      <c r="C179" s="328">
        <v>206443</v>
      </c>
      <c r="D179" s="319"/>
      <c r="E179" s="319"/>
      <c r="F179" s="319"/>
      <c r="G179" s="112">
        <f t="shared" si="71"/>
        <v>10322.150000000001</v>
      </c>
      <c r="H179" s="319"/>
      <c r="I179" s="319"/>
      <c r="J179" s="319"/>
      <c r="K179" s="319">
        <f t="shared" si="65"/>
        <v>1273</v>
      </c>
      <c r="L179" s="112">
        <f t="shared" si="66"/>
        <v>3.4876712328767123</v>
      </c>
      <c r="M179" s="323">
        <v>34458.974953872748</v>
      </c>
      <c r="N179" s="206">
        <f t="shared" si="67"/>
        <v>171984.02504612727</v>
      </c>
      <c r="O179" s="318">
        <f t="shared" si="72"/>
        <v>16.512328767123286</v>
      </c>
      <c r="P179" s="112">
        <f t="shared" si="68"/>
        <v>161661.87504612727</v>
      </c>
      <c r="Q179" s="206">
        <f t="shared" si="69"/>
        <v>9790.3740487533541</v>
      </c>
      <c r="R179" s="206">
        <f t="shared" si="70"/>
        <v>162193.65099737392</v>
      </c>
      <c r="S179" s="681"/>
      <c r="T179" s="682"/>
    </row>
    <row r="180" spans="1:20" ht="15">
      <c r="A180" s="394" t="s">
        <v>100</v>
      </c>
      <c r="B180" s="395">
        <v>42648</v>
      </c>
      <c r="C180" s="328">
        <v>61146</v>
      </c>
      <c r="D180" s="319"/>
      <c r="E180" s="319"/>
      <c r="F180" s="319"/>
      <c r="G180" s="112">
        <f t="shared" si="71"/>
        <v>3057.3</v>
      </c>
      <c r="H180" s="319"/>
      <c r="I180" s="319"/>
      <c r="J180" s="319"/>
      <c r="K180" s="319">
        <f t="shared" si="65"/>
        <v>1273</v>
      </c>
      <c r="L180" s="112">
        <f t="shared" si="66"/>
        <v>3.4876712328767123</v>
      </c>
      <c r="M180" s="323">
        <v>10206.345008208089</v>
      </c>
      <c r="N180" s="206">
        <f t="shared" si="67"/>
        <v>50939.654991791911</v>
      </c>
      <c r="O180" s="318">
        <f t="shared" si="72"/>
        <v>16.512328767123286</v>
      </c>
      <c r="P180" s="112">
        <f t="shared" si="68"/>
        <v>47882.354991791908</v>
      </c>
      <c r="Q180" s="206">
        <f t="shared" si="69"/>
        <v>2899.7941881539818</v>
      </c>
      <c r="R180" s="206">
        <f t="shared" si="70"/>
        <v>48039.86080363793</v>
      </c>
      <c r="S180" s="681"/>
      <c r="T180" s="682"/>
    </row>
    <row r="181" spans="1:20" ht="15">
      <c r="A181" s="394" t="s">
        <v>100</v>
      </c>
      <c r="B181" s="395">
        <v>42648</v>
      </c>
      <c r="C181" s="328">
        <v>20072.259999999998</v>
      </c>
      <c r="D181" s="319"/>
      <c r="E181" s="319"/>
      <c r="F181" s="319"/>
      <c r="G181" s="112">
        <f t="shared" si="71"/>
        <v>1003.6129999999999</v>
      </c>
      <c r="H181" s="319"/>
      <c r="I181" s="319"/>
      <c r="J181" s="319"/>
      <c r="K181" s="319">
        <f t="shared" si="65"/>
        <v>1273</v>
      </c>
      <c r="L181" s="112">
        <f t="shared" si="66"/>
        <v>3.4876712328767123</v>
      </c>
      <c r="M181" s="323">
        <v>3350.4139380246443</v>
      </c>
      <c r="N181" s="206">
        <f t="shared" si="67"/>
        <v>16721.846061975353</v>
      </c>
      <c r="O181" s="318">
        <f t="shared" si="72"/>
        <v>16.512328767123286</v>
      </c>
      <c r="P181" s="112">
        <f t="shared" si="68"/>
        <v>15718.233061975354</v>
      </c>
      <c r="Q181" s="206">
        <f t="shared" si="69"/>
        <v>951.90892112510448</v>
      </c>
      <c r="R181" s="206">
        <f t="shared" si="70"/>
        <v>15769.937140850248</v>
      </c>
      <c r="S181" s="681"/>
      <c r="T181" s="682"/>
    </row>
    <row r="182" spans="1:20" ht="15">
      <c r="A182" s="394" t="s">
        <v>100</v>
      </c>
      <c r="B182" s="395">
        <v>42650</v>
      </c>
      <c r="C182" s="328">
        <v>71297</v>
      </c>
      <c r="D182" s="319"/>
      <c r="E182" s="319"/>
      <c r="F182" s="319"/>
      <c r="G182" s="112">
        <f t="shared" si="71"/>
        <v>3564.8500000000004</v>
      </c>
      <c r="H182" s="319"/>
      <c r="I182" s="319"/>
      <c r="J182" s="319"/>
      <c r="K182" s="319">
        <f t="shared" si="65"/>
        <v>1271</v>
      </c>
      <c r="L182" s="112">
        <f t="shared" si="66"/>
        <v>3.4821917808219176</v>
      </c>
      <c r="M182" s="323">
        <v>11882.013971608852</v>
      </c>
      <c r="N182" s="206">
        <f t="shared" si="67"/>
        <v>59414.986028391148</v>
      </c>
      <c r="O182" s="318">
        <f t="shared" si="72"/>
        <v>16.517808219178082</v>
      </c>
      <c r="P182" s="112">
        <f t="shared" si="68"/>
        <v>55850.136028391149</v>
      </c>
      <c r="Q182" s="206">
        <f t="shared" si="69"/>
        <v>3381.2074391047886</v>
      </c>
      <c r="R182" s="206">
        <f t="shared" si="70"/>
        <v>56033.778589286361</v>
      </c>
      <c r="S182" s="681"/>
      <c r="T182" s="682"/>
    </row>
    <row r="183" spans="1:20" ht="15">
      <c r="A183" s="394" t="s">
        <v>100</v>
      </c>
      <c r="B183" s="395">
        <v>42662</v>
      </c>
      <c r="C183" s="328">
        <v>30163.33</v>
      </c>
      <c r="D183" s="319"/>
      <c r="E183" s="319"/>
      <c r="F183" s="319"/>
      <c r="G183" s="112">
        <f t="shared" si="71"/>
        <v>1508.1665000000003</v>
      </c>
      <c r="H183" s="319"/>
      <c r="I183" s="319"/>
      <c r="J183" s="319"/>
      <c r="K183" s="319">
        <f t="shared" si="65"/>
        <v>1259</v>
      </c>
      <c r="L183" s="112">
        <f t="shared" si="66"/>
        <v>3.4493150684931506</v>
      </c>
      <c r="M183" s="323">
        <v>4979.3769909450812</v>
      </c>
      <c r="N183" s="206">
        <f t="shared" si="67"/>
        <v>25183.95300905492</v>
      </c>
      <c r="O183" s="318">
        <f t="shared" si="72"/>
        <v>16.550684931506851</v>
      </c>
      <c r="P183" s="112">
        <f t="shared" si="68"/>
        <v>23675.78650905492</v>
      </c>
      <c r="Q183" s="206">
        <f t="shared" si="69"/>
        <v>1430.5019162067613</v>
      </c>
      <c r="R183" s="206">
        <f t="shared" si="70"/>
        <v>23753.451092848158</v>
      </c>
      <c r="S183" s="681"/>
      <c r="T183" s="682"/>
    </row>
    <row r="184" spans="1:20" ht="15">
      <c r="A184" s="394" t="s">
        <v>100</v>
      </c>
      <c r="B184" s="395">
        <v>42670</v>
      </c>
      <c r="C184" s="328">
        <v>175308</v>
      </c>
      <c r="D184" s="319"/>
      <c r="E184" s="319"/>
      <c r="F184" s="319"/>
      <c r="G184" s="112">
        <f t="shared" si="71"/>
        <v>8765.4</v>
      </c>
      <c r="H184" s="319"/>
      <c r="I184" s="319"/>
      <c r="J184" s="319"/>
      <c r="K184" s="319">
        <f t="shared" si="65"/>
        <v>1251</v>
      </c>
      <c r="L184" s="112">
        <f t="shared" si="66"/>
        <v>3.4273972602739726</v>
      </c>
      <c r="M184" s="323">
        <v>28755.891062643754</v>
      </c>
      <c r="N184" s="206">
        <f t="shared" si="67"/>
        <v>146552.10893735624</v>
      </c>
      <c r="O184" s="318">
        <f t="shared" si="72"/>
        <v>16.572602739726026</v>
      </c>
      <c r="P184" s="112">
        <f t="shared" si="68"/>
        <v>137786.70893735625</v>
      </c>
      <c r="Q184" s="206">
        <f t="shared" si="69"/>
        <v>8314.1260972284726</v>
      </c>
      <c r="R184" s="206">
        <f t="shared" si="70"/>
        <v>138237.98284012778</v>
      </c>
      <c r="S184" s="681"/>
      <c r="T184" s="682"/>
    </row>
    <row r="185" spans="1:20" ht="15">
      <c r="A185" s="394" t="s">
        <v>100</v>
      </c>
      <c r="B185" s="395">
        <v>42670</v>
      </c>
      <c r="C185" s="328">
        <v>70553</v>
      </c>
      <c r="D185" s="319"/>
      <c r="E185" s="319"/>
      <c r="F185" s="319"/>
      <c r="G185" s="112">
        <f t="shared" si="71"/>
        <v>3527.65</v>
      </c>
      <c r="H185" s="319"/>
      <c r="I185" s="319"/>
      <c r="J185" s="319"/>
      <c r="K185" s="319">
        <f t="shared" si="65"/>
        <v>1251</v>
      </c>
      <c r="L185" s="112">
        <f t="shared" si="66"/>
        <v>3.4273972602739726</v>
      </c>
      <c r="M185" s="323">
        <v>11572.856812824884</v>
      </c>
      <c r="N185" s="206">
        <f t="shared" si="67"/>
        <v>58980.143187175112</v>
      </c>
      <c r="O185" s="318">
        <f t="shared" si="72"/>
        <v>16.572602739726026</v>
      </c>
      <c r="P185" s="112">
        <f t="shared" si="68"/>
        <v>55452.493187175111</v>
      </c>
      <c r="Q185" s="206">
        <f t="shared" si="69"/>
        <v>3346.0340574175762</v>
      </c>
      <c r="R185" s="206">
        <f t="shared" si="70"/>
        <v>55634.109129757533</v>
      </c>
      <c r="S185" s="681"/>
      <c r="T185" s="682"/>
    </row>
    <row r="186" spans="1:20" ht="15">
      <c r="A186" s="394" t="s">
        <v>100</v>
      </c>
      <c r="B186" s="395">
        <v>42679</v>
      </c>
      <c r="C186" s="328">
        <v>241105.51</v>
      </c>
      <c r="D186" s="319"/>
      <c r="E186" s="319"/>
      <c r="F186" s="319"/>
      <c r="G186" s="112">
        <f t="shared" si="71"/>
        <v>12055.275500000002</v>
      </c>
      <c r="H186" s="319"/>
      <c r="I186" s="319"/>
      <c r="J186" s="319"/>
      <c r="K186" s="319">
        <f t="shared" si="65"/>
        <v>1242</v>
      </c>
      <c r="L186" s="112">
        <f t="shared" si="66"/>
        <v>3.4027397260273973</v>
      </c>
      <c r="M186" s="323">
        <v>39263.950948878482</v>
      </c>
      <c r="N186" s="206">
        <f t="shared" si="67"/>
        <v>201841.55905112153</v>
      </c>
      <c r="O186" s="318">
        <f t="shared" si="72"/>
        <v>16.597260273972601</v>
      </c>
      <c r="P186" s="112">
        <f t="shared" si="68"/>
        <v>189786.28355112154</v>
      </c>
      <c r="Q186" s="206">
        <f t="shared" si="69"/>
        <v>11434.795889098608</v>
      </c>
      <c r="R186" s="206">
        <f t="shared" si="70"/>
        <v>190406.76316202292</v>
      </c>
      <c r="S186" s="681"/>
      <c r="T186" s="682"/>
    </row>
    <row r="187" spans="1:20" ht="15">
      <c r="A187" s="394" t="s">
        <v>100</v>
      </c>
      <c r="B187" s="395">
        <v>42679</v>
      </c>
      <c r="C187" s="328">
        <v>269940</v>
      </c>
      <c r="D187" s="319"/>
      <c r="E187" s="319"/>
      <c r="F187" s="319"/>
      <c r="G187" s="112">
        <f t="shared" si="71"/>
        <v>13497</v>
      </c>
      <c r="H187" s="319"/>
      <c r="I187" s="319"/>
      <c r="J187" s="319"/>
      <c r="K187" s="319">
        <f t="shared" si="65"/>
        <v>1242</v>
      </c>
      <c r="L187" s="112">
        <f t="shared" si="66"/>
        <v>3.4027397260273973</v>
      </c>
      <c r="M187" s="323">
        <v>43959.637915949155</v>
      </c>
      <c r="N187" s="206">
        <f t="shared" si="67"/>
        <v>225980.36208405084</v>
      </c>
      <c r="O187" s="318">
        <f t="shared" si="72"/>
        <v>16.597260273972601</v>
      </c>
      <c r="P187" s="112">
        <f t="shared" si="68"/>
        <v>212483.36208405084</v>
      </c>
      <c r="Q187" s="206">
        <f t="shared" si="69"/>
        <v>12802.315477167145</v>
      </c>
      <c r="R187" s="206">
        <f t="shared" si="70"/>
        <v>213178.0466068837</v>
      </c>
      <c r="S187" s="681"/>
      <c r="T187" s="682"/>
    </row>
    <row r="188" spans="1:20" ht="15">
      <c r="A188" s="394" t="s">
        <v>100</v>
      </c>
      <c r="B188" s="395">
        <v>42689</v>
      </c>
      <c r="C188" s="328">
        <v>41514</v>
      </c>
      <c r="D188" s="319"/>
      <c r="E188" s="319"/>
      <c r="F188" s="319"/>
      <c r="G188" s="112">
        <f t="shared" si="71"/>
        <v>2075.7000000000003</v>
      </c>
      <c r="H188" s="319"/>
      <c r="I188" s="319"/>
      <c r="J188" s="319"/>
      <c r="K188" s="319">
        <f t="shared" si="65"/>
        <v>1232</v>
      </c>
      <c r="L188" s="112">
        <f t="shared" si="66"/>
        <v>3.3753424657534246</v>
      </c>
      <c r="M188" s="323">
        <v>6706.0643338504742</v>
      </c>
      <c r="N188" s="206">
        <f t="shared" si="67"/>
        <v>34807.935666149526</v>
      </c>
      <c r="O188" s="318">
        <f t="shared" si="72"/>
        <v>16.624657534246577</v>
      </c>
      <c r="P188" s="112">
        <f t="shared" si="68"/>
        <v>32732.235666149525</v>
      </c>
      <c r="Q188" s="206">
        <f t="shared" si="69"/>
        <v>1968.8968388504575</v>
      </c>
      <c r="R188" s="206">
        <f t="shared" si="70"/>
        <v>32839.038827299068</v>
      </c>
      <c r="S188" s="681"/>
      <c r="T188" s="682"/>
    </row>
    <row r="189" spans="1:20" ht="15">
      <c r="A189" s="394" t="s">
        <v>100</v>
      </c>
      <c r="B189" s="395">
        <v>42689</v>
      </c>
      <c r="C189" s="328">
        <v>70553</v>
      </c>
      <c r="D189" s="319"/>
      <c r="E189" s="319"/>
      <c r="F189" s="319"/>
      <c r="G189" s="112">
        <f t="shared" si="71"/>
        <v>3527.65</v>
      </c>
      <c r="H189" s="319"/>
      <c r="I189" s="319"/>
      <c r="J189" s="319"/>
      <c r="K189" s="319">
        <f t="shared" si="65"/>
        <v>1232</v>
      </c>
      <c r="L189" s="112">
        <f t="shared" si="66"/>
        <v>3.3753424657534246</v>
      </c>
      <c r="M189" s="323">
        <v>11396.949389269947</v>
      </c>
      <c r="N189" s="206">
        <f t="shared" si="67"/>
        <v>59156.050610730053</v>
      </c>
      <c r="O189" s="318">
        <f t="shared" si="72"/>
        <v>16.624657534246577</v>
      </c>
      <c r="P189" s="112">
        <f t="shared" si="68"/>
        <v>55628.400610730052</v>
      </c>
      <c r="Q189" s="206">
        <f t="shared" si="69"/>
        <v>3346.1381382525492</v>
      </c>
      <c r="R189" s="206">
        <f t="shared" si="70"/>
        <v>55809.912472477503</v>
      </c>
      <c r="S189" s="681"/>
      <c r="T189" s="682"/>
    </row>
    <row r="190" spans="1:20" ht="15">
      <c r="A190" s="394" t="s">
        <v>100</v>
      </c>
      <c r="B190" s="395">
        <v>42689</v>
      </c>
      <c r="C190" s="328">
        <v>196064</v>
      </c>
      <c r="D190" s="319"/>
      <c r="E190" s="319"/>
      <c r="F190" s="319"/>
      <c r="G190" s="112">
        <f t="shared" si="71"/>
        <v>9803.2000000000007</v>
      </c>
      <c r="H190" s="319"/>
      <c r="I190" s="319"/>
      <c r="J190" s="319"/>
      <c r="K190" s="319">
        <f t="shared" si="65"/>
        <v>1232</v>
      </c>
      <c r="L190" s="112">
        <f t="shared" si="66"/>
        <v>3.3753424657534246</v>
      </c>
      <c r="M190" s="323">
        <v>31671.672147999696</v>
      </c>
      <c r="N190" s="206">
        <f t="shared" si="67"/>
        <v>164392.32785200031</v>
      </c>
      <c r="O190" s="318">
        <f t="shared" si="72"/>
        <v>16.624657534246577</v>
      </c>
      <c r="P190" s="112">
        <f t="shared" si="68"/>
        <v>154589.1278520003</v>
      </c>
      <c r="Q190" s="206">
        <f t="shared" si="69"/>
        <v>9298.7857063250012</v>
      </c>
      <c r="R190" s="206">
        <f t="shared" si="70"/>
        <v>155093.54214567531</v>
      </c>
      <c r="S190" s="681"/>
      <c r="T190" s="682"/>
    </row>
    <row r="191" spans="1:20" ht="15">
      <c r="A191" s="394" t="s">
        <v>100</v>
      </c>
      <c r="B191" s="395">
        <v>42691</v>
      </c>
      <c r="C191" s="328">
        <v>134672</v>
      </c>
      <c r="D191" s="319"/>
      <c r="E191" s="319"/>
      <c r="F191" s="319"/>
      <c r="G191" s="112">
        <f t="shared" si="71"/>
        <v>6733.6</v>
      </c>
      <c r="H191" s="319"/>
      <c r="I191" s="319"/>
      <c r="J191" s="319"/>
      <c r="K191" s="319">
        <f t="shared" si="65"/>
        <v>1230</v>
      </c>
      <c r="L191" s="112">
        <f t="shared" si="66"/>
        <v>3.3698630136986303</v>
      </c>
      <c r="M191" s="323">
        <v>21719.22249252969</v>
      </c>
      <c r="N191" s="206">
        <f t="shared" si="67"/>
        <v>112952.77750747031</v>
      </c>
      <c r="O191" s="318">
        <f t="shared" si="72"/>
        <v>16.63013698630137</v>
      </c>
      <c r="P191" s="112">
        <f t="shared" si="68"/>
        <v>106219.1775074703</v>
      </c>
      <c r="Q191" s="206">
        <f t="shared" si="69"/>
        <v>6387.1498830686423</v>
      </c>
      <c r="R191" s="206">
        <f t="shared" si="70"/>
        <v>106565.62762440166</v>
      </c>
      <c r="S191" s="681"/>
      <c r="T191" s="682"/>
    </row>
    <row r="192" spans="1:20" ht="15">
      <c r="A192" s="394" t="s">
        <v>100</v>
      </c>
      <c r="B192" s="395">
        <v>42709</v>
      </c>
      <c r="C192" s="328">
        <v>228324</v>
      </c>
      <c r="D192" s="319"/>
      <c r="E192" s="319"/>
      <c r="F192" s="319"/>
      <c r="G192" s="112">
        <f t="shared" si="71"/>
        <v>11416.2</v>
      </c>
      <c r="H192" s="319"/>
      <c r="I192" s="319"/>
      <c r="J192" s="319"/>
      <c r="K192" s="319">
        <f t="shared" si="65"/>
        <v>1212</v>
      </c>
      <c r="L192" s="112">
        <f t="shared" si="66"/>
        <v>3.3205479452054796</v>
      </c>
      <c r="M192" s="323">
        <v>36283.634955462818</v>
      </c>
      <c r="N192" s="206">
        <f t="shared" si="67"/>
        <v>192040.36504453717</v>
      </c>
      <c r="O192" s="318">
        <f t="shared" si="72"/>
        <v>16.67945205479452</v>
      </c>
      <c r="P192" s="112">
        <f t="shared" si="68"/>
        <v>180624.16504453716</v>
      </c>
      <c r="Q192" s="206">
        <f t="shared" si="69"/>
        <v>10829.142615186607</v>
      </c>
      <c r="R192" s="206">
        <f t="shared" si="70"/>
        <v>181211.22242935057</v>
      </c>
      <c r="S192" s="681"/>
      <c r="T192" s="682"/>
    </row>
    <row r="193" spans="1:20" ht="15">
      <c r="A193" s="394" t="s">
        <v>100</v>
      </c>
      <c r="B193" s="395">
        <v>42709</v>
      </c>
      <c r="C193" s="328">
        <v>23518</v>
      </c>
      <c r="D193" s="319"/>
      <c r="E193" s="319"/>
      <c r="F193" s="319"/>
      <c r="G193" s="112">
        <f t="shared" si="71"/>
        <v>1175.9000000000001</v>
      </c>
      <c r="H193" s="319"/>
      <c r="I193" s="319"/>
      <c r="J193" s="319"/>
      <c r="K193" s="319">
        <f t="shared" si="65"/>
        <v>1212</v>
      </c>
      <c r="L193" s="112">
        <f t="shared" si="66"/>
        <v>3.3205479452054796</v>
      </c>
      <c r="M193" s="323">
        <v>3737.3141977303071</v>
      </c>
      <c r="N193" s="206">
        <f t="shared" si="67"/>
        <v>19780.685802269694</v>
      </c>
      <c r="O193" s="318">
        <f t="shared" si="72"/>
        <v>16.67945205479452</v>
      </c>
      <c r="P193" s="112">
        <f t="shared" si="68"/>
        <v>18604.785802269693</v>
      </c>
      <c r="Q193" s="206">
        <f t="shared" si="69"/>
        <v>1115.4314746761561</v>
      </c>
      <c r="R193" s="206">
        <f t="shared" si="70"/>
        <v>18665.254327593539</v>
      </c>
      <c r="S193" s="681"/>
      <c r="T193" s="682"/>
    </row>
    <row r="194" spans="1:20" ht="15">
      <c r="A194" s="394" t="s">
        <v>100</v>
      </c>
      <c r="B194" s="395">
        <v>42718</v>
      </c>
      <c r="C194" s="328">
        <v>30163.360000000001</v>
      </c>
      <c r="D194" s="319"/>
      <c r="E194" s="319"/>
      <c r="F194" s="319"/>
      <c r="G194" s="112">
        <f t="shared" si="71"/>
        <v>1508.1680000000001</v>
      </c>
      <c r="H194" s="319"/>
      <c r="I194" s="319"/>
      <c r="J194" s="319"/>
      <c r="K194" s="319">
        <f t="shared" si="65"/>
        <v>1203</v>
      </c>
      <c r="L194" s="112">
        <f t="shared" si="66"/>
        <v>3.2958904109589042</v>
      </c>
      <c r="M194" s="323">
        <v>4757.7242415883093</v>
      </c>
      <c r="N194" s="206">
        <f t="shared" si="67"/>
        <v>25405.635758411692</v>
      </c>
      <c r="O194" s="318">
        <f t="shared" si="72"/>
        <v>16.704109589041096</v>
      </c>
      <c r="P194" s="112">
        <f t="shared" si="68"/>
        <v>23897.467758411691</v>
      </c>
      <c r="Q194" s="206">
        <f t="shared" si="69"/>
        <v>1430.6340383500519</v>
      </c>
      <c r="R194" s="206">
        <f t="shared" si="70"/>
        <v>23975.001720061642</v>
      </c>
      <c r="S194" s="681"/>
      <c r="T194" s="682"/>
    </row>
    <row r="195" spans="1:20" ht="15">
      <c r="A195" s="394" t="s">
        <v>100</v>
      </c>
      <c r="B195" s="395">
        <v>42723</v>
      </c>
      <c r="C195" s="328">
        <v>61849.06</v>
      </c>
      <c r="D195" s="319"/>
      <c r="E195" s="319"/>
      <c r="F195" s="319"/>
      <c r="G195" s="112">
        <f t="shared" si="71"/>
        <v>3092.453</v>
      </c>
      <c r="H195" s="319"/>
      <c r="I195" s="319"/>
      <c r="J195" s="319"/>
      <c r="K195" s="319">
        <f t="shared" si="65"/>
        <v>1198</v>
      </c>
      <c r="L195" s="112">
        <f t="shared" si="66"/>
        <v>3.2821917808219179</v>
      </c>
      <c r="M195" s="323">
        <v>9714.9894974752551</v>
      </c>
      <c r="N195" s="206">
        <f t="shared" si="67"/>
        <v>52134.070502524744</v>
      </c>
      <c r="O195" s="318">
        <f t="shared" si="72"/>
        <v>16.717808219178082</v>
      </c>
      <c r="P195" s="112">
        <f t="shared" si="68"/>
        <v>49041.617502524743</v>
      </c>
      <c r="Q195" s="206">
        <f t="shared" si="69"/>
        <v>2933.4956388760293</v>
      </c>
      <c r="R195" s="206">
        <f t="shared" si="70"/>
        <v>49200.574863648711</v>
      </c>
      <c r="S195" s="681"/>
      <c r="T195" s="682"/>
    </row>
    <row r="196" spans="1:20" ht="15">
      <c r="A196" s="394" t="s">
        <v>100</v>
      </c>
      <c r="B196" s="395">
        <v>42727</v>
      </c>
      <c r="C196" s="328">
        <v>269940</v>
      </c>
      <c r="D196" s="319"/>
      <c r="E196" s="319"/>
      <c r="F196" s="319"/>
      <c r="G196" s="112">
        <f t="shared" si="71"/>
        <v>13497</v>
      </c>
      <c r="H196" s="319"/>
      <c r="I196" s="319"/>
      <c r="J196" s="319"/>
      <c r="K196" s="319">
        <f t="shared" si="65"/>
        <v>1194</v>
      </c>
      <c r="L196" s="112">
        <f t="shared" si="66"/>
        <v>3.2712328767123289</v>
      </c>
      <c r="M196" s="323">
        <v>42259.345716138072</v>
      </c>
      <c r="N196" s="206">
        <f t="shared" si="67"/>
        <v>227680.65428386192</v>
      </c>
      <c r="O196" s="318">
        <f t="shared" si="72"/>
        <v>16.728767123287671</v>
      </c>
      <c r="P196" s="112">
        <f t="shared" si="68"/>
        <v>214183.65428386192</v>
      </c>
      <c r="Q196" s="206">
        <f t="shared" si="69"/>
        <v>12803.313759189257</v>
      </c>
      <c r="R196" s="206">
        <f t="shared" si="70"/>
        <v>214877.34052467268</v>
      </c>
      <c r="S196" s="681"/>
      <c r="T196" s="682"/>
    </row>
    <row r="197" spans="1:20" ht="15">
      <c r="A197" s="394" t="s">
        <v>100</v>
      </c>
      <c r="B197" s="395">
        <v>42727</v>
      </c>
      <c r="C197" s="328">
        <v>241105.52</v>
      </c>
      <c r="D197" s="319"/>
      <c r="E197" s="319"/>
      <c r="F197" s="319"/>
      <c r="G197" s="112">
        <f t="shared" si="71"/>
        <v>12055.276</v>
      </c>
      <c r="H197" s="319"/>
      <c r="I197" s="319"/>
      <c r="J197" s="319"/>
      <c r="K197" s="319">
        <f t="shared" si="65"/>
        <v>1194</v>
      </c>
      <c r="L197" s="112">
        <f t="shared" si="66"/>
        <v>3.2712328767123289</v>
      </c>
      <c r="M197" s="323">
        <v>37745.282372931913</v>
      </c>
      <c r="N197" s="206">
        <f t="shared" si="67"/>
        <v>203360.23762706807</v>
      </c>
      <c r="O197" s="318">
        <f t="shared" si="72"/>
        <v>16.728767123287671</v>
      </c>
      <c r="P197" s="112">
        <f t="shared" si="68"/>
        <v>191304.96162706806</v>
      </c>
      <c r="Q197" s="206">
        <f t="shared" si="69"/>
        <v>11435.688010789361</v>
      </c>
      <c r="R197" s="206">
        <f t="shared" si="70"/>
        <v>191924.5496162787</v>
      </c>
      <c r="S197" s="681"/>
      <c r="T197" s="682"/>
    </row>
    <row r="198" spans="1:20" ht="15">
      <c r="A198" s="394" t="s">
        <v>100</v>
      </c>
      <c r="B198" s="395">
        <v>42727</v>
      </c>
      <c r="C198" s="328">
        <v>126943</v>
      </c>
      <c r="D198" s="319"/>
      <c r="E198" s="319"/>
      <c r="F198" s="319"/>
      <c r="G198" s="112">
        <f t="shared" si="71"/>
        <v>6347.1500000000005</v>
      </c>
      <c r="H198" s="319"/>
      <c r="I198" s="319"/>
      <c r="J198" s="319"/>
      <c r="K198" s="319">
        <f t="shared" si="65"/>
        <v>1194</v>
      </c>
      <c r="L198" s="112">
        <f t="shared" si="66"/>
        <v>3.2712328767123289</v>
      </c>
      <c r="M198" s="323">
        <v>19873.038909549214</v>
      </c>
      <c r="N198" s="206">
        <f t="shared" si="67"/>
        <v>107069.96109045079</v>
      </c>
      <c r="O198" s="318">
        <f t="shared" si="72"/>
        <v>16.728767123287671</v>
      </c>
      <c r="P198" s="112">
        <f t="shared" si="68"/>
        <v>100722.81109045079</v>
      </c>
      <c r="Q198" s="206">
        <f t="shared" si="69"/>
        <v>6020.9344985284215</v>
      </c>
      <c r="R198" s="206">
        <f t="shared" si="70"/>
        <v>101049.02659192236</v>
      </c>
      <c r="S198" s="681"/>
      <c r="T198" s="682"/>
    </row>
    <row r="199" spans="1:20" ht="15">
      <c r="A199" s="394" t="s">
        <v>100</v>
      </c>
      <c r="B199" s="395">
        <v>42727</v>
      </c>
      <c r="C199" s="328">
        <v>70553</v>
      </c>
      <c r="D199" s="319"/>
      <c r="E199" s="319"/>
      <c r="F199" s="319"/>
      <c r="G199" s="112">
        <f t="shared" si="71"/>
        <v>3527.65</v>
      </c>
      <c r="H199" s="319"/>
      <c r="I199" s="319"/>
      <c r="J199" s="319"/>
      <c r="K199" s="319">
        <f t="shared" si="65"/>
        <v>1194</v>
      </c>
      <c r="L199" s="112">
        <f t="shared" si="66"/>
        <v>3.2712328767123289</v>
      </c>
      <c r="M199" s="323">
        <v>11045.134542160071</v>
      </c>
      <c r="N199" s="206">
        <f t="shared" si="67"/>
        <v>59507.865457839929</v>
      </c>
      <c r="O199" s="318">
        <f t="shared" si="72"/>
        <v>16.728767123287671</v>
      </c>
      <c r="P199" s="112">
        <f t="shared" si="68"/>
        <v>55980.215457839928</v>
      </c>
      <c r="Q199" s="206">
        <f t="shared" si="69"/>
        <v>3346.3443567166023</v>
      </c>
      <c r="R199" s="206">
        <f t="shared" si="70"/>
        <v>56161.521101123326</v>
      </c>
      <c r="S199" s="681"/>
      <c r="T199" s="682"/>
    </row>
    <row r="200" spans="1:20" ht="15">
      <c r="A200" s="394" t="s">
        <v>100</v>
      </c>
      <c r="B200" s="395">
        <v>42727</v>
      </c>
      <c r="C200" s="328">
        <v>27608</v>
      </c>
      <c r="D200" s="319"/>
      <c r="E200" s="319"/>
      <c r="F200" s="319"/>
      <c r="G200" s="112">
        <f t="shared" si="71"/>
        <v>1380.4</v>
      </c>
      <c r="H200" s="319"/>
      <c r="I200" s="319"/>
      <c r="J200" s="319"/>
      <c r="K200" s="319">
        <f t="shared" si="65"/>
        <v>1194</v>
      </c>
      <c r="L200" s="112">
        <f t="shared" si="66"/>
        <v>3.2712328767123289</v>
      </c>
      <c r="M200" s="323">
        <v>4322.05681459265</v>
      </c>
      <c r="N200" s="206">
        <f t="shared" si="67"/>
        <v>23285.943185407348</v>
      </c>
      <c r="O200" s="318">
        <f t="shared" si="72"/>
        <v>16.728767123287671</v>
      </c>
      <c r="P200" s="112">
        <f t="shared" si="68"/>
        <v>21905.543185407347</v>
      </c>
      <c r="Q200" s="206">
        <f t="shared" si="69"/>
        <v>1309.4535313910385</v>
      </c>
      <c r="R200" s="206">
        <f t="shared" si="70"/>
        <v>21976.48965401631</v>
      </c>
      <c r="S200" s="681"/>
      <c r="T200" s="682"/>
    </row>
    <row r="201" spans="1:20" ht="15">
      <c r="A201" s="394" t="s">
        <v>100</v>
      </c>
      <c r="B201" s="395">
        <v>42728</v>
      </c>
      <c r="C201" s="328">
        <v>112731</v>
      </c>
      <c r="D201" s="319"/>
      <c r="E201" s="319"/>
      <c r="F201" s="319"/>
      <c r="G201" s="112">
        <f t="shared" si="71"/>
        <v>5636.55</v>
      </c>
      <c r="H201" s="319"/>
      <c r="I201" s="319"/>
      <c r="J201" s="319"/>
      <c r="K201" s="319">
        <f t="shared" si="65"/>
        <v>1193</v>
      </c>
      <c r="L201" s="112">
        <f t="shared" si="66"/>
        <v>3.2684931506849315</v>
      </c>
      <c r="M201" s="323">
        <v>17633.344667060985</v>
      </c>
      <c r="N201" s="206">
        <f t="shared" si="67"/>
        <v>95097.655332939015</v>
      </c>
      <c r="O201" s="318">
        <f t="shared" si="72"/>
        <v>16.731506849315068</v>
      </c>
      <c r="P201" s="112">
        <f t="shared" si="68"/>
        <v>89461.105332939012</v>
      </c>
      <c r="Q201" s="206">
        <f t="shared" si="69"/>
        <v>5346.8648184907061</v>
      </c>
      <c r="R201" s="206">
        <f t="shared" si="70"/>
        <v>89750.790514448308</v>
      </c>
      <c r="S201" s="681"/>
      <c r="T201" s="682"/>
    </row>
    <row r="202" spans="1:20" ht="15">
      <c r="A202" s="394" t="s">
        <v>100</v>
      </c>
      <c r="B202" s="395">
        <v>42754</v>
      </c>
      <c r="C202" s="328">
        <v>46475</v>
      </c>
      <c r="D202" s="319"/>
      <c r="E202" s="319"/>
      <c r="F202" s="319"/>
      <c r="G202" s="112">
        <f t="shared" si="71"/>
        <v>2323.75</v>
      </c>
      <c r="H202" s="319"/>
      <c r="I202" s="319"/>
      <c r="J202" s="319"/>
      <c r="K202" s="319">
        <f t="shared" si="65"/>
        <v>1167</v>
      </c>
      <c r="L202" s="112">
        <f t="shared" si="66"/>
        <v>3.1972602739726028</v>
      </c>
      <c r="M202" s="323">
        <v>7111.038507317433</v>
      </c>
      <c r="N202" s="206">
        <f t="shared" si="67"/>
        <v>39363.961492682567</v>
      </c>
      <c r="O202" s="318">
        <f t="shared" si="72"/>
        <v>16.802739726027397</v>
      </c>
      <c r="P202" s="112">
        <f t="shared" si="68"/>
        <v>37040.211492682567</v>
      </c>
      <c r="Q202" s="206">
        <f t="shared" si="69"/>
        <v>2204.4149999721403</v>
      </c>
      <c r="R202" s="206">
        <f t="shared" si="70"/>
        <v>37159.546492710426</v>
      </c>
      <c r="S202" s="681"/>
      <c r="T202" s="682"/>
    </row>
    <row r="203" spans="1:20" ht="15">
      <c r="A203" s="394" t="s">
        <v>100</v>
      </c>
      <c r="B203" s="395">
        <v>42770</v>
      </c>
      <c r="C203" s="328">
        <v>1634190</v>
      </c>
      <c r="D203" s="319"/>
      <c r="E203" s="319"/>
      <c r="F203" s="319"/>
      <c r="G203" s="112">
        <f t="shared" si="71"/>
        <v>81709.5</v>
      </c>
      <c r="H203" s="319"/>
      <c r="I203" s="319"/>
      <c r="J203" s="319"/>
      <c r="K203" s="319">
        <f t="shared" si="65"/>
        <v>1151</v>
      </c>
      <c r="L203" s="112">
        <f t="shared" si="66"/>
        <v>3.1534246575342464</v>
      </c>
      <c r="M203" s="323">
        <v>246612.71845214622</v>
      </c>
      <c r="N203" s="206">
        <f t="shared" si="67"/>
        <v>1387577.2815478537</v>
      </c>
      <c r="O203" s="318">
        <f t="shared" si="72"/>
        <v>16.846575342465755</v>
      </c>
      <c r="P203" s="112">
        <f t="shared" si="68"/>
        <v>1305867.7815478537</v>
      </c>
      <c r="Q203" s="206">
        <f t="shared" si="69"/>
        <v>77515.32611237056</v>
      </c>
      <c r="R203" s="206">
        <f t="shared" si="70"/>
        <v>1310061.9554354833</v>
      </c>
      <c r="S203" s="681"/>
      <c r="T203" s="682"/>
    </row>
    <row r="204" spans="1:20" ht="15">
      <c r="A204" s="394" t="s">
        <v>100</v>
      </c>
      <c r="B204" s="395">
        <v>42774</v>
      </c>
      <c r="C204" s="328">
        <v>196064</v>
      </c>
      <c r="D204" s="319"/>
      <c r="E204" s="319"/>
      <c r="F204" s="319"/>
      <c r="G204" s="112">
        <f t="shared" si="71"/>
        <v>9803.2000000000007</v>
      </c>
      <c r="H204" s="319"/>
      <c r="I204" s="319"/>
      <c r="J204" s="319"/>
      <c r="K204" s="319">
        <f t="shared" si="65"/>
        <v>1147</v>
      </c>
      <c r="L204" s="112">
        <f t="shared" si="66"/>
        <v>3.1424657534246574</v>
      </c>
      <c r="M204" s="323">
        <v>29484.757336805567</v>
      </c>
      <c r="N204" s="206">
        <f t="shared" si="67"/>
        <v>166579.24266319443</v>
      </c>
      <c r="O204" s="318">
        <f t="shared" si="72"/>
        <v>16.857534246575341</v>
      </c>
      <c r="P204" s="112">
        <f t="shared" si="68"/>
        <v>156776.04266319441</v>
      </c>
      <c r="Q204" s="206">
        <f t="shared" si="69"/>
        <v>9300.0577884066261</v>
      </c>
      <c r="R204" s="206">
        <f t="shared" si="70"/>
        <v>157279.18487478781</v>
      </c>
      <c r="S204" s="681"/>
      <c r="T204" s="682"/>
    </row>
    <row r="205" spans="1:20" ht="15">
      <c r="A205" s="394" t="s">
        <v>100</v>
      </c>
      <c r="B205" s="395">
        <v>42774</v>
      </c>
      <c r="C205" s="328">
        <v>58794</v>
      </c>
      <c r="D205" s="319"/>
      <c r="E205" s="319"/>
      <c r="F205" s="319"/>
      <c r="G205" s="112">
        <f t="shared" si="71"/>
        <v>2939.7000000000003</v>
      </c>
      <c r="H205" s="319"/>
      <c r="I205" s="319"/>
      <c r="J205" s="319"/>
      <c r="K205" s="319">
        <f t="shared" si="65"/>
        <v>1147</v>
      </c>
      <c r="L205" s="112">
        <f t="shared" si="66"/>
        <v>3.1424657534246574</v>
      </c>
      <c r="M205" s="323">
        <v>8841.6375411097724</v>
      </c>
      <c r="N205" s="206">
        <f t="shared" si="67"/>
        <v>49952.362458890231</v>
      </c>
      <c r="O205" s="318">
        <f t="shared" si="72"/>
        <v>16.857534246575341</v>
      </c>
      <c r="P205" s="112">
        <f t="shared" si="68"/>
        <v>47012.662458890234</v>
      </c>
      <c r="Q205" s="206">
        <f t="shared" si="69"/>
        <v>2788.8220051186313</v>
      </c>
      <c r="R205" s="206">
        <f t="shared" si="70"/>
        <v>47163.540453771602</v>
      </c>
      <c r="S205" s="681"/>
      <c r="T205" s="682"/>
    </row>
    <row r="206" spans="1:20" ht="15">
      <c r="A206" s="394" t="s">
        <v>100</v>
      </c>
      <c r="B206" s="395">
        <v>42791</v>
      </c>
      <c r="C206" s="328">
        <v>345345.51</v>
      </c>
      <c r="D206" s="319"/>
      <c r="E206" s="319"/>
      <c r="F206" s="319"/>
      <c r="G206" s="112">
        <f t="shared" si="71"/>
        <v>17267.2755</v>
      </c>
      <c r="H206" s="319"/>
      <c r="I206" s="319"/>
      <c r="J206" s="319"/>
      <c r="K206" s="319">
        <f t="shared" si="65"/>
        <v>1130</v>
      </c>
      <c r="L206" s="112">
        <f t="shared" si="66"/>
        <v>3.095890410958904</v>
      </c>
      <c r="M206" s="323">
        <v>51163.805275551269</v>
      </c>
      <c r="N206" s="206">
        <f t="shared" si="67"/>
        <v>294181.70472444873</v>
      </c>
      <c r="O206" s="318">
        <f t="shared" si="72"/>
        <v>16.904109589041095</v>
      </c>
      <c r="P206" s="112">
        <f t="shared" si="68"/>
        <v>276914.42922444874</v>
      </c>
      <c r="Q206" s="206">
        <f t="shared" si="69"/>
        <v>16381.485683456045</v>
      </c>
      <c r="R206" s="206">
        <f t="shared" si="70"/>
        <v>277800.21904099267</v>
      </c>
      <c r="S206" s="681"/>
      <c r="T206" s="682"/>
    </row>
    <row r="207" spans="1:20" ht="15">
      <c r="A207" s="394" t="s">
        <v>100</v>
      </c>
      <c r="B207" s="395">
        <v>42791</v>
      </c>
      <c r="C207" s="328">
        <v>40144.49</v>
      </c>
      <c r="D207" s="319"/>
      <c r="E207" s="319"/>
      <c r="F207" s="319"/>
      <c r="G207" s="112">
        <f t="shared" si="71"/>
        <v>2007.2245</v>
      </c>
      <c r="H207" s="319"/>
      <c r="I207" s="319"/>
      <c r="J207" s="319"/>
      <c r="K207" s="319">
        <f t="shared" si="65"/>
        <v>1130</v>
      </c>
      <c r="L207" s="112">
        <f t="shared" si="66"/>
        <v>3.095890410958904</v>
      </c>
      <c r="M207" s="323">
        <v>5947.5070900626888</v>
      </c>
      <c r="N207" s="206">
        <f t="shared" si="67"/>
        <v>34196.982909937309</v>
      </c>
      <c r="O207" s="318">
        <f t="shared" si="72"/>
        <v>16.904109589041095</v>
      </c>
      <c r="P207" s="112">
        <f t="shared" si="68"/>
        <v>32189.758409937309</v>
      </c>
      <c r="Q207" s="206">
        <f t="shared" si="69"/>
        <v>1904.2563727110403</v>
      </c>
      <c r="R207" s="206">
        <f t="shared" si="70"/>
        <v>32292.72653722627</v>
      </c>
      <c r="S207" s="681"/>
      <c r="T207" s="682"/>
    </row>
    <row r="208" spans="1:20" ht="15">
      <c r="A208" s="394" t="s">
        <v>100</v>
      </c>
      <c r="B208" s="395">
        <v>42798</v>
      </c>
      <c r="C208" s="328">
        <v>181622</v>
      </c>
      <c r="D208" s="319"/>
      <c r="E208" s="319"/>
      <c r="F208" s="319"/>
      <c r="G208" s="112">
        <f t="shared" si="71"/>
        <v>9081.1</v>
      </c>
      <c r="H208" s="319"/>
      <c r="I208" s="319"/>
      <c r="J208" s="319"/>
      <c r="K208" s="319">
        <f t="shared" si="65"/>
        <v>1123</v>
      </c>
      <c r="L208" s="112">
        <f t="shared" si="66"/>
        <v>3.0767123287671234</v>
      </c>
      <c r="M208" s="323">
        <v>26740.922924508544</v>
      </c>
      <c r="N208" s="206">
        <f t="shared" si="67"/>
        <v>154881.07707549146</v>
      </c>
      <c r="O208" s="318">
        <f t="shared" si="72"/>
        <v>16.923287671232877</v>
      </c>
      <c r="P208" s="112">
        <f t="shared" si="68"/>
        <v>145799.97707549145</v>
      </c>
      <c r="Q208" s="206">
        <f t="shared" si="69"/>
        <v>8615.3459013363081</v>
      </c>
      <c r="R208" s="206">
        <f t="shared" si="70"/>
        <v>146265.73117415514</v>
      </c>
      <c r="S208" s="681"/>
      <c r="T208" s="682"/>
    </row>
    <row r="209" spans="1:20" ht="15">
      <c r="A209" s="394" t="s">
        <v>100</v>
      </c>
      <c r="B209" s="395">
        <v>42800</v>
      </c>
      <c r="C209" s="328">
        <v>29047</v>
      </c>
      <c r="D209" s="319"/>
      <c r="E209" s="319"/>
      <c r="F209" s="319"/>
      <c r="G209" s="112">
        <f t="shared" si="71"/>
        <v>1452.3500000000001</v>
      </c>
      <c r="H209" s="319"/>
      <c r="I209" s="319"/>
      <c r="J209" s="319"/>
      <c r="K209" s="319">
        <f t="shared" si="65"/>
        <v>1121</v>
      </c>
      <c r="L209" s="112">
        <f t="shared" si="66"/>
        <v>3.0712328767123287</v>
      </c>
      <c r="M209" s="323">
        <v>4269.0809401519919</v>
      </c>
      <c r="N209" s="206">
        <f t="shared" si="67"/>
        <v>24777.919059848009</v>
      </c>
      <c r="O209" s="318">
        <f t="shared" si="72"/>
        <v>16.92876712328767</v>
      </c>
      <c r="P209" s="112">
        <f t="shared" si="68"/>
        <v>23325.569059848011</v>
      </c>
      <c r="Q209" s="206">
        <f t="shared" si="69"/>
        <v>1377.865788451938</v>
      </c>
      <c r="R209" s="206">
        <f t="shared" si="70"/>
        <v>23400.053271396071</v>
      </c>
      <c r="S209" s="681"/>
      <c r="T209" s="682"/>
    </row>
    <row r="210" spans="1:20" ht="15">
      <c r="A210" s="394" t="s">
        <v>100</v>
      </c>
      <c r="B210" s="395">
        <v>42800</v>
      </c>
      <c r="C210" s="328">
        <v>73443.5</v>
      </c>
      <c r="D210" s="319"/>
      <c r="E210" s="319"/>
      <c r="F210" s="319"/>
      <c r="G210" s="112">
        <f t="shared" si="71"/>
        <v>3672.1750000000002</v>
      </c>
      <c r="H210" s="319"/>
      <c r="I210" s="319"/>
      <c r="J210" s="319"/>
      <c r="K210" s="319">
        <f t="shared" si="65"/>
        <v>1121</v>
      </c>
      <c r="L210" s="112">
        <f t="shared" si="66"/>
        <v>3.0712328767123287</v>
      </c>
      <c r="M210" s="323">
        <v>10794.100803114015</v>
      </c>
      <c r="N210" s="206">
        <f t="shared" si="67"/>
        <v>62649.399196885985</v>
      </c>
      <c r="O210" s="318">
        <f t="shared" si="72"/>
        <v>16.92876712328767</v>
      </c>
      <c r="P210" s="112">
        <f t="shared" si="68"/>
        <v>58977.224196885982</v>
      </c>
      <c r="Q210" s="206">
        <f t="shared" si="69"/>
        <v>3483.8463880665777</v>
      </c>
      <c r="R210" s="206">
        <f t="shared" si="70"/>
        <v>59165.552808819404</v>
      </c>
      <c r="S210" s="681"/>
      <c r="T210" s="682"/>
    </row>
    <row r="211" spans="1:20" ht="15">
      <c r="A211" s="394" t="s">
        <v>100</v>
      </c>
      <c r="B211" s="395">
        <v>42804</v>
      </c>
      <c r="C211" s="328">
        <v>53341</v>
      </c>
      <c r="D211" s="319"/>
      <c r="E211" s="319"/>
      <c r="F211" s="319"/>
      <c r="G211" s="112">
        <f t="shared" si="71"/>
        <v>2667.05</v>
      </c>
      <c r="H211" s="319"/>
      <c r="I211" s="319"/>
      <c r="J211" s="319"/>
      <c r="K211" s="319">
        <f t="shared" si="65"/>
        <v>1117</v>
      </c>
      <c r="L211" s="112">
        <f t="shared" si="66"/>
        <v>3.0602739726027397</v>
      </c>
      <c r="M211" s="323">
        <v>7811.6077826567562</v>
      </c>
      <c r="N211" s="206">
        <f t="shared" si="67"/>
        <v>45529.392217343244</v>
      </c>
      <c r="O211" s="318">
        <f t="shared" si="72"/>
        <v>16.93972602739726</v>
      </c>
      <c r="P211" s="112">
        <f t="shared" si="68"/>
        <v>42862.342217343241</v>
      </c>
      <c r="Q211" s="206">
        <f t="shared" si="69"/>
        <v>2530.2854454682652</v>
      </c>
      <c r="R211" s="206">
        <f t="shared" si="70"/>
        <v>42999.106771874976</v>
      </c>
      <c r="S211" s="681"/>
      <c r="T211" s="682"/>
    </row>
    <row r="212" spans="1:20" ht="15">
      <c r="A212" s="394" t="s">
        <v>100</v>
      </c>
      <c r="B212" s="395">
        <v>42810</v>
      </c>
      <c r="C212" s="328">
        <v>42414.3</v>
      </c>
      <c r="D212" s="319"/>
      <c r="E212" s="319"/>
      <c r="F212" s="319"/>
      <c r="G212" s="112">
        <f t="shared" si="71"/>
        <v>2120.7150000000001</v>
      </c>
      <c r="H212" s="319"/>
      <c r="I212" s="319"/>
      <c r="J212" s="319"/>
      <c r="K212" s="319">
        <f t="shared" si="65"/>
        <v>1111</v>
      </c>
      <c r="L212" s="112">
        <f t="shared" si="66"/>
        <v>3.043835616438356</v>
      </c>
      <c r="M212" s="323">
        <v>6178.034997746151</v>
      </c>
      <c r="N212" s="206">
        <f t="shared" si="67"/>
        <v>36236.265002253851</v>
      </c>
      <c r="O212" s="318">
        <f t="shared" si="72"/>
        <v>16.956164383561642</v>
      </c>
      <c r="P212" s="112">
        <f t="shared" si="68"/>
        <v>34115.550002253847</v>
      </c>
      <c r="Q212" s="206">
        <f t="shared" si="69"/>
        <v>2011.9850946554623</v>
      </c>
      <c r="R212" s="206">
        <f t="shared" si="70"/>
        <v>34224.279907598386</v>
      </c>
      <c r="S212" s="681"/>
      <c r="T212" s="682"/>
    </row>
    <row r="213" spans="1:20" ht="15">
      <c r="A213" s="394" t="s">
        <v>100</v>
      </c>
      <c r="B213" s="395">
        <v>42812</v>
      </c>
      <c r="C213" s="328">
        <v>26585</v>
      </c>
      <c r="D213" s="319"/>
      <c r="E213" s="319"/>
      <c r="F213" s="319"/>
      <c r="G213" s="112">
        <f t="shared" si="71"/>
        <v>1329.25</v>
      </c>
      <c r="H213" s="319"/>
      <c r="I213" s="319"/>
      <c r="J213" s="319"/>
      <c r="K213" s="319">
        <f t="shared" si="65"/>
        <v>1109</v>
      </c>
      <c r="L213" s="112">
        <f t="shared" si="66"/>
        <v>3.0383561643835617</v>
      </c>
      <c r="M213" s="323">
        <v>3865.3738709089175</v>
      </c>
      <c r="N213" s="206">
        <f t="shared" si="67"/>
        <v>22719.626129091084</v>
      </c>
      <c r="O213" s="318">
        <f t="shared" si="72"/>
        <v>16.961643835616439</v>
      </c>
      <c r="P213" s="112">
        <f t="shared" si="68"/>
        <v>21390.376129091084</v>
      </c>
      <c r="Q213" s="206">
        <f t="shared" si="69"/>
        <v>1261.1027761457351</v>
      </c>
      <c r="R213" s="206">
        <f t="shared" si="70"/>
        <v>21458.523352945351</v>
      </c>
      <c r="S213" s="681"/>
      <c r="T213" s="682"/>
    </row>
    <row r="214" spans="1:20" ht="15">
      <c r="A214" s="394" t="s">
        <v>100</v>
      </c>
      <c r="B214" s="395">
        <v>42812</v>
      </c>
      <c r="C214" s="328">
        <v>70553</v>
      </c>
      <c r="D214" s="319"/>
      <c r="E214" s="319"/>
      <c r="F214" s="319"/>
      <c r="G214" s="112">
        <f t="shared" si="71"/>
        <v>3527.65</v>
      </c>
      <c r="H214" s="319"/>
      <c r="I214" s="319"/>
      <c r="J214" s="319"/>
      <c r="K214" s="319">
        <f t="shared" si="65"/>
        <v>1109</v>
      </c>
      <c r="L214" s="112">
        <f t="shared" si="66"/>
        <v>3.0383561643835617</v>
      </c>
      <c r="M214" s="323">
        <v>10258.180278887978</v>
      </c>
      <c r="N214" s="206">
        <f t="shared" si="67"/>
        <v>60294.81972111202</v>
      </c>
      <c r="O214" s="318">
        <f t="shared" si="72"/>
        <v>16.961643835616439</v>
      </c>
      <c r="P214" s="112">
        <f t="shared" si="68"/>
        <v>56767.169721112019</v>
      </c>
      <c r="Q214" s="206">
        <f t="shared" si="69"/>
        <v>3346.7964703934563</v>
      </c>
      <c r="R214" s="206">
        <f t="shared" si="70"/>
        <v>56948.023250718565</v>
      </c>
      <c r="S214" s="681"/>
      <c r="T214" s="682"/>
    </row>
    <row r="215" spans="1:20" ht="15">
      <c r="A215" s="394" t="s">
        <v>100</v>
      </c>
      <c r="B215" s="395">
        <v>42813</v>
      </c>
      <c r="C215" s="328">
        <v>59678</v>
      </c>
      <c r="D215" s="319"/>
      <c r="E215" s="319"/>
      <c r="F215" s="319"/>
      <c r="G215" s="112">
        <f t="shared" si="71"/>
        <v>2983.9</v>
      </c>
      <c r="H215" s="319"/>
      <c r="I215" s="319"/>
      <c r="J215" s="319"/>
      <c r="K215" s="319">
        <f t="shared" si="65"/>
        <v>1108</v>
      </c>
      <c r="L215" s="112">
        <f t="shared" si="66"/>
        <v>3.0356164383561643</v>
      </c>
      <c r="M215" s="323">
        <v>8669.1588837381278</v>
      </c>
      <c r="N215" s="206">
        <f t="shared" si="67"/>
        <v>51008.841116261872</v>
      </c>
      <c r="O215" s="318">
        <f t="shared" si="72"/>
        <v>16.964383561643835</v>
      </c>
      <c r="P215" s="112">
        <f t="shared" si="68"/>
        <v>48024.941116261871</v>
      </c>
      <c r="Q215" s="206">
        <f t="shared" si="69"/>
        <v>2830.9275690302943</v>
      </c>
      <c r="R215" s="206">
        <f t="shared" si="70"/>
        <v>48177.913547231576</v>
      </c>
      <c r="S215" s="681"/>
      <c r="T215" s="682"/>
    </row>
    <row r="216" spans="1:20" ht="15">
      <c r="A216" s="394" t="s">
        <v>100</v>
      </c>
      <c r="B216" s="395">
        <v>42815</v>
      </c>
      <c r="C216" s="328">
        <v>220860.02</v>
      </c>
      <c r="D216" s="319"/>
      <c r="E216" s="319"/>
      <c r="F216" s="319"/>
      <c r="G216" s="112">
        <f t="shared" si="71"/>
        <v>11043.001</v>
      </c>
      <c r="H216" s="319"/>
      <c r="I216" s="319"/>
      <c r="J216" s="319"/>
      <c r="K216" s="319">
        <f t="shared" si="65"/>
        <v>1106</v>
      </c>
      <c r="L216" s="112">
        <f t="shared" si="66"/>
        <v>3.0301369863013701</v>
      </c>
      <c r="M216" s="323">
        <v>32025.392913549727</v>
      </c>
      <c r="N216" s="206">
        <f t="shared" si="67"/>
        <v>188834.62708645026</v>
      </c>
      <c r="O216" s="318">
        <f t="shared" si="72"/>
        <v>16.969863013698628</v>
      </c>
      <c r="P216" s="112">
        <f t="shared" si="68"/>
        <v>177791.62608645027</v>
      </c>
      <c r="Q216" s="206">
        <f t="shared" si="69"/>
        <v>10476.90402349925</v>
      </c>
      <c r="R216" s="206">
        <f t="shared" si="70"/>
        <v>178357.723062951</v>
      </c>
      <c r="S216" s="681"/>
      <c r="T216" s="682"/>
    </row>
    <row r="217" spans="1:20" ht="15">
      <c r="A217" s="394" t="s">
        <v>100</v>
      </c>
      <c r="B217" s="395">
        <v>42815</v>
      </c>
      <c r="C217" s="328">
        <v>141616.25</v>
      </c>
      <c r="D217" s="319"/>
      <c r="E217" s="319"/>
      <c r="F217" s="319"/>
      <c r="G217" s="112">
        <f t="shared" si="71"/>
        <v>7080.8125</v>
      </c>
      <c r="H217" s="319"/>
      <c r="I217" s="319"/>
      <c r="J217" s="319"/>
      <c r="K217" s="319">
        <f t="shared" si="65"/>
        <v>1106</v>
      </c>
      <c r="L217" s="112">
        <f t="shared" si="66"/>
        <v>3.0301369863013701</v>
      </c>
      <c r="M217" s="323">
        <v>20534.798689203628</v>
      </c>
      <c r="N217" s="206">
        <f t="shared" si="67"/>
        <v>121081.45131079637</v>
      </c>
      <c r="O217" s="318">
        <f t="shared" si="72"/>
        <v>16.969863013698628</v>
      </c>
      <c r="P217" s="112">
        <f t="shared" si="68"/>
        <v>114000.63881079637</v>
      </c>
      <c r="Q217" s="206">
        <f t="shared" si="69"/>
        <v>6717.8290548822542</v>
      </c>
      <c r="R217" s="206">
        <f t="shared" si="70"/>
        <v>114363.62225591412</v>
      </c>
      <c r="S217" s="681"/>
      <c r="T217" s="682"/>
    </row>
    <row r="218" spans="1:20" ht="15">
      <c r="A218" s="394" t="s">
        <v>100</v>
      </c>
      <c r="B218" s="395">
        <v>42820</v>
      </c>
      <c r="C218" s="328">
        <v>210840</v>
      </c>
      <c r="D218" s="319"/>
      <c r="E218" s="319"/>
      <c r="F218" s="319"/>
      <c r="G218" s="112">
        <f t="shared" si="71"/>
        <v>10542</v>
      </c>
      <c r="H218" s="319"/>
      <c r="I218" s="319"/>
      <c r="J218" s="319"/>
      <c r="K218" s="319">
        <f t="shared" si="65"/>
        <v>1101</v>
      </c>
      <c r="L218" s="112">
        <f t="shared" si="66"/>
        <v>3.0164383561643837</v>
      </c>
      <c r="M218" s="323">
        <v>30434.121791647114</v>
      </c>
      <c r="N218" s="206">
        <f t="shared" si="67"/>
        <v>180405.87820835289</v>
      </c>
      <c r="O218" s="318">
        <f t="shared" si="72"/>
        <v>16.983561643835618</v>
      </c>
      <c r="P218" s="112">
        <f t="shared" si="68"/>
        <v>169863.87820835289</v>
      </c>
      <c r="Q218" s="206">
        <f t="shared" si="69"/>
        <v>10001.664066147572</v>
      </c>
      <c r="R218" s="206">
        <f t="shared" si="70"/>
        <v>170404.21414220531</v>
      </c>
      <c r="S218" s="681"/>
      <c r="T218" s="682"/>
    </row>
    <row r="219" spans="1:20" ht="15">
      <c r="A219" s="394" t="s">
        <v>100</v>
      </c>
      <c r="B219" s="395">
        <v>42820</v>
      </c>
      <c r="C219" s="328">
        <v>58794</v>
      </c>
      <c r="D219" s="319"/>
      <c r="E219" s="319"/>
      <c r="F219" s="319"/>
      <c r="G219" s="112">
        <f t="shared" si="71"/>
        <v>2939.7000000000003</v>
      </c>
      <c r="H219" s="319"/>
      <c r="I219" s="319"/>
      <c r="J219" s="319"/>
      <c r="K219" s="319">
        <f t="shared" si="65"/>
        <v>1101</v>
      </c>
      <c r="L219" s="112">
        <f t="shared" si="66"/>
        <v>3.0164383561643837</v>
      </c>
      <c r="M219" s="323">
        <v>8486.7376049046707</v>
      </c>
      <c r="N219" s="206">
        <f t="shared" si="67"/>
        <v>50307.262395095328</v>
      </c>
      <c r="O219" s="318">
        <f t="shared" si="72"/>
        <v>16.983561643835618</v>
      </c>
      <c r="P219" s="112">
        <f t="shared" si="68"/>
        <v>47367.56239509533</v>
      </c>
      <c r="Q219" s="206">
        <f t="shared" si="69"/>
        <v>2789.0240803693814</v>
      </c>
      <c r="R219" s="206">
        <f t="shared" si="70"/>
        <v>47518.238314725946</v>
      </c>
      <c r="S219" s="681"/>
      <c r="T219" s="682"/>
    </row>
    <row r="220" spans="1:20" ht="15">
      <c r="A220" s="396" t="s">
        <v>159</v>
      </c>
      <c r="B220" s="397">
        <v>42828</v>
      </c>
      <c r="C220" s="326">
        <v>34356</v>
      </c>
      <c r="D220" s="319"/>
      <c r="E220" s="319"/>
      <c r="F220" s="319"/>
      <c r="G220" s="112">
        <f t="shared" si="71"/>
        <v>1717.8000000000002</v>
      </c>
      <c r="H220" s="319"/>
      <c r="I220" s="319"/>
      <c r="J220" s="319"/>
      <c r="K220" s="319">
        <f t="shared" ref="K220:K232" si="73">$K$2-B220</f>
        <v>1093</v>
      </c>
      <c r="L220" s="112">
        <f t="shared" ref="L220:L232" si="74">K220/365</f>
        <v>2.9945205479452053</v>
      </c>
      <c r="M220" s="323">
        <v>10764.339944425845</v>
      </c>
      <c r="N220" s="206">
        <f t="shared" ref="N220:N232" si="75">C220-M220</f>
        <v>23591.660055574153</v>
      </c>
      <c r="O220" s="318">
        <f t="shared" si="72"/>
        <v>17.005479452054793</v>
      </c>
      <c r="P220" s="112">
        <f t="shared" ref="P220:P232" si="76">N220-G220</f>
        <v>21873.860055574154</v>
      </c>
      <c r="Q220" s="206">
        <f t="shared" ref="Q220:Q232" si="77">P220/O220</f>
        <v>1286.2830546616026</v>
      </c>
      <c r="R220" s="206">
        <f t="shared" ref="R220:R232" si="78">N220-Q220</f>
        <v>22305.377000912551</v>
      </c>
      <c r="S220" s="681"/>
      <c r="T220" s="682"/>
    </row>
    <row r="221" spans="1:20" ht="15">
      <c r="A221" s="396" t="s">
        <v>159</v>
      </c>
      <c r="B221" s="397">
        <v>42830</v>
      </c>
      <c r="C221" s="326">
        <f>20718+20718</f>
        <v>41436</v>
      </c>
      <c r="D221" s="319"/>
      <c r="E221" s="319"/>
      <c r="F221" s="319"/>
      <c r="G221" s="112">
        <f t="shared" si="71"/>
        <v>2071.8000000000002</v>
      </c>
      <c r="H221" s="319"/>
      <c r="I221" s="319"/>
      <c r="J221" s="319"/>
      <c r="K221" s="319">
        <f t="shared" si="73"/>
        <v>1091</v>
      </c>
      <c r="L221" s="112">
        <f t="shared" si="74"/>
        <v>2.989041095890411</v>
      </c>
      <c r="M221" s="323">
        <v>12933.068766708862</v>
      </c>
      <c r="N221" s="206">
        <f t="shared" si="75"/>
        <v>28502.931233291136</v>
      </c>
      <c r="O221" s="318">
        <f t="shared" ref="O221:O232" si="79">$O$14-L221</f>
        <v>17.010958904109589</v>
      </c>
      <c r="P221" s="112">
        <f t="shared" si="76"/>
        <v>26431.131233291137</v>
      </c>
      <c r="Q221" s="206">
        <f t="shared" si="77"/>
        <v>1553.7708004753204</v>
      </c>
      <c r="R221" s="206">
        <f t="shared" si="78"/>
        <v>26949.160432815814</v>
      </c>
      <c r="S221" s="681"/>
      <c r="T221" s="682"/>
    </row>
    <row r="222" spans="1:20" ht="15">
      <c r="A222" s="396" t="s">
        <v>159</v>
      </c>
      <c r="B222" s="397">
        <v>42836</v>
      </c>
      <c r="C222" s="326">
        <v>155922.64000000001</v>
      </c>
      <c r="D222" s="319"/>
      <c r="E222" s="319"/>
      <c r="F222" s="319"/>
      <c r="G222" s="112">
        <f t="shared" si="71"/>
        <v>7796.1320000000014</v>
      </c>
      <c r="H222" s="319"/>
      <c r="I222" s="319"/>
      <c r="J222" s="319"/>
      <c r="K222" s="319">
        <f t="shared" si="73"/>
        <v>1085</v>
      </c>
      <c r="L222" s="112">
        <f t="shared" si="74"/>
        <v>2.9726027397260273</v>
      </c>
      <c r="M222" s="323">
        <v>48107.2764664719</v>
      </c>
      <c r="N222" s="206">
        <f t="shared" si="75"/>
        <v>107815.36353352811</v>
      </c>
      <c r="O222" s="318">
        <f t="shared" si="79"/>
        <v>17.027397260273972</v>
      </c>
      <c r="P222" s="112">
        <f t="shared" si="76"/>
        <v>100019.23153352812</v>
      </c>
      <c r="Q222" s="206">
        <f t="shared" si="77"/>
        <v>5874.0176202313378</v>
      </c>
      <c r="R222" s="206">
        <f t="shared" si="78"/>
        <v>101941.34591329677</v>
      </c>
      <c r="S222" s="681"/>
      <c r="T222" s="682"/>
    </row>
    <row r="223" spans="1:20" ht="15">
      <c r="A223" s="396" t="s">
        <v>159</v>
      </c>
      <c r="B223" s="397">
        <v>42839</v>
      </c>
      <c r="C223" s="326">
        <v>273570</v>
      </c>
      <c r="D223" s="319"/>
      <c r="E223" s="319"/>
      <c r="F223" s="319"/>
      <c r="G223" s="112">
        <f t="shared" si="71"/>
        <v>13678.5</v>
      </c>
      <c r="H223" s="319"/>
      <c r="I223" s="319"/>
      <c r="J223" s="319"/>
      <c r="K223" s="319">
        <f t="shared" si="73"/>
        <v>1082</v>
      </c>
      <c r="L223" s="112">
        <f t="shared" si="74"/>
        <v>2.9643835616438357</v>
      </c>
      <c r="M223" s="323">
        <v>83914.441587712892</v>
      </c>
      <c r="N223" s="206">
        <f t="shared" si="75"/>
        <v>189655.55841228709</v>
      </c>
      <c r="O223" s="318">
        <f t="shared" si="79"/>
        <v>17.035616438356165</v>
      </c>
      <c r="P223" s="112">
        <f t="shared" si="76"/>
        <v>175977.05841228709</v>
      </c>
      <c r="Q223" s="206">
        <f t="shared" si="77"/>
        <v>10329.949552988868</v>
      </c>
      <c r="R223" s="206">
        <f t="shared" si="78"/>
        <v>179325.60885929823</v>
      </c>
      <c r="S223" s="681"/>
      <c r="T223" s="682"/>
    </row>
    <row r="224" spans="1:20" ht="15">
      <c r="A224" s="396" t="s">
        <v>159</v>
      </c>
      <c r="B224" s="397">
        <v>42851</v>
      </c>
      <c r="C224" s="326">
        <v>455830.51</v>
      </c>
      <c r="D224" s="319"/>
      <c r="E224" s="319"/>
      <c r="F224" s="319"/>
      <c r="G224" s="112">
        <f t="shared" si="71"/>
        <v>22791.525500000003</v>
      </c>
      <c r="H224" s="319"/>
      <c r="I224" s="319"/>
      <c r="J224" s="319"/>
      <c r="K224" s="319">
        <f t="shared" si="73"/>
        <v>1070</v>
      </c>
      <c r="L224" s="112">
        <f t="shared" si="74"/>
        <v>2.9315068493150687</v>
      </c>
      <c r="M224" s="323">
        <v>136548.09029423445</v>
      </c>
      <c r="N224" s="206">
        <f t="shared" si="75"/>
        <v>319282.41970576555</v>
      </c>
      <c r="O224" s="318">
        <f t="shared" si="79"/>
        <v>17.06849315068493</v>
      </c>
      <c r="P224" s="112">
        <f t="shared" si="76"/>
        <v>296490.89420576557</v>
      </c>
      <c r="Q224" s="206">
        <f t="shared" si="77"/>
        <v>17370.654315426076</v>
      </c>
      <c r="R224" s="206">
        <f t="shared" si="78"/>
        <v>301911.76539033948</v>
      </c>
      <c r="S224" s="681"/>
      <c r="T224" s="682"/>
    </row>
    <row r="225" spans="1:20" ht="15">
      <c r="A225" s="396" t="s">
        <v>159</v>
      </c>
      <c r="B225" s="397">
        <v>42861</v>
      </c>
      <c r="C225" s="326">
        <v>246576</v>
      </c>
      <c r="D225" s="319"/>
      <c r="E225" s="319"/>
      <c r="F225" s="319"/>
      <c r="G225" s="112">
        <f t="shared" si="71"/>
        <v>12328.800000000001</v>
      </c>
      <c r="H225" s="319"/>
      <c r="I225" s="319"/>
      <c r="J225" s="319"/>
      <c r="K225" s="319">
        <f t="shared" si="73"/>
        <v>1060</v>
      </c>
      <c r="L225" s="112">
        <f t="shared" si="74"/>
        <v>2.904109589041096</v>
      </c>
      <c r="M225" s="323">
        <v>72388.332627771335</v>
      </c>
      <c r="N225" s="206">
        <f t="shared" si="75"/>
        <v>174187.66737222867</v>
      </c>
      <c r="O225" s="318">
        <f t="shared" si="79"/>
        <v>17.095890410958905</v>
      </c>
      <c r="P225" s="112">
        <f t="shared" si="76"/>
        <v>161858.86737222868</v>
      </c>
      <c r="Q225" s="206">
        <f t="shared" si="77"/>
        <v>9467.7061844332475</v>
      </c>
      <c r="R225" s="206">
        <f t="shared" si="78"/>
        <v>164719.96118779542</v>
      </c>
      <c r="S225" s="681"/>
      <c r="T225" s="682"/>
    </row>
    <row r="226" spans="1:20" ht="15">
      <c r="A226" s="396" t="s">
        <v>159</v>
      </c>
      <c r="B226" s="397">
        <v>42871</v>
      </c>
      <c r="C226" s="326">
        <v>58094</v>
      </c>
      <c r="D226" s="319"/>
      <c r="E226" s="319"/>
      <c r="F226" s="319"/>
      <c r="G226" s="112">
        <f t="shared" si="71"/>
        <v>2904.7000000000003</v>
      </c>
      <c r="H226" s="319"/>
      <c r="I226" s="319"/>
      <c r="J226" s="319"/>
      <c r="K226" s="319">
        <f t="shared" si="73"/>
        <v>1050</v>
      </c>
      <c r="L226" s="112">
        <f t="shared" si="74"/>
        <v>2.8767123287671232</v>
      </c>
      <c r="M226" s="323">
        <v>16707.118847153928</v>
      </c>
      <c r="N226" s="206">
        <f t="shared" si="75"/>
        <v>41386.881152846072</v>
      </c>
      <c r="O226" s="318">
        <f t="shared" si="79"/>
        <v>17.123287671232877</v>
      </c>
      <c r="P226" s="112">
        <f t="shared" si="76"/>
        <v>38482.181152846075</v>
      </c>
      <c r="Q226" s="206">
        <f t="shared" si="77"/>
        <v>2247.3593793262107</v>
      </c>
      <c r="R226" s="206">
        <f t="shared" si="78"/>
        <v>39139.52177351986</v>
      </c>
      <c r="S226" s="681"/>
      <c r="T226" s="682"/>
    </row>
    <row r="227" spans="1:20" ht="15">
      <c r="A227" s="396" t="s">
        <v>159</v>
      </c>
      <c r="B227" s="397">
        <v>42879</v>
      </c>
      <c r="C227" s="326">
        <v>283949</v>
      </c>
      <c r="D227" s="319"/>
      <c r="E227" s="319"/>
      <c r="F227" s="319"/>
      <c r="G227" s="112">
        <f t="shared" si="71"/>
        <v>14197.45</v>
      </c>
      <c r="H227" s="319"/>
      <c r="I227" s="319"/>
      <c r="J227" s="319"/>
      <c r="K227" s="319">
        <f t="shared" si="73"/>
        <v>1042</v>
      </c>
      <c r="L227" s="112">
        <f t="shared" si="74"/>
        <v>2.8547945205479452</v>
      </c>
      <c r="M227" s="323">
        <v>80300.02402279689</v>
      </c>
      <c r="N227" s="206">
        <f t="shared" si="75"/>
        <v>203648.97597720311</v>
      </c>
      <c r="O227" s="318">
        <f t="shared" si="79"/>
        <v>17.145205479452056</v>
      </c>
      <c r="P227" s="112">
        <f t="shared" si="76"/>
        <v>189451.5259772031</v>
      </c>
      <c r="Q227" s="206">
        <f t="shared" si="77"/>
        <v>11049.825340632651</v>
      </c>
      <c r="R227" s="206">
        <f t="shared" si="78"/>
        <v>192599.15063657047</v>
      </c>
      <c r="S227" s="681"/>
      <c r="T227" s="682"/>
    </row>
    <row r="228" spans="1:20" ht="15">
      <c r="A228" s="396" t="s">
        <v>159</v>
      </c>
      <c r="B228" s="397">
        <v>42894</v>
      </c>
      <c r="C228" s="326">
        <v>266643</v>
      </c>
      <c r="D228" s="319"/>
      <c r="E228" s="319"/>
      <c r="F228" s="319"/>
      <c r="G228" s="112">
        <f t="shared" si="71"/>
        <v>13332.150000000001</v>
      </c>
      <c r="H228" s="319"/>
      <c r="I228" s="319"/>
      <c r="J228" s="319"/>
      <c r="K228" s="319">
        <f t="shared" si="73"/>
        <v>1027</v>
      </c>
      <c r="L228" s="112">
        <f t="shared" si="74"/>
        <v>2.8136986301369862</v>
      </c>
      <c r="M228" s="323">
        <v>73010.225028195346</v>
      </c>
      <c r="N228" s="206">
        <f t="shared" si="75"/>
        <v>193632.77497180464</v>
      </c>
      <c r="O228" s="318">
        <f t="shared" si="79"/>
        <v>17.186301369863013</v>
      </c>
      <c r="P228" s="112">
        <f t="shared" si="76"/>
        <v>180300.62497180465</v>
      </c>
      <c r="Q228" s="206">
        <f t="shared" si="77"/>
        <v>10490.949803078065</v>
      </c>
      <c r="R228" s="206">
        <f t="shared" si="78"/>
        <v>183141.82516872659</v>
      </c>
      <c r="S228" s="681"/>
      <c r="T228" s="682"/>
    </row>
    <row r="229" spans="1:20" ht="15">
      <c r="A229" s="396" t="s">
        <v>159</v>
      </c>
      <c r="B229" s="397">
        <v>42895</v>
      </c>
      <c r="C229" s="326">
        <v>71820</v>
      </c>
      <c r="D229" s="319"/>
      <c r="E229" s="319"/>
      <c r="F229" s="319"/>
      <c r="G229" s="112">
        <f t="shared" si="71"/>
        <v>3591</v>
      </c>
      <c r="H229" s="319"/>
      <c r="I229" s="319"/>
      <c r="J229" s="319"/>
      <c r="K229" s="319">
        <f t="shared" si="73"/>
        <v>1026</v>
      </c>
      <c r="L229" s="112">
        <f t="shared" si="74"/>
        <v>2.8109589041095893</v>
      </c>
      <c r="M229" s="323">
        <v>19622.196013705408</v>
      </c>
      <c r="N229" s="206">
        <f t="shared" si="75"/>
        <v>52197.803986294588</v>
      </c>
      <c r="O229" s="318">
        <f t="shared" si="79"/>
        <v>17.18904109589041</v>
      </c>
      <c r="P229" s="112">
        <f t="shared" si="76"/>
        <v>48606.803986294588</v>
      </c>
      <c r="Q229" s="206">
        <f t="shared" si="77"/>
        <v>2827.7786826581964</v>
      </c>
      <c r="R229" s="206">
        <f t="shared" si="78"/>
        <v>49370.025303636394</v>
      </c>
      <c r="S229" s="681"/>
      <c r="T229" s="682"/>
    </row>
    <row r="230" spans="1:20" ht="15">
      <c r="A230" s="396" t="s">
        <v>159</v>
      </c>
      <c r="B230" s="397">
        <v>42898</v>
      </c>
      <c r="C230" s="326">
        <v>518816.5</v>
      </c>
      <c r="D230" s="319"/>
      <c r="E230" s="319"/>
      <c r="F230" s="319"/>
      <c r="G230" s="112">
        <f t="shared" si="71"/>
        <v>25940.825000000001</v>
      </c>
      <c r="H230" s="319"/>
      <c r="I230" s="319"/>
      <c r="J230" s="319"/>
      <c r="K230" s="319">
        <f t="shared" si="73"/>
        <v>1023</v>
      </c>
      <c r="L230" s="112">
        <f t="shared" si="74"/>
        <v>2.8027397260273972</v>
      </c>
      <c r="M230" s="323">
        <v>140815.15327369067</v>
      </c>
      <c r="N230" s="206">
        <f t="shared" si="75"/>
        <v>378001.34672630933</v>
      </c>
      <c r="O230" s="318">
        <f t="shared" si="79"/>
        <v>17.197260273972603</v>
      </c>
      <c r="P230" s="112">
        <f t="shared" si="76"/>
        <v>352060.52172630932</v>
      </c>
      <c r="Q230" s="206">
        <f t="shared" si="77"/>
        <v>20471.895878620824</v>
      </c>
      <c r="R230" s="206">
        <f t="shared" si="78"/>
        <v>357529.45084768848</v>
      </c>
      <c r="S230" s="681"/>
      <c r="T230" s="682"/>
    </row>
    <row r="231" spans="1:20" ht="15">
      <c r="A231" s="396" t="s">
        <v>159</v>
      </c>
      <c r="B231" s="397">
        <v>42903</v>
      </c>
      <c r="C231" s="326">
        <v>52813</v>
      </c>
      <c r="D231" s="319"/>
      <c r="E231" s="319"/>
      <c r="F231" s="319"/>
      <c r="G231" s="112">
        <f t="shared" si="71"/>
        <v>2640.65</v>
      </c>
      <c r="H231" s="319"/>
      <c r="I231" s="319"/>
      <c r="J231" s="319"/>
      <c r="K231" s="319">
        <f t="shared" si="73"/>
        <v>1018</v>
      </c>
      <c r="L231" s="112">
        <f t="shared" si="74"/>
        <v>2.7890410958904108</v>
      </c>
      <c r="M231" s="323">
        <v>14176.068791586182</v>
      </c>
      <c r="N231" s="206">
        <f t="shared" si="75"/>
        <v>38636.931208413822</v>
      </c>
      <c r="O231" s="318">
        <f t="shared" si="79"/>
        <v>17.210958904109589</v>
      </c>
      <c r="P231" s="112">
        <f t="shared" si="76"/>
        <v>35996.28120841382</v>
      </c>
      <c r="Q231" s="206">
        <f t="shared" si="77"/>
        <v>2091.4744732682339</v>
      </c>
      <c r="R231" s="206">
        <f t="shared" si="78"/>
        <v>36545.456735145592</v>
      </c>
      <c r="S231" s="681"/>
      <c r="T231" s="682"/>
    </row>
    <row r="232" spans="1:20" ht="15">
      <c r="A232" s="396" t="s">
        <v>159</v>
      </c>
      <c r="B232" s="397">
        <v>42914</v>
      </c>
      <c r="C232" s="326">
        <v>268381</v>
      </c>
      <c r="D232" s="319"/>
      <c r="E232" s="319"/>
      <c r="F232" s="319"/>
      <c r="G232" s="112">
        <f t="shared" si="71"/>
        <v>13419.050000000001</v>
      </c>
      <c r="H232" s="319"/>
      <c r="I232" s="319"/>
      <c r="J232" s="319"/>
      <c r="K232" s="319">
        <f t="shared" si="73"/>
        <v>1007</v>
      </c>
      <c r="L232" s="112">
        <f t="shared" si="74"/>
        <v>2.7589041095890412</v>
      </c>
      <c r="M232" s="323">
        <v>70269.485030922835</v>
      </c>
      <c r="N232" s="206">
        <f t="shared" si="75"/>
        <v>198111.51496907717</v>
      </c>
      <c r="O232" s="318">
        <f t="shared" si="79"/>
        <v>17.241095890410961</v>
      </c>
      <c r="P232" s="112">
        <f t="shared" si="76"/>
        <v>184692.46496907718</v>
      </c>
      <c r="Q232" s="206">
        <f t="shared" si="77"/>
        <v>10712.339061451321</v>
      </c>
      <c r="R232" s="206">
        <f t="shared" si="78"/>
        <v>187399.17590762585</v>
      </c>
      <c r="S232" s="681"/>
      <c r="T232" s="682"/>
    </row>
    <row r="233" spans="1:20">
      <c r="A233" s="343" t="s">
        <v>245</v>
      </c>
      <c r="B233" s="398">
        <v>43561</v>
      </c>
      <c r="C233" s="385">
        <v>2150</v>
      </c>
      <c r="D233" s="282"/>
      <c r="E233" s="282"/>
      <c r="F233" s="282"/>
      <c r="G233" s="278">
        <f t="shared" ref="G233:G258" si="80">C233*5%</f>
        <v>107.5</v>
      </c>
      <c r="H233" s="282"/>
      <c r="I233" s="282"/>
      <c r="J233" s="282"/>
      <c r="K233" s="282">
        <f t="shared" ref="K233:K258" si="81">$K$2-B233</f>
        <v>360</v>
      </c>
      <c r="L233" s="278">
        <f t="shared" ref="L233:L258" si="82">K233/365</f>
        <v>0.98630136986301364</v>
      </c>
      <c r="M233" s="385">
        <v>100.73</v>
      </c>
      <c r="N233" s="279">
        <f t="shared" ref="N233:N258" si="83">C233-M233</f>
        <v>2049.27</v>
      </c>
      <c r="O233" s="290">
        <f t="shared" ref="O233:O258" si="84">$O$14-L233</f>
        <v>19.013698630136986</v>
      </c>
      <c r="P233" s="278">
        <f t="shared" ref="P233:P258" si="85">N233-G233</f>
        <v>1941.77</v>
      </c>
      <c r="Q233" s="279">
        <f t="shared" ref="Q233:Q258" si="86">P233/O233</f>
        <v>102.12479106628243</v>
      </c>
      <c r="R233" s="279">
        <f t="shared" ref="R233:R258" si="87">N233-Q233</f>
        <v>1947.1452089337176</v>
      </c>
      <c r="S233" s="385">
        <v>-102.13</v>
      </c>
      <c r="T233" s="399">
        <f>+Q233+S233</f>
        <v>-5.2089337175686978E-3</v>
      </c>
    </row>
    <row r="234" spans="1:20">
      <c r="A234" s="343" t="s">
        <v>248</v>
      </c>
      <c r="B234" s="398">
        <v>43700</v>
      </c>
      <c r="C234" s="385">
        <v>55000</v>
      </c>
      <c r="D234" s="282"/>
      <c r="E234" s="282"/>
      <c r="F234" s="282"/>
      <c r="G234" s="278">
        <f t="shared" si="80"/>
        <v>2750</v>
      </c>
      <c r="H234" s="282"/>
      <c r="I234" s="282"/>
      <c r="J234" s="282"/>
      <c r="K234" s="282">
        <f t="shared" si="81"/>
        <v>221</v>
      </c>
      <c r="L234" s="278">
        <f t="shared" si="82"/>
        <v>0.60547945205479448</v>
      </c>
      <c r="M234" s="385">
        <v>1584.63</v>
      </c>
      <c r="N234" s="279">
        <f t="shared" si="83"/>
        <v>53415.37</v>
      </c>
      <c r="O234" s="290">
        <f t="shared" si="84"/>
        <v>19.394520547945206</v>
      </c>
      <c r="P234" s="278">
        <f t="shared" si="85"/>
        <v>50665.37</v>
      </c>
      <c r="Q234" s="279">
        <f t="shared" si="86"/>
        <v>2612.3548594434242</v>
      </c>
      <c r="R234" s="279">
        <f t="shared" si="87"/>
        <v>50803.015140556578</v>
      </c>
      <c r="S234" s="385">
        <v>-2612.5</v>
      </c>
      <c r="T234" s="399">
        <f t="shared" ref="T234:T258" si="88">+Q234+S234</f>
        <v>-0.14514055657582503</v>
      </c>
    </row>
    <row r="235" spans="1:20">
      <c r="A235" s="343" t="s">
        <v>249</v>
      </c>
      <c r="B235" s="398">
        <v>43724</v>
      </c>
      <c r="C235" s="385">
        <v>28845</v>
      </c>
      <c r="D235" s="282"/>
      <c r="E235" s="282"/>
      <c r="F235" s="282"/>
      <c r="G235" s="278">
        <f t="shared" si="80"/>
        <v>1442.25</v>
      </c>
      <c r="H235" s="282"/>
      <c r="I235" s="282"/>
      <c r="J235" s="282"/>
      <c r="K235" s="282">
        <f t="shared" si="81"/>
        <v>197</v>
      </c>
      <c r="L235" s="278">
        <f t="shared" si="82"/>
        <v>0.53972602739726028</v>
      </c>
      <c r="M235" s="385">
        <v>741.22</v>
      </c>
      <c r="N235" s="279">
        <f t="shared" si="83"/>
        <v>28103.78</v>
      </c>
      <c r="O235" s="290">
        <f t="shared" si="84"/>
        <v>19.460273972602739</v>
      </c>
      <c r="P235" s="278">
        <f t="shared" si="85"/>
        <v>26661.53</v>
      </c>
      <c r="Q235" s="279">
        <f t="shared" si="86"/>
        <v>1370.0490567365903</v>
      </c>
      <c r="R235" s="279">
        <f t="shared" si="87"/>
        <v>26733.73094326341</v>
      </c>
      <c r="S235" s="385">
        <v>-1370.14</v>
      </c>
      <c r="T235" s="399">
        <f t="shared" si="88"/>
        <v>-9.0943263409826613E-2</v>
      </c>
    </row>
    <row r="236" spans="1:20">
      <c r="A236" s="343" t="s">
        <v>246</v>
      </c>
      <c r="B236" s="398">
        <v>43757</v>
      </c>
      <c r="C236" s="385">
        <v>281880</v>
      </c>
      <c r="D236" s="282"/>
      <c r="E236" s="282"/>
      <c r="F236" s="282"/>
      <c r="G236" s="278">
        <f t="shared" si="80"/>
        <v>14094</v>
      </c>
      <c r="H236" s="282"/>
      <c r="I236" s="282"/>
      <c r="J236" s="282"/>
      <c r="K236" s="282">
        <f t="shared" si="81"/>
        <v>164</v>
      </c>
      <c r="L236" s="278">
        <f t="shared" si="82"/>
        <v>0.44931506849315067</v>
      </c>
      <c r="M236" s="385">
        <v>6036.16</v>
      </c>
      <c r="N236" s="279">
        <f t="shared" si="83"/>
        <v>275843.84000000003</v>
      </c>
      <c r="O236" s="290">
        <f t="shared" si="84"/>
        <v>19.550684931506851</v>
      </c>
      <c r="P236" s="278">
        <f t="shared" si="85"/>
        <v>261749.84000000003</v>
      </c>
      <c r="Q236" s="279">
        <f t="shared" si="86"/>
        <v>13388.26956278027</v>
      </c>
      <c r="R236" s="279">
        <f t="shared" si="87"/>
        <v>262455.57043721975</v>
      </c>
      <c r="S236" s="385">
        <v>-13389.3</v>
      </c>
      <c r="T236" s="399">
        <f t="shared" si="88"/>
        <v>-1.0304372197297198</v>
      </c>
    </row>
    <row r="237" spans="1:20">
      <c r="A237" s="343" t="s">
        <v>247</v>
      </c>
      <c r="B237" s="398">
        <v>43767</v>
      </c>
      <c r="C237" s="385">
        <v>289000</v>
      </c>
      <c r="D237" s="282"/>
      <c r="E237" s="282"/>
      <c r="F237" s="282"/>
      <c r="G237" s="278">
        <f t="shared" si="80"/>
        <v>14450</v>
      </c>
      <c r="H237" s="282"/>
      <c r="I237" s="282"/>
      <c r="J237" s="282"/>
      <c r="K237" s="282">
        <f t="shared" si="81"/>
        <v>154</v>
      </c>
      <c r="L237" s="278">
        <f t="shared" si="82"/>
        <v>0.42191780821917807</v>
      </c>
      <c r="M237" s="385">
        <v>5813.56</v>
      </c>
      <c r="N237" s="279">
        <f t="shared" si="83"/>
        <v>283186.44</v>
      </c>
      <c r="O237" s="290">
        <f t="shared" si="84"/>
        <v>19.578082191780823</v>
      </c>
      <c r="P237" s="278">
        <f t="shared" si="85"/>
        <v>268736.44</v>
      </c>
      <c r="Q237" s="279">
        <f t="shared" si="86"/>
        <v>13726.392471312622</v>
      </c>
      <c r="R237" s="279">
        <f t="shared" si="87"/>
        <v>269460.0475286874</v>
      </c>
      <c r="S237" s="385">
        <v>-13727.5</v>
      </c>
      <c r="T237" s="399">
        <f t="shared" si="88"/>
        <v>-1.1075286873783625</v>
      </c>
    </row>
    <row r="238" spans="1:20">
      <c r="A238" s="343" t="s">
        <v>259</v>
      </c>
      <c r="B238" s="398">
        <v>43799</v>
      </c>
      <c r="C238" s="385">
        <v>160500</v>
      </c>
      <c r="D238" s="282"/>
      <c r="E238" s="282"/>
      <c r="F238" s="282"/>
      <c r="G238" s="278">
        <f t="shared" si="80"/>
        <v>8025</v>
      </c>
      <c r="H238" s="282"/>
      <c r="I238" s="282"/>
      <c r="J238" s="282"/>
      <c r="K238" s="282">
        <f t="shared" si="81"/>
        <v>122</v>
      </c>
      <c r="L238" s="278">
        <f t="shared" si="82"/>
        <v>0.33424657534246577</v>
      </c>
      <c r="M238" s="385">
        <v>2562.08</v>
      </c>
      <c r="N238" s="279">
        <f t="shared" si="83"/>
        <v>157937.92000000001</v>
      </c>
      <c r="O238" s="290">
        <f t="shared" si="84"/>
        <v>19.665753424657535</v>
      </c>
      <c r="P238" s="278">
        <f t="shared" si="85"/>
        <v>149912.92000000001</v>
      </c>
      <c r="Q238" s="279">
        <f t="shared" si="86"/>
        <v>7623.0448314293681</v>
      </c>
      <c r="R238" s="279">
        <f t="shared" si="87"/>
        <v>150314.87516857064</v>
      </c>
      <c r="S238" s="385">
        <v>-7623.75</v>
      </c>
      <c r="T238" s="399">
        <f t="shared" si="88"/>
        <v>-0.70516857063194038</v>
      </c>
    </row>
    <row r="239" spans="1:20">
      <c r="A239" s="343" t="s">
        <v>260</v>
      </c>
      <c r="B239" s="398">
        <v>43799</v>
      </c>
      <c r="C239" s="385">
        <v>19910</v>
      </c>
      <c r="D239" s="282"/>
      <c r="E239" s="282"/>
      <c r="F239" s="282"/>
      <c r="G239" s="278">
        <f t="shared" si="80"/>
        <v>995.5</v>
      </c>
      <c r="H239" s="282"/>
      <c r="I239" s="282"/>
      <c r="J239" s="282"/>
      <c r="K239" s="282">
        <f t="shared" si="81"/>
        <v>122</v>
      </c>
      <c r="L239" s="278">
        <f t="shared" si="82"/>
        <v>0.33424657534246577</v>
      </c>
      <c r="M239" s="385">
        <v>317.83</v>
      </c>
      <c r="N239" s="279">
        <f t="shared" si="83"/>
        <v>19592.169999999998</v>
      </c>
      <c r="O239" s="290">
        <f t="shared" si="84"/>
        <v>19.665753424657535</v>
      </c>
      <c r="P239" s="278">
        <f t="shared" si="85"/>
        <v>18596.669999999998</v>
      </c>
      <c r="Q239" s="279">
        <f t="shared" si="86"/>
        <v>945.63730147673436</v>
      </c>
      <c r="R239" s="279">
        <f t="shared" si="87"/>
        <v>18646.532698523264</v>
      </c>
      <c r="S239" s="385">
        <v>-945.73</v>
      </c>
      <c r="T239" s="399">
        <f t="shared" si="88"/>
        <v>-9.2698523265653421E-2</v>
      </c>
    </row>
    <row r="240" spans="1:20">
      <c r="A240" s="343" t="s">
        <v>250</v>
      </c>
      <c r="B240" s="398">
        <v>43810</v>
      </c>
      <c r="C240" s="385">
        <v>11800</v>
      </c>
      <c r="D240" s="282"/>
      <c r="E240" s="282"/>
      <c r="F240" s="282"/>
      <c r="G240" s="278">
        <f t="shared" si="80"/>
        <v>590</v>
      </c>
      <c r="H240" s="282"/>
      <c r="I240" s="282"/>
      <c r="J240" s="282"/>
      <c r="K240" s="282">
        <f t="shared" si="81"/>
        <v>111</v>
      </c>
      <c r="L240" s="278">
        <f t="shared" si="82"/>
        <v>0.30410958904109592</v>
      </c>
      <c r="M240" s="385">
        <v>171.52</v>
      </c>
      <c r="N240" s="279">
        <f t="shared" si="83"/>
        <v>11628.48</v>
      </c>
      <c r="O240" s="290">
        <f t="shared" si="84"/>
        <v>19.695890410958903</v>
      </c>
      <c r="P240" s="278">
        <f t="shared" si="85"/>
        <v>11038.48</v>
      </c>
      <c r="Q240" s="279">
        <f t="shared" si="86"/>
        <v>560.44584782306299</v>
      </c>
      <c r="R240" s="279">
        <f t="shared" si="87"/>
        <v>11068.034152176937</v>
      </c>
      <c r="S240" s="385">
        <v>-560.5</v>
      </c>
      <c r="T240" s="399">
        <f t="shared" si="88"/>
        <v>-5.4152176937009244E-2</v>
      </c>
    </row>
    <row r="241" spans="1:20">
      <c r="A241" s="343" t="s">
        <v>268</v>
      </c>
      <c r="B241" s="398">
        <v>43811</v>
      </c>
      <c r="C241" s="385">
        <v>0</v>
      </c>
      <c r="D241" s="282"/>
      <c r="E241" s="282"/>
      <c r="F241" s="282"/>
      <c r="G241" s="278">
        <f t="shared" si="80"/>
        <v>0</v>
      </c>
      <c r="H241" s="282"/>
      <c r="I241" s="282"/>
      <c r="J241" s="282"/>
      <c r="K241" s="282">
        <f t="shared" si="81"/>
        <v>110</v>
      </c>
      <c r="L241" s="278">
        <f t="shared" si="82"/>
        <v>0.30136986301369861</v>
      </c>
      <c r="M241" s="385">
        <v>0</v>
      </c>
      <c r="N241" s="279">
        <f t="shared" si="83"/>
        <v>0</v>
      </c>
      <c r="O241" s="290">
        <f t="shared" si="84"/>
        <v>19.698630136986303</v>
      </c>
      <c r="P241" s="278">
        <f t="shared" si="85"/>
        <v>0</v>
      </c>
      <c r="Q241" s="279">
        <f t="shared" si="86"/>
        <v>0</v>
      </c>
      <c r="R241" s="279">
        <f t="shared" si="87"/>
        <v>0</v>
      </c>
      <c r="S241" s="385">
        <v>0</v>
      </c>
      <c r="T241" s="399">
        <f t="shared" si="88"/>
        <v>0</v>
      </c>
    </row>
    <row r="242" spans="1:20">
      <c r="A242" s="343" t="s">
        <v>252</v>
      </c>
      <c r="B242" s="398">
        <v>43816</v>
      </c>
      <c r="C242" s="385">
        <v>2781000</v>
      </c>
      <c r="D242" s="282"/>
      <c r="E242" s="282"/>
      <c r="F242" s="282"/>
      <c r="G242" s="278">
        <f t="shared" si="80"/>
        <v>139050</v>
      </c>
      <c r="H242" s="282"/>
      <c r="I242" s="282"/>
      <c r="J242" s="282"/>
      <c r="K242" s="282">
        <f t="shared" si="81"/>
        <v>105</v>
      </c>
      <c r="L242" s="278">
        <f t="shared" si="82"/>
        <v>0.28767123287671231</v>
      </c>
      <c r="M242" s="385">
        <v>38257.75</v>
      </c>
      <c r="N242" s="279">
        <f t="shared" si="83"/>
        <v>2742742.25</v>
      </c>
      <c r="O242" s="290">
        <f t="shared" si="84"/>
        <v>19.712328767123289</v>
      </c>
      <c r="P242" s="278">
        <f t="shared" si="85"/>
        <v>2603692.25</v>
      </c>
      <c r="Q242" s="279">
        <f t="shared" si="86"/>
        <v>132084.45743571923</v>
      </c>
      <c r="R242" s="279">
        <f t="shared" si="87"/>
        <v>2610657.7925642808</v>
      </c>
      <c r="S242" s="385">
        <v>-132097.5</v>
      </c>
      <c r="T242" s="399">
        <f t="shared" si="88"/>
        <v>-13.042564280767692</v>
      </c>
    </row>
    <row r="243" spans="1:20">
      <c r="A243" s="343" t="s">
        <v>257</v>
      </c>
      <c r="B243" s="398">
        <v>43823</v>
      </c>
      <c r="C243" s="385">
        <v>30000</v>
      </c>
      <c r="D243" s="282"/>
      <c r="E243" s="282"/>
      <c r="F243" s="282"/>
      <c r="G243" s="278">
        <f t="shared" si="80"/>
        <v>1500</v>
      </c>
      <c r="H243" s="282"/>
      <c r="I243" s="282"/>
      <c r="J243" s="282"/>
      <c r="K243" s="282">
        <f t="shared" si="81"/>
        <v>98</v>
      </c>
      <c r="L243" s="278">
        <f t="shared" si="82"/>
        <v>0.26849315068493151</v>
      </c>
      <c r="M243" s="385">
        <v>385.45</v>
      </c>
      <c r="N243" s="279">
        <f t="shared" si="83"/>
        <v>29614.55</v>
      </c>
      <c r="O243" s="290">
        <f t="shared" si="84"/>
        <v>19.731506849315068</v>
      </c>
      <c r="P243" s="278">
        <f t="shared" si="85"/>
        <v>28114.55</v>
      </c>
      <c r="Q243" s="279">
        <f t="shared" si="86"/>
        <v>1424.8556998056097</v>
      </c>
      <c r="R243" s="279">
        <f t="shared" si="87"/>
        <v>28189.694300194391</v>
      </c>
      <c r="S243" s="385">
        <v>-1425</v>
      </c>
      <c r="T243" s="399">
        <f t="shared" si="88"/>
        <v>-0.14430019439032549</v>
      </c>
    </row>
    <row r="244" spans="1:20">
      <c r="A244" s="343" t="s">
        <v>258</v>
      </c>
      <c r="B244" s="398">
        <v>43823</v>
      </c>
      <c r="C244" s="385">
        <v>24500</v>
      </c>
      <c r="D244" s="282"/>
      <c r="E244" s="282"/>
      <c r="F244" s="282"/>
      <c r="G244" s="278">
        <f t="shared" si="80"/>
        <v>1225</v>
      </c>
      <c r="H244" s="282"/>
      <c r="I244" s="282"/>
      <c r="J244" s="282"/>
      <c r="K244" s="282">
        <f t="shared" si="81"/>
        <v>98</v>
      </c>
      <c r="L244" s="278">
        <f t="shared" si="82"/>
        <v>0.26849315068493151</v>
      </c>
      <c r="M244" s="385">
        <v>314.77999999999997</v>
      </c>
      <c r="N244" s="279">
        <f t="shared" si="83"/>
        <v>24185.22</v>
      </c>
      <c r="O244" s="290">
        <f t="shared" si="84"/>
        <v>19.731506849315068</v>
      </c>
      <c r="P244" s="278">
        <f t="shared" si="85"/>
        <v>22960.22</v>
      </c>
      <c r="Q244" s="279">
        <f t="shared" si="86"/>
        <v>1163.632366009442</v>
      </c>
      <c r="R244" s="279">
        <f t="shared" si="87"/>
        <v>23021.587633990559</v>
      </c>
      <c r="S244" s="385">
        <v>-1163.75</v>
      </c>
      <c r="T244" s="399">
        <f t="shared" si="88"/>
        <v>-0.11763399055803347</v>
      </c>
    </row>
    <row r="245" spans="1:20">
      <c r="A245" s="343" t="s">
        <v>328</v>
      </c>
      <c r="B245" s="398">
        <v>43823</v>
      </c>
      <c r="C245" s="385">
        <v>0</v>
      </c>
      <c r="D245" s="282"/>
      <c r="E245" s="282"/>
      <c r="F245" s="282"/>
      <c r="G245" s="278">
        <f t="shared" si="80"/>
        <v>0</v>
      </c>
      <c r="H245" s="282"/>
      <c r="I245" s="282"/>
      <c r="J245" s="282"/>
      <c r="K245" s="282">
        <f t="shared" si="81"/>
        <v>98</v>
      </c>
      <c r="L245" s="278">
        <f t="shared" si="82"/>
        <v>0.26849315068493151</v>
      </c>
      <c r="M245" s="385">
        <v>0</v>
      </c>
      <c r="N245" s="279">
        <f t="shared" si="83"/>
        <v>0</v>
      </c>
      <c r="O245" s="290">
        <f t="shared" si="84"/>
        <v>19.731506849315068</v>
      </c>
      <c r="P245" s="278">
        <f t="shared" si="85"/>
        <v>0</v>
      </c>
      <c r="Q245" s="279">
        <f t="shared" si="86"/>
        <v>0</v>
      </c>
      <c r="R245" s="279">
        <f t="shared" si="87"/>
        <v>0</v>
      </c>
      <c r="S245" s="385">
        <v>0</v>
      </c>
      <c r="T245" s="399">
        <f t="shared" si="88"/>
        <v>0</v>
      </c>
    </row>
    <row r="246" spans="1:20">
      <c r="A246" s="343" t="s">
        <v>272</v>
      </c>
      <c r="B246" s="398">
        <v>43825</v>
      </c>
      <c r="C246" s="385">
        <v>0</v>
      </c>
      <c r="D246" s="282"/>
      <c r="E246" s="282"/>
      <c r="F246" s="282"/>
      <c r="G246" s="278">
        <f t="shared" si="80"/>
        <v>0</v>
      </c>
      <c r="H246" s="282"/>
      <c r="I246" s="282"/>
      <c r="J246" s="282"/>
      <c r="K246" s="282">
        <f t="shared" si="81"/>
        <v>96</v>
      </c>
      <c r="L246" s="278">
        <f t="shared" si="82"/>
        <v>0.26301369863013696</v>
      </c>
      <c r="M246" s="385">
        <v>0</v>
      </c>
      <c r="N246" s="279">
        <f t="shared" si="83"/>
        <v>0</v>
      </c>
      <c r="O246" s="290">
        <f t="shared" si="84"/>
        <v>19.736986301369864</v>
      </c>
      <c r="P246" s="278">
        <f t="shared" si="85"/>
        <v>0</v>
      </c>
      <c r="Q246" s="279">
        <f t="shared" si="86"/>
        <v>0</v>
      </c>
      <c r="R246" s="279">
        <f t="shared" si="87"/>
        <v>0</v>
      </c>
      <c r="S246" s="385">
        <v>0</v>
      </c>
      <c r="T246" s="399">
        <f t="shared" si="88"/>
        <v>0</v>
      </c>
    </row>
    <row r="247" spans="1:20">
      <c r="A247" s="343" t="s">
        <v>261</v>
      </c>
      <c r="B247" s="398">
        <v>43862</v>
      </c>
      <c r="C247" s="385">
        <v>20000</v>
      </c>
      <c r="D247" s="282"/>
      <c r="E247" s="282"/>
      <c r="F247" s="282"/>
      <c r="G247" s="278">
        <f t="shared" si="80"/>
        <v>1000</v>
      </c>
      <c r="H247" s="282"/>
      <c r="I247" s="282"/>
      <c r="J247" s="282"/>
      <c r="K247" s="282">
        <f t="shared" si="81"/>
        <v>59</v>
      </c>
      <c r="L247" s="278">
        <f t="shared" si="82"/>
        <v>0.16164383561643836</v>
      </c>
      <c r="M247" s="385">
        <v>155.74</v>
      </c>
      <c r="N247" s="279">
        <f t="shared" si="83"/>
        <v>19844.259999999998</v>
      </c>
      <c r="O247" s="290">
        <f t="shared" si="84"/>
        <v>19.838356164383562</v>
      </c>
      <c r="P247" s="278">
        <f t="shared" si="85"/>
        <v>18844.259999999998</v>
      </c>
      <c r="Q247" s="279">
        <f t="shared" si="86"/>
        <v>949.89019472448547</v>
      </c>
      <c r="R247" s="279">
        <f t="shared" si="87"/>
        <v>18894.369805275513</v>
      </c>
      <c r="S247" s="385">
        <v>-950</v>
      </c>
      <c r="T247" s="399">
        <f t="shared" si="88"/>
        <v>-0.10980527551453179</v>
      </c>
    </row>
    <row r="248" spans="1:20">
      <c r="A248" s="343" t="s">
        <v>253</v>
      </c>
      <c r="B248" s="398">
        <v>43875</v>
      </c>
      <c r="C248" s="385">
        <v>33840</v>
      </c>
      <c r="D248" s="282"/>
      <c r="E248" s="282"/>
      <c r="F248" s="282"/>
      <c r="G248" s="278">
        <f t="shared" si="80"/>
        <v>1692</v>
      </c>
      <c r="H248" s="282"/>
      <c r="I248" s="282"/>
      <c r="J248" s="282"/>
      <c r="K248" s="282">
        <f t="shared" si="81"/>
        <v>46</v>
      </c>
      <c r="L248" s="278">
        <f t="shared" si="82"/>
        <v>0.12602739726027398</v>
      </c>
      <c r="M248" s="385">
        <v>206.41</v>
      </c>
      <c r="N248" s="279">
        <f t="shared" si="83"/>
        <v>33633.589999999997</v>
      </c>
      <c r="O248" s="290">
        <f t="shared" si="84"/>
        <v>19.873972602739727</v>
      </c>
      <c r="P248" s="278">
        <f t="shared" si="85"/>
        <v>31941.589999999997</v>
      </c>
      <c r="Q248" s="279">
        <f t="shared" si="86"/>
        <v>1607.2071064240417</v>
      </c>
      <c r="R248" s="279">
        <f t="shared" si="87"/>
        <v>32026.382893575956</v>
      </c>
      <c r="S248" s="385">
        <v>-1607.4</v>
      </c>
      <c r="T248" s="399">
        <f t="shared" si="88"/>
        <v>-0.19289357595835099</v>
      </c>
    </row>
    <row r="249" spans="1:20">
      <c r="A249" s="343" t="s">
        <v>254</v>
      </c>
      <c r="B249" s="398">
        <v>43875</v>
      </c>
      <c r="C249" s="385">
        <v>29070</v>
      </c>
      <c r="D249" s="282"/>
      <c r="E249" s="282"/>
      <c r="F249" s="282"/>
      <c r="G249" s="278">
        <f t="shared" si="80"/>
        <v>1453.5</v>
      </c>
      <c r="H249" s="282"/>
      <c r="I249" s="282"/>
      <c r="J249" s="282"/>
      <c r="K249" s="282">
        <f t="shared" si="81"/>
        <v>46</v>
      </c>
      <c r="L249" s="278">
        <f t="shared" si="82"/>
        <v>0.12602739726027398</v>
      </c>
      <c r="M249" s="385">
        <v>177.32</v>
      </c>
      <c r="N249" s="279">
        <f t="shared" si="83"/>
        <v>28892.68</v>
      </c>
      <c r="O249" s="290">
        <f t="shared" si="84"/>
        <v>19.873972602739727</v>
      </c>
      <c r="P249" s="278">
        <f t="shared" si="85"/>
        <v>27439.18</v>
      </c>
      <c r="Q249" s="279">
        <f t="shared" si="86"/>
        <v>1380.6590432864625</v>
      </c>
      <c r="R249" s="279">
        <f t="shared" si="87"/>
        <v>27512.020956713539</v>
      </c>
      <c r="S249" s="385">
        <v>-1380.83</v>
      </c>
      <c r="T249" s="399">
        <f t="shared" si="88"/>
        <v>-0.17095671353740727</v>
      </c>
    </row>
    <row r="250" spans="1:20">
      <c r="A250" s="343" t="s">
        <v>251</v>
      </c>
      <c r="B250" s="398">
        <v>43878</v>
      </c>
      <c r="C250" s="385">
        <v>7397.4</v>
      </c>
      <c r="D250" s="282"/>
      <c r="E250" s="282"/>
      <c r="F250" s="282"/>
      <c r="G250" s="278">
        <f t="shared" si="80"/>
        <v>369.87</v>
      </c>
      <c r="H250" s="282"/>
      <c r="I250" s="282"/>
      <c r="J250" s="282"/>
      <c r="K250" s="282">
        <f t="shared" si="81"/>
        <v>43</v>
      </c>
      <c r="L250" s="278">
        <f t="shared" si="82"/>
        <v>0.11780821917808219</v>
      </c>
      <c r="M250" s="385">
        <v>42.24</v>
      </c>
      <c r="N250" s="279">
        <f t="shared" si="83"/>
        <v>7355.16</v>
      </c>
      <c r="O250" s="290">
        <f t="shared" si="84"/>
        <v>19.882191780821916</v>
      </c>
      <c r="P250" s="278">
        <f t="shared" si="85"/>
        <v>6985.29</v>
      </c>
      <c r="Q250" s="279">
        <f t="shared" si="86"/>
        <v>351.33400165357591</v>
      </c>
      <c r="R250" s="279">
        <f t="shared" si="87"/>
        <v>7003.8259983464241</v>
      </c>
      <c r="S250" s="385">
        <v>-351.38</v>
      </c>
      <c r="T250" s="399">
        <f t="shared" si="88"/>
        <v>-4.5998346424084957E-2</v>
      </c>
    </row>
    <row r="251" spans="1:20">
      <c r="A251" s="343" t="s">
        <v>255</v>
      </c>
      <c r="B251" s="398">
        <v>43878</v>
      </c>
      <c r="C251" s="385">
        <v>19389.599999999999</v>
      </c>
      <c r="D251" s="282"/>
      <c r="E251" s="282"/>
      <c r="F251" s="282"/>
      <c r="G251" s="278">
        <f t="shared" si="80"/>
        <v>969.48</v>
      </c>
      <c r="H251" s="282"/>
      <c r="I251" s="282"/>
      <c r="J251" s="282"/>
      <c r="K251" s="282">
        <f t="shared" si="81"/>
        <v>43</v>
      </c>
      <c r="L251" s="278">
        <f t="shared" si="82"/>
        <v>0.11780821917808219</v>
      </c>
      <c r="M251" s="385">
        <v>110.72</v>
      </c>
      <c r="N251" s="279">
        <f t="shared" si="83"/>
        <v>19278.879999999997</v>
      </c>
      <c r="O251" s="290">
        <f t="shared" si="84"/>
        <v>19.882191780821916</v>
      </c>
      <c r="P251" s="278">
        <f t="shared" si="85"/>
        <v>18309.399999999998</v>
      </c>
      <c r="Q251" s="279">
        <f t="shared" si="86"/>
        <v>920.89444674107756</v>
      </c>
      <c r="R251" s="279">
        <f t="shared" si="87"/>
        <v>18357.985553258921</v>
      </c>
      <c r="S251" s="385">
        <v>-921.01</v>
      </c>
      <c r="T251" s="399">
        <f t="shared" si="88"/>
        <v>-0.11555325892243218</v>
      </c>
    </row>
    <row r="252" spans="1:20">
      <c r="A252" s="343" t="s">
        <v>256</v>
      </c>
      <c r="B252" s="398">
        <v>43878</v>
      </c>
      <c r="C252" s="385">
        <v>17846.7</v>
      </c>
      <c r="D252" s="282"/>
      <c r="E252" s="282"/>
      <c r="F252" s="282"/>
      <c r="G252" s="278">
        <f t="shared" si="80"/>
        <v>892.33500000000004</v>
      </c>
      <c r="H252" s="282"/>
      <c r="I252" s="282"/>
      <c r="J252" s="282"/>
      <c r="K252" s="282">
        <f t="shared" si="81"/>
        <v>43</v>
      </c>
      <c r="L252" s="278">
        <f t="shared" si="82"/>
        <v>0.11780821917808219</v>
      </c>
      <c r="M252" s="385">
        <v>101.91</v>
      </c>
      <c r="N252" s="279">
        <f t="shared" si="83"/>
        <v>17744.79</v>
      </c>
      <c r="O252" s="290">
        <f t="shared" si="84"/>
        <v>19.882191780821916</v>
      </c>
      <c r="P252" s="278">
        <f t="shared" si="85"/>
        <v>16852.455000000002</v>
      </c>
      <c r="Q252" s="279">
        <f t="shared" si="86"/>
        <v>847.61555394791253</v>
      </c>
      <c r="R252" s="279">
        <f t="shared" si="87"/>
        <v>16897.174446052089</v>
      </c>
      <c r="S252" s="385">
        <v>-847.72</v>
      </c>
      <c r="T252" s="399">
        <f t="shared" si="88"/>
        <v>-0.10444605208749635</v>
      </c>
    </row>
    <row r="253" spans="1:20">
      <c r="A253" s="343" t="s">
        <v>329</v>
      </c>
      <c r="B253" s="398">
        <v>43881</v>
      </c>
      <c r="C253" s="385">
        <v>0</v>
      </c>
      <c r="D253" s="282"/>
      <c r="E253" s="282"/>
      <c r="F253" s="282"/>
      <c r="G253" s="278">
        <f t="shared" si="80"/>
        <v>0</v>
      </c>
      <c r="H253" s="282"/>
      <c r="I253" s="282"/>
      <c r="J253" s="282"/>
      <c r="K253" s="282">
        <f t="shared" si="81"/>
        <v>40</v>
      </c>
      <c r="L253" s="278">
        <f t="shared" si="82"/>
        <v>0.1095890410958904</v>
      </c>
      <c r="M253" s="385">
        <v>0</v>
      </c>
      <c r="N253" s="279">
        <f t="shared" si="83"/>
        <v>0</v>
      </c>
      <c r="O253" s="290">
        <f t="shared" si="84"/>
        <v>19.890410958904109</v>
      </c>
      <c r="P253" s="278">
        <f t="shared" si="85"/>
        <v>0</v>
      </c>
      <c r="Q253" s="279">
        <f t="shared" si="86"/>
        <v>0</v>
      </c>
      <c r="R253" s="279">
        <f t="shared" si="87"/>
        <v>0</v>
      </c>
      <c r="S253" s="385">
        <v>0</v>
      </c>
      <c r="T253" s="399">
        <f t="shared" si="88"/>
        <v>0</v>
      </c>
    </row>
    <row r="254" spans="1:20">
      <c r="A254" s="343" t="s">
        <v>269</v>
      </c>
      <c r="B254" s="398">
        <v>43883</v>
      </c>
      <c r="C254" s="385">
        <v>0</v>
      </c>
      <c r="D254" s="282"/>
      <c r="E254" s="282"/>
      <c r="F254" s="282"/>
      <c r="G254" s="278">
        <f t="shared" si="80"/>
        <v>0</v>
      </c>
      <c r="H254" s="282"/>
      <c r="I254" s="282"/>
      <c r="J254" s="282"/>
      <c r="K254" s="282">
        <f t="shared" si="81"/>
        <v>38</v>
      </c>
      <c r="L254" s="278">
        <f t="shared" si="82"/>
        <v>0.10410958904109589</v>
      </c>
      <c r="M254" s="385">
        <v>0</v>
      </c>
      <c r="N254" s="279">
        <f t="shared" si="83"/>
        <v>0</v>
      </c>
      <c r="O254" s="290">
        <f t="shared" si="84"/>
        <v>19.895890410958906</v>
      </c>
      <c r="P254" s="278">
        <f t="shared" si="85"/>
        <v>0</v>
      </c>
      <c r="Q254" s="279">
        <f t="shared" si="86"/>
        <v>0</v>
      </c>
      <c r="R254" s="279">
        <f t="shared" si="87"/>
        <v>0</v>
      </c>
      <c r="S254" s="385">
        <v>0</v>
      </c>
      <c r="T254" s="399">
        <f t="shared" si="88"/>
        <v>0</v>
      </c>
    </row>
    <row r="255" spans="1:20">
      <c r="A255" s="343" t="s">
        <v>270</v>
      </c>
      <c r="B255" s="398">
        <v>43883</v>
      </c>
      <c r="C255" s="385">
        <v>0</v>
      </c>
      <c r="D255" s="282"/>
      <c r="E255" s="282"/>
      <c r="F255" s="282"/>
      <c r="G255" s="278">
        <f t="shared" si="80"/>
        <v>0</v>
      </c>
      <c r="H255" s="282"/>
      <c r="I255" s="282"/>
      <c r="J255" s="282"/>
      <c r="K255" s="282">
        <f t="shared" si="81"/>
        <v>38</v>
      </c>
      <c r="L255" s="278">
        <f t="shared" si="82"/>
        <v>0.10410958904109589</v>
      </c>
      <c r="M255" s="385">
        <v>0</v>
      </c>
      <c r="N255" s="279">
        <f t="shared" si="83"/>
        <v>0</v>
      </c>
      <c r="O255" s="290">
        <f t="shared" si="84"/>
        <v>19.895890410958906</v>
      </c>
      <c r="P255" s="278">
        <f t="shared" si="85"/>
        <v>0</v>
      </c>
      <c r="Q255" s="279">
        <f t="shared" si="86"/>
        <v>0</v>
      </c>
      <c r="R255" s="279">
        <f t="shared" si="87"/>
        <v>0</v>
      </c>
      <c r="S255" s="385">
        <v>0</v>
      </c>
      <c r="T255" s="399">
        <f t="shared" si="88"/>
        <v>0</v>
      </c>
    </row>
    <row r="256" spans="1:20">
      <c r="A256" s="343" t="s">
        <v>271</v>
      </c>
      <c r="B256" s="398">
        <v>43890</v>
      </c>
      <c r="C256" s="385">
        <v>0</v>
      </c>
      <c r="D256" s="282"/>
      <c r="E256" s="282"/>
      <c r="F256" s="282"/>
      <c r="G256" s="278">
        <f t="shared" si="80"/>
        <v>0</v>
      </c>
      <c r="H256" s="282"/>
      <c r="I256" s="282"/>
      <c r="J256" s="282"/>
      <c r="K256" s="282">
        <f t="shared" si="81"/>
        <v>31</v>
      </c>
      <c r="L256" s="278">
        <f t="shared" si="82"/>
        <v>8.4931506849315067E-2</v>
      </c>
      <c r="M256" s="385">
        <v>0</v>
      </c>
      <c r="N256" s="279">
        <f t="shared" si="83"/>
        <v>0</v>
      </c>
      <c r="O256" s="290">
        <f t="shared" si="84"/>
        <v>19.915068493150685</v>
      </c>
      <c r="P256" s="278">
        <f t="shared" si="85"/>
        <v>0</v>
      </c>
      <c r="Q256" s="279">
        <f t="shared" si="86"/>
        <v>0</v>
      </c>
      <c r="R256" s="279">
        <f t="shared" si="87"/>
        <v>0</v>
      </c>
      <c r="S256" s="385">
        <v>0</v>
      </c>
      <c r="T256" s="399">
        <f t="shared" si="88"/>
        <v>0</v>
      </c>
    </row>
    <row r="257" spans="1:21">
      <c r="A257" s="343" t="s">
        <v>262</v>
      </c>
      <c r="B257" s="398">
        <v>43897</v>
      </c>
      <c r="C257" s="385">
        <v>28500</v>
      </c>
      <c r="D257" s="282"/>
      <c r="E257" s="282"/>
      <c r="F257" s="282"/>
      <c r="G257" s="278">
        <f t="shared" si="80"/>
        <v>1425</v>
      </c>
      <c r="H257" s="282"/>
      <c r="I257" s="282"/>
      <c r="J257" s="282"/>
      <c r="K257" s="282">
        <f t="shared" si="81"/>
        <v>24</v>
      </c>
      <c r="L257" s="278">
        <f t="shared" si="82"/>
        <v>6.575342465753424E-2</v>
      </c>
      <c r="M257" s="385">
        <v>92.47</v>
      </c>
      <c r="N257" s="279">
        <f t="shared" si="83"/>
        <v>28407.53</v>
      </c>
      <c r="O257" s="290">
        <f t="shared" si="84"/>
        <v>19.934246575342467</v>
      </c>
      <c r="P257" s="278">
        <f t="shared" si="85"/>
        <v>26982.53</v>
      </c>
      <c r="Q257" s="279">
        <f t="shared" si="86"/>
        <v>1353.5766148982957</v>
      </c>
      <c r="R257" s="279">
        <f t="shared" si="87"/>
        <v>27053.953385101704</v>
      </c>
      <c r="S257" s="385">
        <v>-1353.75</v>
      </c>
      <c r="T257" s="399">
        <f t="shared" si="88"/>
        <v>-0.17338510170429799</v>
      </c>
    </row>
    <row r="258" spans="1:21">
      <c r="A258" s="343" t="s">
        <v>263</v>
      </c>
      <c r="B258" s="398">
        <v>43903</v>
      </c>
      <c r="C258" s="385">
        <v>33400</v>
      </c>
      <c r="D258" s="282"/>
      <c r="E258" s="282"/>
      <c r="F258" s="282"/>
      <c r="G258" s="278">
        <f t="shared" si="80"/>
        <v>1670</v>
      </c>
      <c r="H258" s="282"/>
      <c r="I258" s="282"/>
      <c r="J258" s="282"/>
      <c r="K258" s="282">
        <f t="shared" si="81"/>
        <v>18</v>
      </c>
      <c r="L258" s="278">
        <f t="shared" si="82"/>
        <v>4.9315068493150684E-2</v>
      </c>
      <c r="M258" s="385">
        <v>82.36</v>
      </c>
      <c r="N258" s="279">
        <f t="shared" si="83"/>
        <v>33317.64</v>
      </c>
      <c r="O258" s="290">
        <f t="shared" si="84"/>
        <v>19.950684931506849</v>
      </c>
      <c r="P258" s="278">
        <f t="shared" si="85"/>
        <v>31647.64</v>
      </c>
      <c r="Q258" s="279">
        <f t="shared" si="86"/>
        <v>1586.2934084042845</v>
      </c>
      <c r="R258" s="279">
        <f t="shared" si="87"/>
        <v>31731.346591595713</v>
      </c>
      <c r="S258" s="385">
        <v>-1586.5</v>
      </c>
      <c r="T258" s="399">
        <f t="shared" si="88"/>
        <v>-0.20659159571550845</v>
      </c>
    </row>
    <row r="259" spans="1:21" ht="15">
      <c r="A259" s="388" t="s">
        <v>103</v>
      </c>
      <c r="B259" s="111"/>
      <c r="C259" s="119">
        <f>SUM(C15:C258)</f>
        <v>356476918.19999987</v>
      </c>
      <c r="D259" s="111"/>
      <c r="E259" s="111"/>
      <c r="F259" s="111"/>
      <c r="G259" s="114"/>
      <c r="H259" s="111"/>
      <c r="I259" s="111"/>
      <c r="J259" s="111"/>
      <c r="K259" s="111"/>
      <c r="L259" s="114"/>
      <c r="M259" s="119">
        <f>SUM(M15:M258)</f>
        <v>152353529.60636345</v>
      </c>
      <c r="N259" s="119">
        <f>SUM(N15:N258)</f>
        <v>204123388.59363651</v>
      </c>
      <c r="O259" s="114"/>
      <c r="P259" s="114"/>
      <c r="Q259" s="119">
        <f>SUM(Q15:Q258)</f>
        <v>16904862.087170571</v>
      </c>
      <c r="R259" s="119">
        <f>SUM(R15:R258)</f>
        <v>187218526.50646573</v>
      </c>
      <c r="S259" s="248"/>
      <c r="T259" s="248"/>
      <c r="U259" s="255">
        <f>-SUM(S15:S258)</f>
        <v>16932653.780000005</v>
      </c>
    </row>
    <row r="260" spans="1:21" ht="15">
      <c r="A260" s="388"/>
      <c r="B260" s="111"/>
      <c r="C260" s="117"/>
      <c r="D260" s="111"/>
      <c r="E260" s="111"/>
      <c r="F260" s="111"/>
      <c r="G260" s="114"/>
      <c r="H260" s="111"/>
      <c r="I260" s="111"/>
      <c r="J260" s="111"/>
      <c r="K260" s="111"/>
      <c r="L260" s="114"/>
      <c r="M260" s="114"/>
      <c r="N260" s="119"/>
      <c r="O260" s="114"/>
      <c r="P260" s="114"/>
      <c r="Q260" s="119"/>
      <c r="R260" s="119"/>
      <c r="S260" s="248"/>
      <c r="T260" s="248">
        <f t="shared" ref="T260:T306" si="89">+Q260+S260</f>
        <v>0</v>
      </c>
    </row>
    <row r="261" spans="1:21" ht="15">
      <c r="A261" s="388" t="s">
        <v>104</v>
      </c>
      <c r="B261" s="111"/>
      <c r="C261" s="111"/>
      <c r="D261" s="111"/>
      <c r="E261" s="111"/>
      <c r="F261" s="111"/>
      <c r="G261" s="114"/>
      <c r="H261" s="111"/>
      <c r="I261" s="111"/>
      <c r="J261" s="111"/>
      <c r="K261" s="111"/>
      <c r="L261" s="114"/>
      <c r="M261" s="114"/>
      <c r="N261" s="118"/>
      <c r="O261" s="114">
        <v>10</v>
      </c>
      <c r="P261" s="114"/>
      <c r="Q261" s="118"/>
      <c r="R261" s="118"/>
      <c r="S261" s="248"/>
      <c r="T261" s="248">
        <f t="shared" si="89"/>
        <v>0</v>
      </c>
    </row>
    <row r="262" spans="1:21">
      <c r="A262" s="282" t="s">
        <v>105</v>
      </c>
      <c r="B262" s="277">
        <v>38479</v>
      </c>
      <c r="C262" s="322">
        <v>11600</v>
      </c>
      <c r="D262" s="282"/>
      <c r="E262" s="282"/>
      <c r="F262" s="282"/>
      <c r="G262" s="278">
        <f t="shared" ref="G262" si="90">C262*5%</f>
        <v>580</v>
      </c>
      <c r="H262" s="282"/>
      <c r="I262" s="282"/>
      <c r="J262" s="282"/>
      <c r="K262" s="282">
        <f t="shared" ref="K262:K283" si="91">$K$2-B262</f>
        <v>5442</v>
      </c>
      <c r="L262" s="278">
        <f t="shared" ref="L262" si="92">K262/365</f>
        <v>14.90958904109589</v>
      </c>
      <c r="M262" s="334">
        <v>11600</v>
      </c>
      <c r="N262" s="279"/>
      <c r="O262" s="290">
        <f t="shared" ref="O262:O263" si="93">$O$261-L262</f>
        <v>-4.9095890410958898</v>
      </c>
      <c r="P262" s="290">
        <v>0</v>
      </c>
      <c r="Q262" s="279">
        <v>0</v>
      </c>
      <c r="R262" s="279"/>
      <c r="S262" s="400">
        <v>0</v>
      </c>
      <c r="T262" s="248">
        <f t="shared" si="89"/>
        <v>0</v>
      </c>
    </row>
    <row r="263" spans="1:21">
      <c r="A263" s="282" t="s">
        <v>105</v>
      </c>
      <c r="B263" s="277">
        <v>38796</v>
      </c>
      <c r="C263" s="322">
        <v>8600</v>
      </c>
      <c r="D263" s="282"/>
      <c r="E263" s="282"/>
      <c r="F263" s="282"/>
      <c r="G263" s="278">
        <f>C263*5%</f>
        <v>430</v>
      </c>
      <c r="H263" s="282"/>
      <c r="I263" s="282"/>
      <c r="J263" s="282"/>
      <c r="K263" s="282">
        <f t="shared" si="91"/>
        <v>5125</v>
      </c>
      <c r="L263" s="278">
        <f>K263/365</f>
        <v>14.04109589041096</v>
      </c>
      <c r="M263" s="334">
        <v>8235.01</v>
      </c>
      <c r="N263" s="279">
        <f t="shared" ref="N263:N271" si="94">C263-M263</f>
        <v>364.98999999999978</v>
      </c>
      <c r="O263" s="290">
        <f t="shared" si="93"/>
        <v>-4.0410958904109595</v>
      </c>
      <c r="P263" s="278">
        <v>0</v>
      </c>
      <c r="Q263" s="279">
        <f t="shared" ref="Q263" si="95">P263/O263</f>
        <v>0</v>
      </c>
      <c r="R263" s="279">
        <f t="shared" ref="R263:R271" si="96">N263-Q263</f>
        <v>364.98999999999978</v>
      </c>
      <c r="S263" s="400">
        <v>0</v>
      </c>
      <c r="T263" s="248">
        <f t="shared" si="89"/>
        <v>0</v>
      </c>
    </row>
    <row r="264" spans="1:21">
      <c r="A264" s="282" t="s">
        <v>105</v>
      </c>
      <c r="B264" s="277">
        <v>39081</v>
      </c>
      <c r="C264" s="322">
        <v>2600</v>
      </c>
      <c r="D264" s="282"/>
      <c r="E264" s="282"/>
      <c r="F264" s="282"/>
      <c r="G264" s="278">
        <f>C264*5%</f>
        <v>130</v>
      </c>
      <c r="H264" s="282"/>
      <c r="I264" s="282"/>
      <c r="J264" s="282"/>
      <c r="K264" s="282">
        <f t="shared" si="91"/>
        <v>4840</v>
      </c>
      <c r="L264" s="278">
        <f>K264/365</f>
        <v>13.260273972602739</v>
      </c>
      <c r="M264" s="334">
        <v>2590.15</v>
      </c>
      <c r="N264" s="279">
        <f t="shared" si="94"/>
        <v>9.8499999999999091</v>
      </c>
      <c r="O264" s="290">
        <f>$O$261-L264</f>
        <v>-3.2602739726027394</v>
      </c>
      <c r="P264" s="278">
        <v>0</v>
      </c>
      <c r="Q264" s="279">
        <f>P264/O264</f>
        <v>0</v>
      </c>
      <c r="R264" s="279">
        <f t="shared" si="96"/>
        <v>9.8499999999999091</v>
      </c>
      <c r="S264" s="400">
        <v>0</v>
      </c>
      <c r="T264" s="248">
        <f t="shared" si="89"/>
        <v>0</v>
      </c>
    </row>
    <row r="265" spans="1:21">
      <c r="A265" s="282" t="s">
        <v>105</v>
      </c>
      <c r="B265" s="277">
        <v>39148</v>
      </c>
      <c r="C265" s="322">
        <v>9300</v>
      </c>
      <c r="D265" s="282"/>
      <c r="E265" s="282"/>
      <c r="F265" s="282"/>
      <c r="G265" s="278">
        <f>C265*5%</f>
        <v>465</v>
      </c>
      <c r="H265" s="282"/>
      <c r="I265" s="282"/>
      <c r="J265" s="282"/>
      <c r="K265" s="282">
        <f t="shared" si="91"/>
        <v>4773</v>
      </c>
      <c r="L265" s="278">
        <f>K265/365</f>
        <v>13.076712328767123</v>
      </c>
      <c r="M265" s="334">
        <v>8953</v>
      </c>
      <c r="N265" s="279">
        <f t="shared" si="94"/>
        <v>347</v>
      </c>
      <c r="O265" s="290">
        <f>$O$261-L265</f>
        <v>-3.0767123287671225</v>
      </c>
      <c r="P265" s="278">
        <v>0</v>
      </c>
      <c r="Q265" s="279">
        <f>P265/O265</f>
        <v>0</v>
      </c>
      <c r="R265" s="279">
        <f t="shared" si="96"/>
        <v>347</v>
      </c>
      <c r="S265" s="400">
        <v>0</v>
      </c>
      <c r="T265" s="248">
        <f t="shared" si="89"/>
        <v>0</v>
      </c>
    </row>
    <row r="266" spans="1:21">
      <c r="A266" s="282" t="s">
        <v>105</v>
      </c>
      <c r="B266" s="277">
        <v>39156</v>
      </c>
      <c r="C266" s="322">
        <v>390</v>
      </c>
      <c r="D266" s="282"/>
      <c r="E266" s="282"/>
      <c r="F266" s="282"/>
      <c r="G266" s="278">
        <f>C266*5%</f>
        <v>19.5</v>
      </c>
      <c r="H266" s="282"/>
      <c r="I266" s="282"/>
      <c r="J266" s="282"/>
      <c r="K266" s="282">
        <f t="shared" si="91"/>
        <v>4765</v>
      </c>
      <c r="L266" s="278">
        <f>K266/365</f>
        <v>13.054794520547945</v>
      </c>
      <c r="M266" s="334">
        <v>373</v>
      </c>
      <c r="N266" s="279">
        <f t="shared" si="94"/>
        <v>17</v>
      </c>
      <c r="O266" s="290">
        <f>$O$261-L266</f>
        <v>-3.0547945205479454</v>
      </c>
      <c r="P266" s="278">
        <v>0</v>
      </c>
      <c r="Q266" s="279">
        <f>P266/O266</f>
        <v>0</v>
      </c>
      <c r="R266" s="279">
        <f t="shared" si="96"/>
        <v>17</v>
      </c>
      <c r="S266" s="400">
        <v>0</v>
      </c>
      <c r="T266" s="248">
        <f t="shared" si="89"/>
        <v>0</v>
      </c>
    </row>
    <row r="267" spans="1:21">
      <c r="A267" s="282" t="s">
        <v>105</v>
      </c>
      <c r="B267" s="277">
        <v>39330</v>
      </c>
      <c r="C267" s="322">
        <v>5600</v>
      </c>
      <c r="D267" s="282"/>
      <c r="E267" s="282"/>
      <c r="F267" s="282"/>
      <c r="G267" s="278">
        <v>280</v>
      </c>
      <c r="H267" s="282"/>
      <c r="I267" s="282"/>
      <c r="J267" s="282"/>
      <c r="K267" s="282">
        <f t="shared" si="91"/>
        <v>4591</v>
      </c>
      <c r="L267" s="278">
        <f>K267/365</f>
        <v>12.578082191780823</v>
      </c>
      <c r="M267" s="334">
        <v>5320</v>
      </c>
      <c r="N267" s="279">
        <f t="shared" si="94"/>
        <v>280</v>
      </c>
      <c r="O267" s="290">
        <f>$O$261-L267</f>
        <v>-2.5780821917808225</v>
      </c>
      <c r="P267" s="278">
        <v>0</v>
      </c>
      <c r="Q267" s="279">
        <f>P267/O267</f>
        <v>0</v>
      </c>
      <c r="R267" s="279">
        <f t="shared" si="96"/>
        <v>280</v>
      </c>
      <c r="S267" s="333">
        <v>0</v>
      </c>
      <c r="T267" s="248">
        <f t="shared" si="89"/>
        <v>0</v>
      </c>
    </row>
    <row r="268" spans="1:21">
      <c r="A268" s="314" t="s">
        <v>211</v>
      </c>
      <c r="B268" s="315">
        <v>43314</v>
      </c>
      <c r="C268" s="329">
        <v>28500</v>
      </c>
      <c r="D268" s="282"/>
      <c r="E268" s="282"/>
      <c r="F268" s="282"/>
      <c r="G268" s="278">
        <f t="shared" ref="G268:G283" si="97">C268*5%</f>
        <v>1425</v>
      </c>
      <c r="H268" s="282"/>
      <c r="I268" s="282"/>
      <c r="J268" s="282"/>
      <c r="K268" s="282">
        <f t="shared" si="91"/>
        <v>607</v>
      </c>
      <c r="L268" s="278">
        <f t="shared" ref="L268:L289" si="98">K268/365</f>
        <v>1.6630136986301369</v>
      </c>
      <c r="M268" s="385">
        <v>4495.1899999999996</v>
      </c>
      <c r="N268" s="279">
        <f t="shared" si="94"/>
        <v>24004.81</v>
      </c>
      <c r="O268" s="290">
        <f t="shared" ref="O268:O271" si="99">$O$261-L268</f>
        <v>8.3369863013698637</v>
      </c>
      <c r="P268" s="278">
        <f>N268-G268</f>
        <v>22579.81</v>
      </c>
      <c r="Q268" s="279">
        <f>+(C268-G268)/$O$261</f>
        <v>2707.5</v>
      </c>
      <c r="R268" s="279">
        <f t="shared" si="96"/>
        <v>21297.31</v>
      </c>
      <c r="S268" s="400">
        <f>+[1]Sheet1!$I$213</f>
        <v>-2707.5</v>
      </c>
      <c r="T268" s="248">
        <f>-(Q268+S268)</f>
        <v>0</v>
      </c>
    </row>
    <row r="269" spans="1:21">
      <c r="A269" s="314" t="s">
        <v>211</v>
      </c>
      <c r="B269" s="315">
        <v>43518</v>
      </c>
      <c r="C269" s="329">
        <v>24152.53</v>
      </c>
      <c r="D269" s="282"/>
      <c r="E269" s="282"/>
      <c r="F269" s="282"/>
      <c r="G269" s="278">
        <f t="shared" si="97"/>
        <v>1207.6265000000001</v>
      </c>
      <c r="H269" s="282"/>
      <c r="I269" s="282"/>
      <c r="J269" s="282"/>
      <c r="K269" s="282">
        <f t="shared" si="91"/>
        <v>403</v>
      </c>
      <c r="L269" s="278">
        <f t="shared" si="98"/>
        <v>1.1041095890410959</v>
      </c>
      <c r="M269" s="385">
        <v>2527.08</v>
      </c>
      <c r="N269" s="279">
        <f t="shared" si="94"/>
        <v>21625.449999999997</v>
      </c>
      <c r="O269" s="290">
        <f t="shared" si="99"/>
        <v>8.8958904109589039</v>
      </c>
      <c r="P269" s="278">
        <f>N269-G269</f>
        <v>20417.823499999999</v>
      </c>
      <c r="Q269" s="279">
        <f>+(C269-G269)/$O$261</f>
        <v>2294.49035</v>
      </c>
      <c r="R269" s="279">
        <f t="shared" si="96"/>
        <v>19330.959649999997</v>
      </c>
      <c r="S269" s="333">
        <f>+[1]Sheet1!$I$219</f>
        <v>-2294.4899999999998</v>
      </c>
      <c r="T269" s="248">
        <f t="shared" ref="T269:T283" si="100">-(Q269+S269)</f>
        <v>-3.5000000025320332E-4</v>
      </c>
    </row>
    <row r="270" spans="1:21">
      <c r="A270" s="314" t="s">
        <v>212</v>
      </c>
      <c r="B270" s="315">
        <v>43314</v>
      </c>
      <c r="C270" s="329">
        <v>7500</v>
      </c>
      <c r="D270" s="282"/>
      <c r="E270" s="282"/>
      <c r="F270" s="282"/>
      <c r="G270" s="278">
        <f t="shared" ref="G270" si="101">C270*5%</f>
        <v>375</v>
      </c>
      <c r="H270" s="282"/>
      <c r="I270" s="282"/>
      <c r="J270" s="282"/>
      <c r="K270" s="282">
        <f t="shared" si="91"/>
        <v>607</v>
      </c>
      <c r="L270" s="278">
        <f t="shared" ref="L270" si="102">K270/365</f>
        <v>1.6630136986301369</v>
      </c>
      <c r="M270" s="385">
        <v>1182.5</v>
      </c>
      <c r="N270" s="279">
        <f t="shared" si="94"/>
        <v>6317.5</v>
      </c>
      <c r="O270" s="290">
        <f t="shared" ref="O270" si="103">$O$261-L270</f>
        <v>8.3369863013698637</v>
      </c>
      <c r="P270" s="278">
        <f>N270-G270</f>
        <v>5942.5</v>
      </c>
      <c r="Q270" s="279">
        <f>+(C270-G270)/$O$261</f>
        <v>712.5</v>
      </c>
      <c r="R270" s="279">
        <f t="shared" si="96"/>
        <v>5605</v>
      </c>
      <c r="S270" s="333">
        <f>+[1]Sheet1!$I$212</f>
        <v>-712.5</v>
      </c>
      <c r="T270" s="248">
        <f t="shared" si="100"/>
        <v>0</v>
      </c>
    </row>
    <row r="271" spans="1:21">
      <c r="A271" s="314" t="s">
        <v>212</v>
      </c>
      <c r="B271" s="315">
        <v>43516</v>
      </c>
      <c r="C271" s="329">
        <v>90000</v>
      </c>
      <c r="D271" s="282"/>
      <c r="E271" s="282"/>
      <c r="F271" s="282"/>
      <c r="G271" s="278">
        <f t="shared" si="97"/>
        <v>4500</v>
      </c>
      <c r="H271" s="282"/>
      <c r="I271" s="282"/>
      <c r="J271" s="282"/>
      <c r="K271" s="282">
        <f t="shared" si="91"/>
        <v>405</v>
      </c>
      <c r="L271" s="278">
        <f t="shared" si="98"/>
        <v>1.1095890410958904</v>
      </c>
      <c r="M271" s="385">
        <v>9463.56</v>
      </c>
      <c r="N271" s="279">
        <f t="shared" si="94"/>
        <v>80536.44</v>
      </c>
      <c r="O271" s="290">
        <f t="shared" si="99"/>
        <v>8.8904109589041092</v>
      </c>
      <c r="P271" s="278">
        <f>N271-G271</f>
        <v>76036.44</v>
      </c>
      <c r="Q271" s="279">
        <f>+(C271-G271)/$O$261</f>
        <v>8550</v>
      </c>
      <c r="R271" s="279">
        <f t="shared" si="96"/>
        <v>71986.44</v>
      </c>
      <c r="S271" s="333">
        <f>+[1]Sheet1!$I$218</f>
        <v>-8550</v>
      </c>
      <c r="T271" s="248">
        <f t="shared" si="100"/>
        <v>0</v>
      </c>
    </row>
    <row r="272" spans="1:21">
      <c r="A272" s="343" t="s">
        <v>312</v>
      </c>
      <c r="B272" s="398">
        <v>43668</v>
      </c>
      <c r="C272" s="385">
        <v>30000</v>
      </c>
      <c r="D272" s="282"/>
      <c r="E272" s="282"/>
      <c r="F272" s="282"/>
      <c r="G272" s="278">
        <f t="shared" si="97"/>
        <v>1500</v>
      </c>
      <c r="H272" s="282"/>
      <c r="I272" s="282"/>
      <c r="J272" s="282"/>
      <c r="K272" s="282">
        <f t="shared" si="91"/>
        <v>253</v>
      </c>
      <c r="L272" s="278">
        <f t="shared" si="98"/>
        <v>0.69315068493150689</v>
      </c>
      <c r="M272" s="385">
        <v>1977.87</v>
      </c>
      <c r="N272" s="279">
        <f t="shared" ref="N272:N283" si="104">C272-M272</f>
        <v>28022.13</v>
      </c>
      <c r="O272" s="290">
        <f t="shared" ref="O272:O283" si="105">$O$261-L272</f>
        <v>9.3068493150684937</v>
      </c>
      <c r="P272" s="278">
        <f t="shared" ref="P272:P283" si="106">N272-G272</f>
        <v>26522.13</v>
      </c>
      <c r="Q272" s="279">
        <f t="shared" ref="Q272:Q283" si="107">+(C272-G272)/$O$261</f>
        <v>2850</v>
      </c>
      <c r="R272" s="279">
        <f t="shared" ref="R272:R283" si="108">N272-Q272</f>
        <v>25172.13</v>
      </c>
      <c r="S272" s="333">
        <v>-2850</v>
      </c>
      <c r="T272" s="248">
        <f t="shared" si="100"/>
        <v>0</v>
      </c>
    </row>
    <row r="273" spans="1:20">
      <c r="A273" s="343" t="s">
        <v>311</v>
      </c>
      <c r="B273" s="398">
        <v>43799</v>
      </c>
      <c r="C273" s="385">
        <v>18000</v>
      </c>
      <c r="D273" s="282"/>
      <c r="E273" s="282"/>
      <c r="F273" s="282"/>
      <c r="G273" s="278">
        <f t="shared" si="97"/>
        <v>900</v>
      </c>
      <c r="H273" s="282"/>
      <c r="I273" s="282"/>
      <c r="J273" s="282"/>
      <c r="K273" s="282">
        <f t="shared" si="91"/>
        <v>122</v>
      </c>
      <c r="L273" s="278">
        <f t="shared" si="98"/>
        <v>0.33424657534246577</v>
      </c>
      <c r="M273" s="385">
        <v>574.66999999999996</v>
      </c>
      <c r="N273" s="279">
        <f t="shared" si="104"/>
        <v>17425.330000000002</v>
      </c>
      <c r="O273" s="290">
        <f t="shared" si="105"/>
        <v>9.6657534246575345</v>
      </c>
      <c r="P273" s="278">
        <f t="shared" si="106"/>
        <v>16525.330000000002</v>
      </c>
      <c r="Q273" s="279">
        <f t="shared" si="107"/>
        <v>1710</v>
      </c>
      <c r="R273" s="279">
        <f t="shared" si="108"/>
        <v>15715.330000000002</v>
      </c>
      <c r="S273" s="333">
        <v>-1710</v>
      </c>
      <c r="T273" s="248">
        <f t="shared" si="100"/>
        <v>0</v>
      </c>
    </row>
    <row r="274" spans="1:20">
      <c r="A274" s="343" t="s">
        <v>313</v>
      </c>
      <c r="B274" s="398">
        <v>43819</v>
      </c>
      <c r="C274" s="385">
        <v>5500</v>
      </c>
      <c r="D274" s="282"/>
      <c r="E274" s="282"/>
      <c r="F274" s="282"/>
      <c r="G274" s="278">
        <f t="shared" si="97"/>
        <v>275</v>
      </c>
      <c r="H274" s="282"/>
      <c r="I274" s="282"/>
      <c r="J274" s="282"/>
      <c r="K274" s="282">
        <f t="shared" si="91"/>
        <v>102</v>
      </c>
      <c r="L274" s="278">
        <f t="shared" si="98"/>
        <v>0.27945205479452057</v>
      </c>
      <c r="M274" s="385">
        <v>147.04</v>
      </c>
      <c r="N274" s="279">
        <f t="shared" si="104"/>
        <v>5352.96</v>
      </c>
      <c r="O274" s="290">
        <f t="shared" si="105"/>
        <v>9.7205479452054799</v>
      </c>
      <c r="P274" s="278">
        <f t="shared" si="106"/>
        <v>5077.96</v>
      </c>
      <c r="Q274" s="279">
        <f t="shared" si="107"/>
        <v>522.5</v>
      </c>
      <c r="R274" s="279">
        <f t="shared" si="108"/>
        <v>4830.46</v>
      </c>
      <c r="S274" s="333">
        <v>-522.5</v>
      </c>
      <c r="T274" s="248">
        <f t="shared" si="100"/>
        <v>0</v>
      </c>
    </row>
    <row r="275" spans="1:20">
      <c r="A275" s="343" t="s">
        <v>314</v>
      </c>
      <c r="B275" s="398">
        <v>43819</v>
      </c>
      <c r="C275" s="385">
        <v>5500</v>
      </c>
      <c r="D275" s="282"/>
      <c r="E275" s="282"/>
      <c r="F275" s="282"/>
      <c r="G275" s="278">
        <f t="shared" si="97"/>
        <v>275</v>
      </c>
      <c r="H275" s="282"/>
      <c r="I275" s="282"/>
      <c r="J275" s="282"/>
      <c r="K275" s="282">
        <f t="shared" si="91"/>
        <v>102</v>
      </c>
      <c r="L275" s="278">
        <f t="shared" si="98"/>
        <v>0.27945205479452057</v>
      </c>
      <c r="M275" s="385">
        <v>147.04</v>
      </c>
      <c r="N275" s="279">
        <f t="shared" si="104"/>
        <v>5352.96</v>
      </c>
      <c r="O275" s="290">
        <f t="shared" si="105"/>
        <v>9.7205479452054799</v>
      </c>
      <c r="P275" s="278">
        <f t="shared" si="106"/>
        <v>5077.96</v>
      </c>
      <c r="Q275" s="279">
        <f t="shared" si="107"/>
        <v>522.5</v>
      </c>
      <c r="R275" s="279">
        <f t="shared" si="108"/>
        <v>4830.46</v>
      </c>
      <c r="S275" s="333">
        <v>-522.5</v>
      </c>
      <c r="T275" s="248">
        <f t="shared" si="100"/>
        <v>0</v>
      </c>
    </row>
    <row r="276" spans="1:20">
      <c r="A276" s="343" t="s">
        <v>315</v>
      </c>
      <c r="B276" s="398">
        <v>43819</v>
      </c>
      <c r="C276" s="385">
        <v>5500</v>
      </c>
      <c r="D276" s="282"/>
      <c r="E276" s="282"/>
      <c r="F276" s="282"/>
      <c r="G276" s="278">
        <f t="shared" si="97"/>
        <v>275</v>
      </c>
      <c r="H276" s="282"/>
      <c r="I276" s="282"/>
      <c r="J276" s="282"/>
      <c r="K276" s="282">
        <f t="shared" si="91"/>
        <v>102</v>
      </c>
      <c r="L276" s="278">
        <f t="shared" si="98"/>
        <v>0.27945205479452057</v>
      </c>
      <c r="M276" s="385">
        <v>147.04</v>
      </c>
      <c r="N276" s="279">
        <f t="shared" si="104"/>
        <v>5352.96</v>
      </c>
      <c r="O276" s="290">
        <f t="shared" si="105"/>
        <v>9.7205479452054799</v>
      </c>
      <c r="P276" s="278">
        <f t="shared" si="106"/>
        <v>5077.96</v>
      </c>
      <c r="Q276" s="279">
        <f t="shared" si="107"/>
        <v>522.5</v>
      </c>
      <c r="R276" s="279">
        <f t="shared" si="108"/>
        <v>4830.46</v>
      </c>
      <c r="S276" s="333">
        <v>-522.5</v>
      </c>
      <c r="T276" s="248">
        <f t="shared" si="100"/>
        <v>0</v>
      </c>
    </row>
    <row r="277" spans="1:20">
      <c r="A277" s="343" t="s">
        <v>316</v>
      </c>
      <c r="B277" s="398">
        <v>43819</v>
      </c>
      <c r="C277" s="385">
        <v>5500</v>
      </c>
      <c r="D277" s="282"/>
      <c r="E277" s="282"/>
      <c r="F277" s="282"/>
      <c r="G277" s="278">
        <f t="shared" si="97"/>
        <v>275</v>
      </c>
      <c r="H277" s="282"/>
      <c r="I277" s="282"/>
      <c r="J277" s="282"/>
      <c r="K277" s="282">
        <f t="shared" si="91"/>
        <v>102</v>
      </c>
      <c r="L277" s="278">
        <f t="shared" si="98"/>
        <v>0.27945205479452057</v>
      </c>
      <c r="M277" s="385">
        <v>147.04</v>
      </c>
      <c r="N277" s="279">
        <f t="shared" si="104"/>
        <v>5352.96</v>
      </c>
      <c r="O277" s="290">
        <f t="shared" si="105"/>
        <v>9.7205479452054799</v>
      </c>
      <c r="P277" s="278">
        <f t="shared" si="106"/>
        <v>5077.96</v>
      </c>
      <c r="Q277" s="279">
        <f t="shared" si="107"/>
        <v>522.5</v>
      </c>
      <c r="R277" s="279">
        <f t="shared" si="108"/>
        <v>4830.46</v>
      </c>
      <c r="S277" s="333">
        <v>-522.5</v>
      </c>
      <c r="T277" s="248">
        <f t="shared" si="100"/>
        <v>0</v>
      </c>
    </row>
    <row r="278" spans="1:20">
      <c r="A278" s="343" t="s">
        <v>317</v>
      </c>
      <c r="B278" s="398">
        <v>43855</v>
      </c>
      <c r="C278" s="385">
        <v>3950</v>
      </c>
      <c r="D278" s="282"/>
      <c r="E278" s="282"/>
      <c r="F278" s="282"/>
      <c r="G278" s="278">
        <f t="shared" si="97"/>
        <v>197.5</v>
      </c>
      <c r="H278" s="282"/>
      <c r="I278" s="282"/>
      <c r="J278" s="282"/>
      <c r="K278" s="282">
        <f t="shared" si="91"/>
        <v>66</v>
      </c>
      <c r="L278" s="278">
        <f t="shared" si="98"/>
        <v>0.18082191780821918</v>
      </c>
      <c r="M278" s="385">
        <v>68.69</v>
      </c>
      <c r="N278" s="279">
        <f t="shared" si="104"/>
        <v>3881.31</v>
      </c>
      <c r="O278" s="290">
        <f t="shared" si="105"/>
        <v>9.8191780821917813</v>
      </c>
      <c r="P278" s="278">
        <f t="shared" si="106"/>
        <v>3683.81</v>
      </c>
      <c r="Q278" s="279">
        <f t="shared" si="107"/>
        <v>375.25</v>
      </c>
      <c r="R278" s="279">
        <f t="shared" si="108"/>
        <v>3506.06</v>
      </c>
      <c r="S278" s="333">
        <v>-375.25</v>
      </c>
      <c r="T278" s="248">
        <f t="shared" si="100"/>
        <v>0</v>
      </c>
    </row>
    <row r="279" spans="1:20">
      <c r="A279" s="343" t="s">
        <v>318</v>
      </c>
      <c r="B279" s="398">
        <v>43855</v>
      </c>
      <c r="C279" s="385">
        <v>3950</v>
      </c>
      <c r="D279" s="282"/>
      <c r="E279" s="282"/>
      <c r="F279" s="282"/>
      <c r="G279" s="278">
        <f t="shared" si="97"/>
        <v>197.5</v>
      </c>
      <c r="H279" s="282"/>
      <c r="I279" s="282"/>
      <c r="J279" s="282"/>
      <c r="K279" s="282">
        <f t="shared" si="91"/>
        <v>66</v>
      </c>
      <c r="L279" s="278">
        <f t="shared" si="98"/>
        <v>0.18082191780821918</v>
      </c>
      <c r="M279" s="385">
        <v>68.69</v>
      </c>
      <c r="N279" s="279">
        <f t="shared" si="104"/>
        <v>3881.31</v>
      </c>
      <c r="O279" s="290">
        <f t="shared" si="105"/>
        <v>9.8191780821917813</v>
      </c>
      <c r="P279" s="278">
        <f t="shared" si="106"/>
        <v>3683.81</v>
      </c>
      <c r="Q279" s="279">
        <f t="shared" si="107"/>
        <v>375.25</v>
      </c>
      <c r="R279" s="279">
        <f t="shared" si="108"/>
        <v>3506.06</v>
      </c>
      <c r="S279" s="333">
        <v>-375.25</v>
      </c>
      <c r="T279" s="248">
        <f t="shared" si="100"/>
        <v>0</v>
      </c>
    </row>
    <row r="280" spans="1:20">
      <c r="A280" s="343" t="s">
        <v>319</v>
      </c>
      <c r="B280" s="398">
        <v>43890</v>
      </c>
      <c r="C280" s="385">
        <v>12000</v>
      </c>
      <c r="D280" s="282"/>
      <c r="E280" s="282"/>
      <c r="F280" s="282"/>
      <c r="G280" s="278">
        <f t="shared" si="97"/>
        <v>600</v>
      </c>
      <c r="H280" s="282"/>
      <c r="I280" s="282"/>
      <c r="J280" s="282"/>
      <c r="K280" s="282">
        <f t="shared" si="91"/>
        <v>31</v>
      </c>
      <c r="L280" s="278">
        <f t="shared" si="98"/>
        <v>8.4931506849315067E-2</v>
      </c>
      <c r="M280" s="385">
        <v>99.67</v>
      </c>
      <c r="N280" s="279">
        <f t="shared" si="104"/>
        <v>11900.33</v>
      </c>
      <c r="O280" s="290">
        <f t="shared" si="105"/>
        <v>9.9150684931506845</v>
      </c>
      <c r="P280" s="278">
        <f t="shared" si="106"/>
        <v>11300.33</v>
      </c>
      <c r="Q280" s="279">
        <f t="shared" si="107"/>
        <v>1140</v>
      </c>
      <c r="R280" s="279">
        <f t="shared" si="108"/>
        <v>10760.33</v>
      </c>
      <c r="S280" s="333">
        <v>-1140</v>
      </c>
      <c r="T280" s="248">
        <f t="shared" si="100"/>
        <v>0</v>
      </c>
    </row>
    <row r="281" spans="1:20">
      <c r="A281" s="343" t="s">
        <v>320</v>
      </c>
      <c r="B281" s="398">
        <v>43890</v>
      </c>
      <c r="C281" s="385">
        <v>14000</v>
      </c>
      <c r="D281" s="282"/>
      <c r="E281" s="282"/>
      <c r="F281" s="282"/>
      <c r="G281" s="278">
        <f t="shared" si="97"/>
        <v>700</v>
      </c>
      <c r="H281" s="282"/>
      <c r="I281" s="282"/>
      <c r="J281" s="282"/>
      <c r="K281" s="282">
        <f t="shared" si="91"/>
        <v>31</v>
      </c>
      <c r="L281" s="278">
        <f t="shared" si="98"/>
        <v>8.4931506849315067E-2</v>
      </c>
      <c r="M281" s="385">
        <v>116.28</v>
      </c>
      <c r="N281" s="279">
        <f t="shared" si="104"/>
        <v>13883.72</v>
      </c>
      <c r="O281" s="290">
        <f t="shared" si="105"/>
        <v>9.9150684931506845</v>
      </c>
      <c r="P281" s="278">
        <f t="shared" si="106"/>
        <v>13183.72</v>
      </c>
      <c r="Q281" s="279">
        <f t="shared" si="107"/>
        <v>1330</v>
      </c>
      <c r="R281" s="279">
        <f t="shared" si="108"/>
        <v>12553.72</v>
      </c>
      <c r="S281" s="333">
        <v>-1330</v>
      </c>
      <c r="T281" s="248">
        <f t="shared" si="100"/>
        <v>0</v>
      </c>
    </row>
    <row r="282" spans="1:20">
      <c r="A282" s="343" t="s">
        <v>321</v>
      </c>
      <c r="B282" s="398">
        <v>43890</v>
      </c>
      <c r="C282" s="385">
        <v>3814</v>
      </c>
      <c r="D282" s="282"/>
      <c r="E282" s="282"/>
      <c r="F282" s="282"/>
      <c r="G282" s="278">
        <f t="shared" si="97"/>
        <v>190.70000000000002</v>
      </c>
      <c r="H282" s="282"/>
      <c r="I282" s="282"/>
      <c r="J282" s="282"/>
      <c r="K282" s="282">
        <f t="shared" si="91"/>
        <v>31</v>
      </c>
      <c r="L282" s="278">
        <f t="shared" si="98"/>
        <v>8.4931506849315067E-2</v>
      </c>
      <c r="M282" s="385">
        <v>31.68</v>
      </c>
      <c r="N282" s="279">
        <f t="shared" si="104"/>
        <v>3782.32</v>
      </c>
      <c r="O282" s="290">
        <f t="shared" si="105"/>
        <v>9.9150684931506845</v>
      </c>
      <c r="P282" s="278">
        <f t="shared" si="106"/>
        <v>3591.6200000000003</v>
      </c>
      <c r="Q282" s="279">
        <f t="shared" si="107"/>
        <v>362.33000000000004</v>
      </c>
      <c r="R282" s="279">
        <f t="shared" si="108"/>
        <v>3419.9900000000002</v>
      </c>
      <c r="S282" s="333">
        <v>-362.33</v>
      </c>
      <c r="T282" s="248">
        <f t="shared" si="100"/>
        <v>-5.6843418860808015E-14</v>
      </c>
    </row>
    <row r="283" spans="1:20">
      <c r="A283" s="343" t="s">
        <v>322</v>
      </c>
      <c r="B283" s="398">
        <v>43890</v>
      </c>
      <c r="C283" s="385">
        <v>5796</v>
      </c>
      <c r="D283" s="282"/>
      <c r="E283" s="282"/>
      <c r="F283" s="282"/>
      <c r="G283" s="278">
        <f t="shared" si="97"/>
        <v>289.8</v>
      </c>
      <c r="H283" s="282"/>
      <c r="I283" s="282"/>
      <c r="J283" s="282"/>
      <c r="K283" s="282">
        <f t="shared" si="91"/>
        <v>31</v>
      </c>
      <c r="L283" s="278">
        <f t="shared" si="98"/>
        <v>8.4931506849315067E-2</v>
      </c>
      <c r="M283" s="385">
        <v>48.14</v>
      </c>
      <c r="N283" s="279">
        <f t="shared" si="104"/>
        <v>5747.86</v>
      </c>
      <c r="O283" s="290">
        <f t="shared" si="105"/>
        <v>9.9150684931506845</v>
      </c>
      <c r="P283" s="278">
        <f t="shared" si="106"/>
        <v>5458.0599999999995</v>
      </c>
      <c r="Q283" s="279">
        <f t="shared" si="107"/>
        <v>550.62</v>
      </c>
      <c r="R283" s="279">
        <f t="shared" si="108"/>
        <v>5197.24</v>
      </c>
      <c r="S283" s="333">
        <v>-550.62</v>
      </c>
      <c r="T283" s="248">
        <f t="shared" si="100"/>
        <v>0</v>
      </c>
    </row>
    <row r="284" spans="1:20">
      <c r="A284" s="293" t="s">
        <v>243</v>
      </c>
      <c r="B284" s="315"/>
      <c r="C284" s="329"/>
      <c r="D284" s="282"/>
      <c r="E284" s="282"/>
      <c r="F284" s="282"/>
      <c r="G284" s="278"/>
      <c r="H284" s="282"/>
      <c r="I284" s="282"/>
      <c r="J284" s="282"/>
      <c r="K284" s="282"/>
      <c r="L284" s="278"/>
      <c r="M284" s="334"/>
      <c r="N284" s="279"/>
      <c r="O284" s="290"/>
      <c r="P284" s="278"/>
      <c r="Q284" s="279"/>
      <c r="R284" s="279"/>
      <c r="S284" s="333"/>
      <c r="T284" s="248">
        <f t="shared" ref="T284:T289" si="109">-(Q284+S284)</f>
        <v>0</v>
      </c>
    </row>
    <row r="285" spans="1:20">
      <c r="A285" s="314" t="s">
        <v>353</v>
      </c>
      <c r="B285" s="315">
        <v>43511</v>
      </c>
      <c r="C285" s="329">
        <v>16960</v>
      </c>
      <c r="D285" s="282"/>
      <c r="E285" s="282"/>
      <c r="F285" s="282"/>
      <c r="G285" s="278">
        <f t="shared" ref="G285:G286" si="110">C285*5%</f>
        <v>848</v>
      </c>
      <c r="H285" s="282"/>
      <c r="I285" s="282"/>
      <c r="J285" s="282"/>
      <c r="K285" s="282">
        <f>$K$2-B285</f>
        <v>410</v>
      </c>
      <c r="L285" s="278">
        <f t="shared" si="98"/>
        <v>1.1232876712328768</v>
      </c>
      <c r="M285" s="334">
        <v>1805.41</v>
      </c>
      <c r="N285" s="279">
        <f>C285-M285</f>
        <v>15154.59</v>
      </c>
      <c r="O285" s="290">
        <f t="shared" ref="O285:O286" si="111">$O$261-L285</f>
        <v>8.8767123287671232</v>
      </c>
      <c r="P285" s="278">
        <f>N285-G285</f>
        <v>14306.59</v>
      </c>
      <c r="Q285" s="279">
        <f>+(C285-G285)/$O$261</f>
        <v>1611.2</v>
      </c>
      <c r="R285" s="279">
        <f>N285-Q285</f>
        <v>13543.39</v>
      </c>
      <c r="S285" s="333">
        <f>+([1]Sheet1!$I$215+[1]Sheet1!$I$216)</f>
        <v>-1611.2</v>
      </c>
      <c r="T285" s="248">
        <f t="shared" si="109"/>
        <v>0</v>
      </c>
    </row>
    <row r="286" spans="1:20">
      <c r="A286" s="314" t="s">
        <v>236</v>
      </c>
      <c r="B286" s="315">
        <v>43555</v>
      </c>
      <c r="C286" s="329">
        <v>3500</v>
      </c>
      <c r="D286" s="282"/>
      <c r="E286" s="282"/>
      <c r="F286" s="282"/>
      <c r="G286" s="278">
        <f t="shared" si="110"/>
        <v>175</v>
      </c>
      <c r="H286" s="282"/>
      <c r="I286" s="282"/>
      <c r="J286" s="282"/>
      <c r="K286" s="282">
        <f>$K$2-B286</f>
        <v>366</v>
      </c>
      <c r="L286" s="278">
        <f t="shared" si="98"/>
        <v>1.0027397260273974</v>
      </c>
      <c r="M286" s="334">
        <f>-[1]Sheet1!$G$223</f>
        <v>332.5</v>
      </c>
      <c r="N286" s="279">
        <f>C286-M286</f>
        <v>3167.5</v>
      </c>
      <c r="O286" s="290">
        <f t="shared" si="111"/>
        <v>8.9972602739726035</v>
      </c>
      <c r="P286" s="278">
        <f>N286-G286</f>
        <v>2992.5</v>
      </c>
      <c r="Q286" s="279">
        <f>+(C286-G286)/$O$261</f>
        <v>332.5</v>
      </c>
      <c r="R286" s="279">
        <f>N286-Q286</f>
        <v>2835</v>
      </c>
      <c r="S286" s="333">
        <f>+([1]Sheet1!$I$223)</f>
        <v>-332.5</v>
      </c>
      <c r="T286" s="248">
        <f t="shared" si="109"/>
        <v>0</v>
      </c>
    </row>
    <row r="287" spans="1:20">
      <c r="A287" s="314" t="s">
        <v>237</v>
      </c>
      <c r="B287" s="315">
        <v>43555</v>
      </c>
      <c r="C287" s="329">
        <v>8400</v>
      </c>
      <c r="D287" s="282"/>
      <c r="E287" s="282"/>
      <c r="F287" s="282"/>
      <c r="G287" s="278">
        <f t="shared" ref="G287:G288" si="112">C287*5%</f>
        <v>420</v>
      </c>
      <c r="H287" s="282"/>
      <c r="I287" s="282"/>
      <c r="J287" s="282"/>
      <c r="K287" s="282">
        <f>$K$2-B287</f>
        <v>366</v>
      </c>
      <c r="L287" s="278">
        <f t="shared" si="98"/>
        <v>1.0027397260273974</v>
      </c>
      <c r="M287" s="334">
        <f>-[1]Sheet1!$G$224</f>
        <v>798</v>
      </c>
      <c r="N287" s="279">
        <f>C287-M287</f>
        <v>7602</v>
      </c>
      <c r="O287" s="290">
        <f t="shared" ref="O287:O288" si="113">$O$261-L287</f>
        <v>8.9972602739726035</v>
      </c>
      <c r="P287" s="278">
        <f>N287-G287</f>
        <v>7182</v>
      </c>
      <c r="Q287" s="279">
        <f t="shared" ref="Q287:Q289" si="114">+(C287-G287)/$O$261</f>
        <v>798</v>
      </c>
      <c r="R287" s="279">
        <f>N287-Q287</f>
        <v>6804</v>
      </c>
      <c r="S287" s="333">
        <f>[1]Sheet1!$I$224</f>
        <v>-798</v>
      </c>
      <c r="T287" s="248">
        <f t="shared" si="109"/>
        <v>0</v>
      </c>
    </row>
    <row r="288" spans="1:20">
      <c r="A288" s="314" t="s">
        <v>238</v>
      </c>
      <c r="B288" s="315">
        <v>43555</v>
      </c>
      <c r="C288" s="329">
        <v>30400</v>
      </c>
      <c r="D288" s="282"/>
      <c r="E288" s="282"/>
      <c r="F288" s="282"/>
      <c r="G288" s="278">
        <f t="shared" si="112"/>
        <v>1520</v>
      </c>
      <c r="H288" s="282"/>
      <c r="I288" s="282"/>
      <c r="J288" s="282"/>
      <c r="K288" s="282">
        <f>$K$2-B288</f>
        <v>366</v>
      </c>
      <c r="L288" s="278">
        <f t="shared" si="98"/>
        <v>1.0027397260273974</v>
      </c>
      <c r="M288" s="334">
        <f>-[1]Sheet1!$G$225</f>
        <v>2888</v>
      </c>
      <c r="N288" s="279">
        <f>C288-M288</f>
        <v>27512</v>
      </c>
      <c r="O288" s="290">
        <f t="shared" si="113"/>
        <v>8.9972602739726035</v>
      </c>
      <c r="P288" s="278">
        <f>N288-G288</f>
        <v>25992</v>
      </c>
      <c r="Q288" s="279">
        <f t="shared" si="114"/>
        <v>2888</v>
      </c>
      <c r="R288" s="279">
        <f>N288-Q288</f>
        <v>24624</v>
      </c>
      <c r="S288" s="333">
        <f>[1]Sheet1!$I$225</f>
        <v>-2888</v>
      </c>
      <c r="T288" s="248">
        <f t="shared" si="109"/>
        <v>0</v>
      </c>
    </row>
    <row r="289" spans="1:21">
      <c r="A289" s="314" t="s">
        <v>239</v>
      </c>
      <c r="B289" s="315">
        <v>43512</v>
      </c>
      <c r="C289" s="329">
        <v>25000</v>
      </c>
      <c r="D289" s="282"/>
      <c r="E289" s="282"/>
      <c r="F289" s="282"/>
      <c r="G289" s="278">
        <f t="shared" ref="G289" si="115">C289*5%</f>
        <v>1250</v>
      </c>
      <c r="H289" s="282"/>
      <c r="I289" s="282"/>
      <c r="J289" s="282"/>
      <c r="K289" s="282">
        <f>$K$2-B289</f>
        <v>409</v>
      </c>
      <c r="L289" s="278">
        <f t="shared" si="98"/>
        <v>1.1205479452054794</v>
      </c>
      <c r="M289" s="334">
        <f>-[1]Sheet1!$G$217</f>
        <v>2655</v>
      </c>
      <c r="N289" s="279">
        <f>C289-M289</f>
        <v>22345</v>
      </c>
      <c r="O289" s="290">
        <f t="shared" ref="O289" si="116">$O$261-L289</f>
        <v>8.8794520547945197</v>
      </c>
      <c r="P289" s="278">
        <f>N289-G289</f>
        <v>21095</v>
      </c>
      <c r="Q289" s="279">
        <f t="shared" si="114"/>
        <v>2375</v>
      </c>
      <c r="R289" s="279">
        <f>N289-Q289</f>
        <v>19970</v>
      </c>
      <c r="S289" s="333">
        <f>[1]Sheet1!$I$217</f>
        <v>-2375</v>
      </c>
      <c r="T289" s="248">
        <f t="shared" si="109"/>
        <v>0</v>
      </c>
    </row>
    <row r="290" spans="1:21" ht="15">
      <c r="A290" s="382" t="s">
        <v>106</v>
      </c>
      <c r="B290" s="282"/>
      <c r="C290" s="294">
        <f>SUM(C262:C289)</f>
        <v>386012.53</v>
      </c>
      <c r="D290" s="282"/>
      <c r="E290" s="282"/>
      <c r="F290" s="282"/>
      <c r="G290" s="278"/>
      <c r="H290" s="282"/>
      <c r="I290" s="282"/>
      <c r="J290" s="282"/>
      <c r="K290" s="282"/>
      <c r="L290" s="278"/>
      <c r="M290" s="289">
        <f>SUM(M262:M289)</f>
        <v>66792.250000000015</v>
      </c>
      <c r="N290" s="289">
        <f>SUM(N262:N289)</f>
        <v>319220.27999999991</v>
      </c>
      <c r="O290" s="290"/>
      <c r="P290" s="278"/>
      <c r="Q290" s="289">
        <f>SUM(Q262:Q289)</f>
        <v>33052.640350000001</v>
      </c>
      <c r="R290" s="289">
        <f>SUM(R263:R289)</f>
        <v>286167.63964999997</v>
      </c>
      <c r="S290" s="250"/>
      <c r="T290" s="248"/>
      <c r="U290" s="255">
        <f>-SUM(S262:S289)</f>
        <v>33052.639999999999</v>
      </c>
    </row>
    <row r="291" spans="1:21" ht="15">
      <c r="A291" s="388"/>
      <c r="B291" s="111"/>
      <c r="C291" s="117"/>
      <c r="D291" s="111"/>
      <c r="E291" s="111"/>
      <c r="F291" s="111"/>
      <c r="G291" s="114"/>
      <c r="H291" s="111"/>
      <c r="I291" s="111"/>
      <c r="J291" s="111"/>
      <c r="K291" s="111"/>
      <c r="L291" s="114"/>
      <c r="M291" s="114"/>
      <c r="N291" s="119"/>
      <c r="O291" s="138"/>
      <c r="P291" s="114"/>
      <c r="Q291" s="119"/>
      <c r="R291" s="119"/>
      <c r="S291" s="248"/>
      <c r="T291" s="248">
        <f t="shared" si="89"/>
        <v>0</v>
      </c>
    </row>
    <row r="292" spans="1:21" ht="16.5" customHeight="1">
      <c r="A292" s="388" t="s">
        <v>107</v>
      </c>
      <c r="B292" s="111"/>
      <c r="C292" s="111"/>
      <c r="D292" s="111"/>
      <c r="E292" s="111"/>
      <c r="F292" s="111"/>
      <c r="G292" s="114"/>
      <c r="H292" s="111"/>
      <c r="I292" s="111"/>
      <c r="J292" s="111"/>
      <c r="K292" s="111"/>
      <c r="L292" s="114"/>
      <c r="M292" s="114"/>
      <c r="N292" s="118"/>
      <c r="O292" s="114">
        <v>5</v>
      </c>
      <c r="P292" s="114"/>
      <c r="Q292" s="118"/>
      <c r="R292" s="118"/>
      <c r="S292" s="248"/>
      <c r="T292" s="248">
        <f t="shared" si="89"/>
        <v>0</v>
      </c>
    </row>
    <row r="293" spans="1:21" ht="15" customHeight="1">
      <c r="A293" s="111" t="s">
        <v>108</v>
      </c>
      <c r="B293" s="123">
        <v>39172</v>
      </c>
      <c r="C293" s="111">
        <v>44795</v>
      </c>
      <c r="D293" s="111"/>
      <c r="E293" s="111"/>
      <c r="F293" s="111"/>
      <c r="G293" s="114">
        <f>C293*5%</f>
        <v>2239.75</v>
      </c>
      <c r="H293" s="111"/>
      <c r="I293" s="111"/>
      <c r="J293" s="111"/>
      <c r="K293" s="111">
        <f t="shared" ref="K293:K336" si="117">$K$2-B293</f>
        <v>4749</v>
      </c>
      <c r="L293" s="114">
        <f>K293/365</f>
        <v>13.010958904109589</v>
      </c>
      <c r="M293" s="221">
        <v>42555.25</v>
      </c>
      <c r="N293" s="118">
        <f t="shared" ref="N293:N331" si="118">C293-M293</f>
        <v>2239.75</v>
      </c>
      <c r="O293" s="114">
        <f t="shared" ref="O293:O331" si="119">$O$292-L293</f>
        <v>-8.0109589041095894</v>
      </c>
      <c r="P293" s="114">
        <f t="shared" ref="P293:P331" si="120">N293-G293</f>
        <v>0</v>
      </c>
      <c r="Q293" s="118">
        <v>0</v>
      </c>
      <c r="R293" s="118">
        <f t="shared" ref="R293" si="121">G293</f>
        <v>2239.75</v>
      </c>
      <c r="S293" s="248"/>
      <c r="T293" s="248">
        <f>+Q293+S293</f>
        <v>0</v>
      </c>
    </row>
    <row r="294" spans="1:21" ht="15" customHeight="1">
      <c r="A294" s="111" t="s">
        <v>109</v>
      </c>
      <c r="B294" s="123">
        <v>39165</v>
      </c>
      <c r="C294" s="111">
        <v>6800</v>
      </c>
      <c r="D294" s="111"/>
      <c r="E294" s="111"/>
      <c r="F294" s="111"/>
      <c r="G294" s="114">
        <f t="shared" ref="G294:G331" si="122">C294*5%</f>
        <v>340</v>
      </c>
      <c r="H294" s="111"/>
      <c r="I294" s="111"/>
      <c r="J294" s="111"/>
      <c r="K294" s="111">
        <f t="shared" si="117"/>
        <v>4756</v>
      </c>
      <c r="L294" s="114">
        <f t="shared" ref="L294:L331" si="123">K294/365</f>
        <v>13.03013698630137</v>
      </c>
      <c r="M294" s="221">
        <v>6460</v>
      </c>
      <c r="N294" s="118">
        <f t="shared" si="118"/>
        <v>340</v>
      </c>
      <c r="O294" s="114">
        <f t="shared" si="119"/>
        <v>-8.0301369863013701</v>
      </c>
      <c r="P294" s="114">
        <f t="shared" si="120"/>
        <v>0</v>
      </c>
      <c r="Q294" s="118">
        <v>0</v>
      </c>
      <c r="R294" s="118">
        <f>G294</f>
        <v>340</v>
      </c>
      <c r="S294" s="248"/>
      <c r="T294" s="248">
        <f t="shared" si="89"/>
        <v>0</v>
      </c>
    </row>
    <row r="295" spans="1:21" ht="15" customHeight="1">
      <c r="A295" s="111" t="s">
        <v>109</v>
      </c>
      <c r="B295" s="123">
        <v>39679</v>
      </c>
      <c r="C295" s="111">
        <v>8850</v>
      </c>
      <c r="D295" s="111"/>
      <c r="E295" s="111"/>
      <c r="F295" s="111"/>
      <c r="G295" s="114">
        <f t="shared" si="122"/>
        <v>442.5</v>
      </c>
      <c r="H295" s="111"/>
      <c r="I295" s="111"/>
      <c r="J295" s="111"/>
      <c r="K295" s="111">
        <f t="shared" si="117"/>
        <v>4242</v>
      </c>
      <c r="L295" s="114">
        <f t="shared" si="123"/>
        <v>11.621917808219179</v>
      </c>
      <c r="M295" s="221">
        <v>8407.5</v>
      </c>
      <c r="N295" s="118">
        <f t="shared" si="118"/>
        <v>442.5</v>
      </c>
      <c r="O295" s="114">
        <f t="shared" si="119"/>
        <v>-6.6219178082191785</v>
      </c>
      <c r="P295" s="114">
        <f t="shared" si="120"/>
        <v>0</v>
      </c>
      <c r="Q295" s="118">
        <v>0</v>
      </c>
      <c r="R295" s="118">
        <f>G295</f>
        <v>442.5</v>
      </c>
      <c r="S295" s="248"/>
      <c r="T295" s="248">
        <f t="shared" si="89"/>
        <v>0</v>
      </c>
    </row>
    <row r="296" spans="1:21" ht="15" customHeight="1">
      <c r="A296" s="111" t="s">
        <v>110</v>
      </c>
      <c r="B296" s="123">
        <v>39736</v>
      </c>
      <c r="C296" s="111">
        <v>23500</v>
      </c>
      <c r="D296" s="111"/>
      <c r="E296" s="111"/>
      <c r="F296" s="111"/>
      <c r="G296" s="114">
        <f t="shared" si="122"/>
        <v>1175</v>
      </c>
      <c r="H296" s="111"/>
      <c r="I296" s="111"/>
      <c r="J296" s="111"/>
      <c r="K296" s="111">
        <f t="shared" si="117"/>
        <v>4185</v>
      </c>
      <c r="L296" s="114">
        <f t="shared" si="123"/>
        <v>11.465753424657533</v>
      </c>
      <c r="M296" s="221">
        <v>22325</v>
      </c>
      <c r="N296" s="118">
        <f t="shared" si="118"/>
        <v>1175</v>
      </c>
      <c r="O296" s="114">
        <f t="shared" si="119"/>
        <v>-6.4657534246575334</v>
      </c>
      <c r="P296" s="114">
        <f t="shared" si="120"/>
        <v>0</v>
      </c>
      <c r="Q296" s="118">
        <v>0</v>
      </c>
      <c r="R296" s="118">
        <f>G296</f>
        <v>1175</v>
      </c>
      <c r="S296" s="248"/>
      <c r="T296" s="248">
        <f t="shared" si="89"/>
        <v>0</v>
      </c>
    </row>
    <row r="297" spans="1:21" ht="15" customHeight="1">
      <c r="A297" s="111" t="s">
        <v>111</v>
      </c>
      <c r="B297" s="277">
        <v>39880</v>
      </c>
      <c r="C297" s="282">
        <v>13000</v>
      </c>
      <c r="D297" s="282"/>
      <c r="E297" s="282"/>
      <c r="F297" s="282"/>
      <c r="G297" s="278">
        <f t="shared" si="122"/>
        <v>650</v>
      </c>
      <c r="H297" s="282"/>
      <c r="I297" s="282"/>
      <c r="J297" s="282"/>
      <c r="K297" s="282">
        <f t="shared" si="117"/>
        <v>4041</v>
      </c>
      <c r="L297" s="278">
        <f t="shared" si="123"/>
        <v>11.07123287671233</v>
      </c>
      <c r="M297" s="281">
        <f>-[1]Sheet1!$G$399</f>
        <v>12350</v>
      </c>
      <c r="N297" s="118">
        <f t="shared" si="118"/>
        <v>650</v>
      </c>
      <c r="O297" s="114">
        <f t="shared" si="119"/>
        <v>-6.0712328767123296</v>
      </c>
      <c r="P297" s="114">
        <f t="shared" si="120"/>
        <v>0</v>
      </c>
      <c r="Q297" s="118">
        <v>0</v>
      </c>
      <c r="R297" s="118">
        <f>G297</f>
        <v>650</v>
      </c>
      <c r="S297" s="248"/>
      <c r="T297" s="248">
        <f t="shared" si="89"/>
        <v>0</v>
      </c>
    </row>
    <row r="298" spans="1:21" ht="15" customHeight="1">
      <c r="A298" s="111" t="s">
        <v>112</v>
      </c>
      <c r="B298" s="277">
        <v>39967</v>
      </c>
      <c r="C298" s="282">
        <v>12375</v>
      </c>
      <c r="D298" s="282"/>
      <c r="E298" s="282"/>
      <c r="F298" s="282"/>
      <c r="G298" s="278">
        <f t="shared" si="122"/>
        <v>618.75</v>
      </c>
      <c r="H298" s="282"/>
      <c r="I298" s="282"/>
      <c r="J298" s="282"/>
      <c r="K298" s="282">
        <f t="shared" si="117"/>
        <v>3954</v>
      </c>
      <c r="L298" s="278">
        <f t="shared" si="123"/>
        <v>10.832876712328767</v>
      </c>
      <c r="M298" s="281">
        <f>-[1]Sheet1!$G$400</f>
        <v>11756.25</v>
      </c>
      <c r="N298" s="118">
        <f t="shared" si="118"/>
        <v>618.75</v>
      </c>
      <c r="O298" s="114">
        <f t="shared" si="119"/>
        <v>-5.8328767123287673</v>
      </c>
      <c r="P298" s="114">
        <f t="shared" si="120"/>
        <v>0</v>
      </c>
      <c r="Q298" s="118">
        <f>P298</f>
        <v>0</v>
      </c>
      <c r="R298" s="118">
        <f t="shared" ref="R298:R331" si="124">N298-Q298</f>
        <v>618.75</v>
      </c>
      <c r="S298" s="248"/>
      <c r="T298" s="248">
        <f t="shared" si="89"/>
        <v>0</v>
      </c>
    </row>
    <row r="299" spans="1:21" ht="15" customHeight="1">
      <c r="A299" s="111" t="s">
        <v>113</v>
      </c>
      <c r="B299" s="277">
        <v>40292</v>
      </c>
      <c r="C299" s="282">
        <v>6400</v>
      </c>
      <c r="D299" s="282"/>
      <c r="E299" s="282"/>
      <c r="F299" s="282"/>
      <c r="G299" s="278">
        <f t="shared" si="122"/>
        <v>320</v>
      </c>
      <c r="H299" s="282"/>
      <c r="I299" s="282"/>
      <c r="J299" s="282"/>
      <c r="K299" s="282">
        <f t="shared" si="117"/>
        <v>3629</v>
      </c>
      <c r="L299" s="278">
        <f t="shared" si="123"/>
        <v>9.9424657534246581</v>
      </c>
      <c r="M299" s="281">
        <v>6080</v>
      </c>
      <c r="N299" s="118">
        <f t="shared" si="118"/>
        <v>320</v>
      </c>
      <c r="O299" s="114">
        <f t="shared" si="119"/>
        <v>-4.9424657534246581</v>
      </c>
      <c r="P299" s="114">
        <f t="shared" si="120"/>
        <v>0</v>
      </c>
      <c r="Q299" s="118">
        <f t="shared" ref="Q299:Q303" si="125">P299/O299</f>
        <v>0</v>
      </c>
      <c r="R299" s="118">
        <f t="shared" si="124"/>
        <v>320</v>
      </c>
      <c r="S299" s="248"/>
      <c r="T299" s="248">
        <f t="shared" si="89"/>
        <v>0</v>
      </c>
    </row>
    <row r="300" spans="1:21" ht="15" customHeight="1">
      <c r="A300" s="111" t="s">
        <v>114</v>
      </c>
      <c r="B300" s="277">
        <v>40637</v>
      </c>
      <c r="C300" s="282">
        <v>48700</v>
      </c>
      <c r="D300" s="282"/>
      <c r="E300" s="282"/>
      <c r="F300" s="282"/>
      <c r="G300" s="278">
        <f t="shared" si="122"/>
        <v>2435</v>
      </c>
      <c r="H300" s="282"/>
      <c r="I300" s="282"/>
      <c r="J300" s="282"/>
      <c r="K300" s="282">
        <f t="shared" si="117"/>
        <v>3284</v>
      </c>
      <c r="L300" s="278">
        <f t="shared" si="123"/>
        <v>8.9972602739726035</v>
      </c>
      <c r="M300" s="281">
        <v>46265</v>
      </c>
      <c r="N300" s="118">
        <f t="shared" si="118"/>
        <v>2435</v>
      </c>
      <c r="O300" s="114">
        <f t="shared" si="119"/>
        <v>-3.9972602739726035</v>
      </c>
      <c r="P300" s="114">
        <f t="shared" si="120"/>
        <v>0</v>
      </c>
      <c r="Q300" s="118">
        <f t="shared" si="125"/>
        <v>0</v>
      </c>
      <c r="R300" s="118">
        <f t="shared" si="124"/>
        <v>2435</v>
      </c>
      <c r="S300" s="248"/>
      <c r="T300" s="248">
        <f t="shared" si="89"/>
        <v>0</v>
      </c>
    </row>
    <row r="301" spans="1:21" ht="15" customHeight="1">
      <c r="A301" s="111" t="s">
        <v>114</v>
      </c>
      <c r="B301" s="277">
        <v>40673</v>
      </c>
      <c r="C301" s="282">
        <v>53600</v>
      </c>
      <c r="D301" s="282"/>
      <c r="E301" s="282"/>
      <c r="F301" s="282"/>
      <c r="G301" s="278">
        <f t="shared" si="122"/>
        <v>2680</v>
      </c>
      <c r="H301" s="282"/>
      <c r="I301" s="282"/>
      <c r="J301" s="282"/>
      <c r="K301" s="282">
        <f t="shared" si="117"/>
        <v>3248</v>
      </c>
      <c r="L301" s="278">
        <f t="shared" si="123"/>
        <v>8.8986301369863021</v>
      </c>
      <c r="M301" s="281">
        <v>50920</v>
      </c>
      <c r="N301" s="118">
        <f t="shared" si="118"/>
        <v>2680</v>
      </c>
      <c r="O301" s="114">
        <f t="shared" si="119"/>
        <v>-3.8986301369863021</v>
      </c>
      <c r="P301" s="114">
        <f t="shared" si="120"/>
        <v>0</v>
      </c>
      <c r="Q301" s="118">
        <f t="shared" si="125"/>
        <v>0</v>
      </c>
      <c r="R301" s="118">
        <f t="shared" si="124"/>
        <v>2680</v>
      </c>
      <c r="S301" s="248"/>
      <c r="T301" s="248">
        <f t="shared" si="89"/>
        <v>0</v>
      </c>
    </row>
    <row r="302" spans="1:21" ht="15" customHeight="1">
      <c r="A302" s="111" t="s">
        <v>115</v>
      </c>
      <c r="B302" s="277">
        <v>40637</v>
      </c>
      <c r="C302" s="282">
        <v>30998</v>
      </c>
      <c r="D302" s="282"/>
      <c r="E302" s="282"/>
      <c r="F302" s="282"/>
      <c r="G302" s="278">
        <f t="shared" si="122"/>
        <v>1549.9</v>
      </c>
      <c r="H302" s="282"/>
      <c r="I302" s="282"/>
      <c r="J302" s="282"/>
      <c r="K302" s="282">
        <f t="shared" si="117"/>
        <v>3284</v>
      </c>
      <c r="L302" s="278">
        <f t="shared" si="123"/>
        <v>8.9972602739726035</v>
      </c>
      <c r="M302" s="281">
        <v>29448.1</v>
      </c>
      <c r="N302" s="118">
        <f t="shared" si="118"/>
        <v>1549.9000000000015</v>
      </c>
      <c r="O302" s="114">
        <f t="shared" si="119"/>
        <v>-3.9972602739726035</v>
      </c>
      <c r="P302" s="114">
        <f t="shared" si="120"/>
        <v>0</v>
      </c>
      <c r="Q302" s="118">
        <f t="shared" si="125"/>
        <v>0</v>
      </c>
      <c r="R302" s="118">
        <f t="shared" si="124"/>
        <v>1549.9000000000015</v>
      </c>
      <c r="S302" s="248"/>
      <c r="T302" s="248">
        <f t="shared" si="89"/>
        <v>0</v>
      </c>
    </row>
    <row r="303" spans="1:21" ht="15" customHeight="1">
      <c r="A303" s="111" t="s">
        <v>116</v>
      </c>
      <c r="B303" s="277">
        <v>41240</v>
      </c>
      <c r="C303" s="282">
        <v>75000</v>
      </c>
      <c r="D303" s="282"/>
      <c r="E303" s="282"/>
      <c r="F303" s="282"/>
      <c r="G303" s="278">
        <f t="shared" si="122"/>
        <v>3750</v>
      </c>
      <c r="H303" s="282"/>
      <c r="I303" s="282"/>
      <c r="J303" s="282"/>
      <c r="K303" s="282">
        <f t="shared" si="117"/>
        <v>2681</v>
      </c>
      <c r="L303" s="278">
        <f t="shared" si="123"/>
        <v>7.3452054794520549</v>
      </c>
      <c r="M303" s="281">
        <v>71250</v>
      </c>
      <c r="N303" s="118">
        <f t="shared" si="118"/>
        <v>3750</v>
      </c>
      <c r="O303" s="114">
        <f t="shared" si="119"/>
        <v>-2.3452054794520549</v>
      </c>
      <c r="P303" s="114">
        <f t="shared" si="120"/>
        <v>0</v>
      </c>
      <c r="Q303" s="118">
        <f t="shared" si="125"/>
        <v>0</v>
      </c>
      <c r="R303" s="118">
        <f t="shared" si="124"/>
        <v>3750</v>
      </c>
      <c r="S303" s="248"/>
      <c r="T303" s="248">
        <f t="shared" si="89"/>
        <v>0</v>
      </c>
    </row>
    <row r="304" spans="1:21" ht="15" customHeight="1">
      <c r="A304" s="111" t="s">
        <v>114</v>
      </c>
      <c r="B304" s="277">
        <v>41495</v>
      </c>
      <c r="C304" s="282">
        <v>38500</v>
      </c>
      <c r="D304" s="282"/>
      <c r="E304" s="282"/>
      <c r="F304" s="282"/>
      <c r="G304" s="278">
        <f t="shared" si="122"/>
        <v>1925</v>
      </c>
      <c r="H304" s="282"/>
      <c r="I304" s="282"/>
      <c r="J304" s="282"/>
      <c r="K304" s="282">
        <f t="shared" si="117"/>
        <v>2426</v>
      </c>
      <c r="L304" s="278">
        <f t="shared" si="123"/>
        <v>6.646575342465753</v>
      </c>
      <c r="M304" s="281">
        <v>36575</v>
      </c>
      <c r="N304" s="118">
        <f t="shared" si="118"/>
        <v>1925</v>
      </c>
      <c r="O304" s="114">
        <f t="shared" si="119"/>
        <v>-1.646575342465753</v>
      </c>
      <c r="P304" s="114">
        <f t="shared" si="120"/>
        <v>0</v>
      </c>
      <c r="Q304" s="118">
        <f>P304</f>
        <v>0</v>
      </c>
      <c r="R304" s="118">
        <f t="shared" si="124"/>
        <v>1925</v>
      </c>
      <c r="S304" s="248"/>
      <c r="T304" s="248">
        <f t="shared" si="89"/>
        <v>0</v>
      </c>
    </row>
    <row r="305" spans="1:20" ht="15" customHeight="1">
      <c r="A305" s="111" t="s">
        <v>117</v>
      </c>
      <c r="B305" s="277">
        <v>41712</v>
      </c>
      <c r="C305" s="282">
        <v>14900</v>
      </c>
      <c r="D305" s="282"/>
      <c r="E305" s="282"/>
      <c r="F305" s="282"/>
      <c r="G305" s="278">
        <f t="shared" si="122"/>
        <v>745</v>
      </c>
      <c r="H305" s="282"/>
      <c r="I305" s="282"/>
      <c r="J305" s="282"/>
      <c r="K305" s="282">
        <f t="shared" si="117"/>
        <v>2209</v>
      </c>
      <c r="L305" s="278">
        <f t="shared" si="123"/>
        <v>6.0520547945205481</v>
      </c>
      <c r="M305" s="281">
        <v>14155</v>
      </c>
      <c r="N305" s="118">
        <f t="shared" si="118"/>
        <v>745</v>
      </c>
      <c r="O305" s="114">
        <f t="shared" si="119"/>
        <v>-1.0520547945205481</v>
      </c>
      <c r="P305" s="114">
        <f t="shared" si="120"/>
        <v>0</v>
      </c>
      <c r="Q305" s="118">
        <f>P305</f>
        <v>0</v>
      </c>
      <c r="R305" s="118">
        <f t="shared" si="124"/>
        <v>745</v>
      </c>
      <c r="S305" s="248"/>
      <c r="T305" s="248">
        <f t="shared" si="89"/>
        <v>0</v>
      </c>
    </row>
    <row r="306" spans="1:20" ht="15" customHeight="1">
      <c r="A306" s="127" t="s">
        <v>117</v>
      </c>
      <c r="B306" s="277">
        <v>41730</v>
      </c>
      <c r="C306" s="314">
        <v>33000</v>
      </c>
      <c r="D306" s="282"/>
      <c r="E306" s="282"/>
      <c r="F306" s="282"/>
      <c r="G306" s="278">
        <f t="shared" si="122"/>
        <v>1650</v>
      </c>
      <c r="H306" s="282"/>
      <c r="I306" s="282"/>
      <c r="J306" s="282"/>
      <c r="K306" s="282">
        <f t="shared" si="117"/>
        <v>2191</v>
      </c>
      <c r="L306" s="278">
        <f t="shared" si="123"/>
        <v>6.0027397260273974</v>
      </c>
      <c r="M306" s="281">
        <v>31350</v>
      </c>
      <c r="N306" s="118">
        <f t="shared" si="118"/>
        <v>1650</v>
      </c>
      <c r="O306" s="114">
        <f t="shared" si="119"/>
        <v>-1.0027397260273974</v>
      </c>
      <c r="P306" s="114">
        <f t="shared" si="120"/>
        <v>0</v>
      </c>
      <c r="Q306" s="118">
        <f>P306</f>
        <v>0</v>
      </c>
      <c r="R306" s="118">
        <f t="shared" ref="R306" si="126">N306-Q306</f>
        <v>1650</v>
      </c>
      <c r="S306" s="248"/>
      <c r="T306" s="248">
        <f t="shared" si="89"/>
        <v>0</v>
      </c>
    </row>
    <row r="307" spans="1:20" ht="15" customHeight="1">
      <c r="A307" s="127" t="s">
        <v>117</v>
      </c>
      <c r="B307" s="277">
        <v>41733</v>
      </c>
      <c r="C307" s="314">
        <f>6750+1000+3400</f>
        <v>11150</v>
      </c>
      <c r="D307" s="282"/>
      <c r="E307" s="282"/>
      <c r="F307" s="282"/>
      <c r="G307" s="278">
        <f t="shared" si="122"/>
        <v>557.5</v>
      </c>
      <c r="H307" s="282"/>
      <c r="I307" s="282"/>
      <c r="J307" s="282"/>
      <c r="K307" s="282">
        <f t="shared" si="117"/>
        <v>2188</v>
      </c>
      <c r="L307" s="278">
        <f t="shared" si="123"/>
        <v>5.9945205479452053</v>
      </c>
      <c r="M307" s="281">
        <f>-[1]Sheet1!$G$417</f>
        <v>10592.43</v>
      </c>
      <c r="N307" s="118">
        <f t="shared" si="118"/>
        <v>557.56999999999971</v>
      </c>
      <c r="O307" s="114">
        <f t="shared" si="119"/>
        <v>-0.99452054794520528</v>
      </c>
      <c r="P307" s="114">
        <f t="shared" si="120"/>
        <v>6.9999999999708962E-2</v>
      </c>
      <c r="Q307" s="206">
        <v>0</v>
      </c>
      <c r="R307" s="118">
        <f t="shared" si="124"/>
        <v>557.56999999999971</v>
      </c>
      <c r="S307" s="248">
        <v>0</v>
      </c>
      <c r="T307" s="248">
        <f>-(Q307+S307)</f>
        <v>0</v>
      </c>
    </row>
    <row r="308" spans="1:20" ht="15" customHeight="1">
      <c r="A308" s="127" t="s">
        <v>117</v>
      </c>
      <c r="B308" s="277">
        <v>41746</v>
      </c>
      <c r="C308" s="314">
        <f>3350+4400</f>
        <v>7750</v>
      </c>
      <c r="D308" s="282"/>
      <c r="E308" s="282"/>
      <c r="F308" s="282"/>
      <c r="G308" s="278">
        <f t="shared" si="122"/>
        <v>387.5</v>
      </c>
      <c r="H308" s="282"/>
      <c r="I308" s="282"/>
      <c r="J308" s="282"/>
      <c r="K308" s="282">
        <f t="shared" si="117"/>
        <v>2175</v>
      </c>
      <c r="L308" s="278">
        <f t="shared" si="123"/>
        <v>5.9589041095890414</v>
      </c>
      <c r="M308" s="281">
        <f>-[1]Sheet1!$G$419</f>
        <v>7362.26</v>
      </c>
      <c r="N308" s="118">
        <f t="shared" si="118"/>
        <v>387.73999999999978</v>
      </c>
      <c r="O308" s="114">
        <f t="shared" si="119"/>
        <v>-0.95890410958904138</v>
      </c>
      <c r="P308" s="114">
        <f t="shared" si="120"/>
        <v>0.23999999999978172</v>
      </c>
      <c r="Q308" s="206">
        <v>0</v>
      </c>
      <c r="R308" s="118">
        <f t="shared" si="124"/>
        <v>387.73999999999978</v>
      </c>
      <c r="S308" s="248">
        <v>0</v>
      </c>
      <c r="T308" s="248">
        <f t="shared" ref="T308:T336" si="127">-(Q308+S308)</f>
        <v>0</v>
      </c>
    </row>
    <row r="309" spans="1:20" ht="15" customHeight="1">
      <c r="A309" s="127" t="s">
        <v>117</v>
      </c>
      <c r="B309" s="277">
        <v>41889</v>
      </c>
      <c r="C309" s="314">
        <v>4600</v>
      </c>
      <c r="D309" s="282"/>
      <c r="E309" s="282"/>
      <c r="F309" s="282"/>
      <c r="G309" s="278">
        <f t="shared" si="122"/>
        <v>230</v>
      </c>
      <c r="H309" s="282"/>
      <c r="I309" s="282"/>
      <c r="J309" s="282"/>
      <c r="K309" s="282">
        <f t="shared" si="117"/>
        <v>2032</v>
      </c>
      <c r="L309" s="278">
        <f t="shared" si="123"/>
        <v>5.5671232876712331</v>
      </c>
      <c r="M309" s="281">
        <f>-[1]Sheet1!$G$421</f>
        <v>4368.66</v>
      </c>
      <c r="N309" s="118">
        <f t="shared" si="118"/>
        <v>231.34000000000015</v>
      </c>
      <c r="O309" s="114">
        <f t="shared" si="119"/>
        <v>-0.5671232876712331</v>
      </c>
      <c r="P309" s="114">
        <f t="shared" si="120"/>
        <v>1.3400000000001455</v>
      </c>
      <c r="Q309" s="206">
        <v>0</v>
      </c>
      <c r="R309" s="118">
        <f t="shared" si="124"/>
        <v>231.34000000000015</v>
      </c>
      <c r="S309" s="248">
        <f>-[1]Sheet1!$I$421</f>
        <v>0</v>
      </c>
      <c r="T309" s="248">
        <f t="shared" si="127"/>
        <v>0</v>
      </c>
    </row>
    <row r="310" spans="1:20" ht="15" customHeight="1">
      <c r="A310" s="127" t="s">
        <v>117</v>
      </c>
      <c r="B310" s="277">
        <v>42061</v>
      </c>
      <c r="C310" s="314">
        <v>5590</v>
      </c>
      <c r="D310" s="282"/>
      <c r="E310" s="282"/>
      <c r="F310" s="282"/>
      <c r="G310" s="278">
        <f t="shared" si="122"/>
        <v>279.5</v>
      </c>
      <c r="H310" s="282"/>
      <c r="I310" s="282"/>
      <c r="J310" s="282"/>
      <c r="K310" s="282">
        <f t="shared" si="117"/>
        <v>1860</v>
      </c>
      <c r="L310" s="278">
        <f t="shared" si="123"/>
        <v>5.095890410958904</v>
      </c>
      <c r="M310" s="281">
        <f>-[1]Sheet1!$G$426</f>
        <v>5307.19</v>
      </c>
      <c r="N310" s="118">
        <f t="shared" si="118"/>
        <v>282.8100000000004</v>
      </c>
      <c r="O310" s="114">
        <f t="shared" si="119"/>
        <v>-9.5890410958904049E-2</v>
      </c>
      <c r="P310" s="114">
        <f t="shared" si="120"/>
        <v>3.3100000000004002</v>
      </c>
      <c r="Q310" s="206">
        <v>3</v>
      </c>
      <c r="R310" s="118">
        <f t="shared" si="124"/>
        <v>279.8100000000004</v>
      </c>
      <c r="S310" s="248">
        <v>0</v>
      </c>
      <c r="T310" s="248">
        <f t="shared" si="127"/>
        <v>-3</v>
      </c>
    </row>
    <row r="311" spans="1:20" ht="15" customHeight="1">
      <c r="A311" s="127" t="s">
        <v>118</v>
      </c>
      <c r="B311" s="277">
        <v>41904</v>
      </c>
      <c r="C311" s="314">
        <v>35000</v>
      </c>
      <c r="D311" s="282"/>
      <c r="E311" s="282"/>
      <c r="F311" s="282"/>
      <c r="G311" s="278">
        <f t="shared" si="122"/>
        <v>1750</v>
      </c>
      <c r="H311" s="282"/>
      <c r="I311" s="282"/>
      <c r="J311" s="282"/>
      <c r="K311" s="282">
        <f t="shared" si="117"/>
        <v>2017</v>
      </c>
      <c r="L311" s="278">
        <f t="shared" si="123"/>
        <v>5.5260273972602736</v>
      </c>
      <c r="M311" s="281">
        <f>-[1]Sheet1!$G$422</f>
        <v>33238.839999999997</v>
      </c>
      <c r="N311" s="118">
        <f t="shared" si="118"/>
        <v>1761.1600000000035</v>
      </c>
      <c r="O311" s="114">
        <f t="shared" si="119"/>
        <v>-0.52602739726027359</v>
      </c>
      <c r="P311" s="114">
        <f t="shared" si="120"/>
        <v>11.160000000003492</v>
      </c>
      <c r="Q311" s="206">
        <v>11</v>
      </c>
      <c r="R311" s="118">
        <f t="shared" si="124"/>
        <v>1750.1600000000035</v>
      </c>
      <c r="S311" s="248">
        <v>0</v>
      </c>
      <c r="T311" s="248">
        <f t="shared" si="127"/>
        <v>-11</v>
      </c>
    </row>
    <row r="312" spans="1:20" ht="15" customHeight="1">
      <c r="A312" s="127" t="s">
        <v>118</v>
      </c>
      <c r="B312" s="277">
        <v>41923</v>
      </c>
      <c r="C312" s="314">
        <v>11450</v>
      </c>
      <c r="D312" s="282"/>
      <c r="E312" s="282"/>
      <c r="F312" s="282"/>
      <c r="G312" s="278">
        <f t="shared" si="122"/>
        <v>572.5</v>
      </c>
      <c r="H312" s="282"/>
      <c r="I312" s="282"/>
      <c r="J312" s="282"/>
      <c r="K312" s="282">
        <f t="shared" si="117"/>
        <v>1998</v>
      </c>
      <c r="L312" s="278">
        <f t="shared" si="123"/>
        <v>5.4739726027397264</v>
      </c>
      <c r="M312" s="281">
        <f>-[1]Sheet1!$G$424</f>
        <v>10873.46</v>
      </c>
      <c r="N312" s="118">
        <f t="shared" si="118"/>
        <v>576.54000000000087</v>
      </c>
      <c r="O312" s="114">
        <f t="shared" si="119"/>
        <v>-0.47397260273972641</v>
      </c>
      <c r="P312" s="114">
        <f t="shared" si="120"/>
        <v>4.0400000000008731</v>
      </c>
      <c r="Q312" s="206">
        <v>4.04</v>
      </c>
      <c r="R312" s="118">
        <f t="shared" si="124"/>
        <v>572.50000000000091</v>
      </c>
      <c r="S312" s="248">
        <v>0</v>
      </c>
      <c r="T312" s="248">
        <f t="shared" si="127"/>
        <v>-4.04</v>
      </c>
    </row>
    <row r="313" spans="1:20" ht="15.75" customHeight="1">
      <c r="A313" s="392" t="s">
        <v>332</v>
      </c>
      <c r="B313" s="277">
        <v>42138</v>
      </c>
      <c r="C313" s="308">
        <v>5000</v>
      </c>
      <c r="D313" s="282"/>
      <c r="E313" s="282"/>
      <c r="F313" s="282"/>
      <c r="G313" s="278">
        <f t="shared" si="122"/>
        <v>250</v>
      </c>
      <c r="H313" s="282"/>
      <c r="I313" s="282"/>
      <c r="J313" s="282"/>
      <c r="K313" s="282">
        <f t="shared" si="117"/>
        <v>1783</v>
      </c>
      <c r="L313" s="278">
        <f t="shared" si="123"/>
        <v>4.8849315068493153</v>
      </c>
      <c r="M313" s="221">
        <f>-[1]Sheet1!$G$430</f>
        <v>4638.08</v>
      </c>
      <c r="N313" s="279">
        <f t="shared" si="118"/>
        <v>361.92000000000007</v>
      </c>
      <c r="O313" s="278">
        <f t="shared" si="119"/>
        <v>0.11506849315068468</v>
      </c>
      <c r="P313" s="278">
        <f t="shared" si="120"/>
        <v>111.92000000000007</v>
      </c>
      <c r="Q313" s="279">
        <v>111.92</v>
      </c>
      <c r="R313" s="279">
        <f t="shared" si="124"/>
        <v>250.00000000000006</v>
      </c>
      <c r="S313" s="250">
        <f>+[1]Sheet1!$I$430</f>
        <v>-111.92</v>
      </c>
      <c r="T313" s="248">
        <f t="shared" si="127"/>
        <v>0</v>
      </c>
    </row>
    <row r="314" spans="1:20" ht="15.75" customHeight="1">
      <c r="A314" s="392" t="s">
        <v>331</v>
      </c>
      <c r="B314" s="277">
        <v>42142</v>
      </c>
      <c r="C314" s="308">
        <v>5000</v>
      </c>
      <c r="D314" s="282"/>
      <c r="E314" s="282"/>
      <c r="F314" s="282"/>
      <c r="G314" s="278">
        <f t="shared" si="122"/>
        <v>250</v>
      </c>
      <c r="H314" s="282"/>
      <c r="I314" s="282"/>
      <c r="J314" s="282"/>
      <c r="K314" s="282">
        <f t="shared" si="117"/>
        <v>1779</v>
      </c>
      <c r="L314" s="278">
        <f t="shared" si="123"/>
        <v>4.8739726027397259</v>
      </c>
      <c r="M314" s="401">
        <f>-[1]Sheet1!$G$432</f>
        <v>4627.67</v>
      </c>
      <c r="N314" s="279">
        <f t="shared" si="118"/>
        <v>372.32999999999993</v>
      </c>
      <c r="O314" s="278">
        <f t="shared" si="119"/>
        <v>0.12602739726027412</v>
      </c>
      <c r="P314" s="278">
        <f t="shared" si="120"/>
        <v>122.32999999999993</v>
      </c>
      <c r="Q314" s="279">
        <v>122.33</v>
      </c>
      <c r="R314" s="279">
        <f t="shared" si="124"/>
        <v>249.99999999999994</v>
      </c>
      <c r="S314" s="250">
        <f>+[1]Sheet1!$I$432</f>
        <v>-122.33</v>
      </c>
      <c r="T314" s="248">
        <f t="shared" si="127"/>
        <v>0</v>
      </c>
    </row>
    <row r="315" spans="1:20" ht="15.75" customHeight="1">
      <c r="A315" s="392" t="s">
        <v>117</v>
      </c>
      <c r="B315" s="277">
        <v>42146</v>
      </c>
      <c r="C315" s="308">
        <v>5000</v>
      </c>
      <c r="D315" s="282"/>
      <c r="E315" s="282"/>
      <c r="F315" s="282"/>
      <c r="G315" s="278">
        <f t="shared" si="122"/>
        <v>250</v>
      </c>
      <c r="H315" s="282"/>
      <c r="I315" s="282"/>
      <c r="J315" s="282"/>
      <c r="K315" s="282">
        <f t="shared" si="117"/>
        <v>1775</v>
      </c>
      <c r="L315" s="278">
        <f t="shared" si="123"/>
        <v>4.8630136986301373</v>
      </c>
      <c r="M315" s="221">
        <f>-[1]Sheet1!$G$437</f>
        <v>4617.26</v>
      </c>
      <c r="N315" s="279">
        <f t="shared" si="118"/>
        <v>382.73999999999978</v>
      </c>
      <c r="O315" s="278">
        <f t="shared" si="119"/>
        <v>0.13698630136986267</v>
      </c>
      <c r="P315" s="278">
        <f t="shared" si="120"/>
        <v>132.73999999999978</v>
      </c>
      <c r="Q315" s="279">
        <v>132.74</v>
      </c>
      <c r="R315" s="279">
        <f t="shared" si="124"/>
        <v>249.99999999999977</v>
      </c>
      <c r="S315" s="250">
        <f>+[1]Sheet1!$I$437</f>
        <v>-132.74</v>
      </c>
      <c r="T315" s="248">
        <f t="shared" si="127"/>
        <v>0</v>
      </c>
    </row>
    <row r="316" spans="1:20" ht="15.75" customHeight="1">
      <c r="A316" s="392" t="s">
        <v>117</v>
      </c>
      <c r="B316" s="277">
        <v>42203</v>
      </c>
      <c r="C316" s="308">
        <v>14900</v>
      </c>
      <c r="D316" s="282"/>
      <c r="E316" s="282"/>
      <c r="F316" s="282"/>
      <c r="G316" s="278">
        <f t="shared" si="122"/>
        <v>745</v>
      </c>
      <c r="H316" s="282"/>
      <c r="I316" s="282"/>
      <c r="J316" s="282"/>
      <c r="K316" s="282">
        <f t="shared" si="117"/>
        <v>1718</v>
      </c>
      <c r="L316" s="278">
        <f t="shared" si="123"/>
        <v>4.7068493150684931</v>
      </c>
      <c r="M316" s="221">
        <f>-[1]Sheet1!$G$441</f>
        <v>13317.33</v>
      </c>
      <c r="N316" s="279">
        <f t="shared" si="118"/>
        <v>1582.67</v>
      </c>
      <c r="O316" s="278">
        <f t="shared" si="119"/>
        <v>0.29315068493150687</v>
      </c>
      <c r="P316" s="278">
        <f t="shared" si="120"/>
        <v>837.67000000000007</v>
      </c>
      <c r="Q316" s="279">
        <v>837.67</v>
      </c>
      <c r="R316" s="279">
        <f t="shared" si="124"/>
        <v>745.00000000000011</v>
      </c>
      <c r="S316" s="250">
        <f>+[1]Sheet1!$I$441</f>
        <v>-837.67</v>
      </c>
      <c r="T316" s="248">
        <f t="shared" si="127"/>
        <v>0</v>
      </c>
    </row>
    <row r="317" spans="1:20" ht="15.75" customHeight="1">
      <c r="A317" s="392" t="s">
        <v>119</v>
      </c>
      <c r="B317" s="277">
        <v>42105</v>
      </c>
      <c r="C317" s="308">
        <v>22614</v>
      </c>
      <c r="D317" s="282"/>
      <c r="E317" s="282"/>
      <c r="F317" s="282"/>
      <c r="G317" s="278">
        <f t="shared" si="122"/>
        <v>1130.7</v>
      </c>
      <c r="H317" s="282"/>
      <c r="I317" s="282"/>
      <c r="J317" s="282"/>
      <c r="K317" s="282">
        <f t="shared" si="117"/>
        <v>1816</v>
      </c>
      <c r="L317" s="278">
        <f t="shared" si="123"/>
        <v>4.9753424657534246</v>
      </c>
      <c r="M317" s="221">
        <f>-[1]Sheet1!$G$427</f>
        <v>21365.58</v>
      </c>
      <c r="N317" s="279">
        <f t="shared" si="118"/>
        <v>1248.4199999999983</v>
      </c>
      <c r="O317" s="278">
        <f t="shared" si="119"/>
        <v>2.4657534246575352E-2</v>
      </c>
      <c r="P317" s="278">
        <f t="shared" si="120"/>
        <v>117.71999999999821</v>
      </c>
      <c r="Q317" s="279">
        <v>117.72</v>
      </c>
      <c r="R317" s="279">
        <f t="shared" si="124"/>
        <v>1130.6999999999982</v>
      </c>
      <c r="S317" s="250">
        <f>+[1]Sheet1!$I$427</f>
        <v>-117.72</v>
      </c>
      <c r="T317" s="248">
        <f t="shared" si="127"/>
        <v>0</v>
      </c>
    </row>
    <row r="318" spans="1:20" ht="15.75" customHeight="1">
      <c r="A318" s="392" t="s">
        <v>119</v>
      </c>
      <c r="B318" s="277">
        <v>42144</v>
      </c>
      <c r="C318" s="308">
        <v>189911</v>
      </c>
      <c r="D318" s="282"/>
      <c r="E318" s="282"/>
      <c r="F318" s="282"/>
      <c r="G318" s="278">
        <f t="shared" si="122"/>
        <v>9495.5500000000011</v>
      </c>
      <c r="H318" s="282"/>
      <c r="I318" s="282"/>
      <c r="J318" s="282"/>
      <c r="K318" s="282">
        <f t="shared" si="117"/>
        <v>1777</v>
      </c>
      <c r="L318" s="278">
        <f t="shared" si="123"/>
        <v>4.8684931506849312</v>
      </c>
      <c r="M318" s="221">
        <f>-[1]Sheet1!$G$435</f>
        <v>180415.45</v>
      </c>
      <c r="N318" s="279">
        <f t="shared" si="118"/>
        <v>9495.5499999999884</v>
      </c>
      <c r="O318" s="278">
        <f t="shared" si="119"/>
        <v>0.13150684931506884</v>
      </c>
      <c r="P318" s="278">
        <f t="shared" si="120"/>
        <v>0</v>
      </c>
      <c r="Q318" s="279">
        <f t="shared" ref="Q318:Q331" si="128">P318/O318</f>
        <v>0</v>
      </c>
      <c r="R318" s="279">
        <f t="shared" si="124"/>
        <v>9495.5499999999884</v>
      </c>
      <c r="S318" s="250">
        <f>+[1]Sheet1!$I$435</f>
        <v>0</v>
      </c>
      <c r="T318" s="248">
        <f t="shared" si="127"/>
        <v>0</v>
      </c>
    </row>
    <row r="319" spans="1:20" ht="15.75" customHeight="1">
      <c r="A319" s="392" t="s">
        <v>119</v>
      </c>
      <c r="B319" s="277">
        <v>42171</v>
      </c>
      <c r="C319" s="308">
        <v>49597</v>
      </c>
      <c r="D319" s="282"/>
      <c r="E319" s="282"/>
      <c r="F319" s="282"/>
      <c r="G319" s="278">
        <f t="shared" si="122"/>
        <v>2479.8500000000004</v>
      </c>
      <c r="H319" s="282"/>
      <c r="I319" s="282"/>
      <c r="J319" s="282"/>
      <c r="K319" s="282">
        <f t="shared" si="117"/>
        <v>1750</v>
      </c>
      <c r="L319" s="278">
        <f t="shared" si="123"/>
        <v>4.7945205479452051</v>
      </c>
      <c r="M319" s="221">
        <f>-[1]Sheet1!$G$438</f>
        <v>45155.01</v>
      </c>
      <c r="N319" s="279">
        <f t="shared" si="118"/>
        <v>4441.989999999998</v>
      </c>
      <c r="O319" s="278">
        <f t="shared" si="119"/>
        <v>0.2054794520547949</v>
      </c>
      <c r="P319" s="278">
        <f t="shared" si="120"/>
        <v>1962.1399999999976</v>
      </c>
      <c r="Q319" s="279">
        <v>1962.14</v>
      </c>
      <c r="R319" s="279">
        <f t="shared" si="124"/>
        <v>2479.8499999999976</v>
      </c>
      <c r="S319" s="250">
        <f>+[1]Sheet1!$I$438</f>
        <v>-1962.14</v>
      </c>
      <c r="T319" s="248">
        <f t="shared" si="127"/>
        <v>0</v>
      </c>
    </row>
    <row r="320" spans="1:20" ht="15.75" customHeight="1">
      <c r="A320" s="392" t="s">
        <v>120</v>
      </c>
      <c r="B320" s="277">
        <v>42247</v>
      </c>
      <c r="C320" s="308">
        <v>32025</v>
      </c>
      <c r="D320" s="282"/>
      <c r="E320" s="282"/>
      <c r="F320" s="282"/>
      <c r="G320" s="278">
        <f t="shared" si="122"/>
        <v>1601.25</v>
      </c>
      <c r="H320" s="282"/>
      <c r="I320" s="282"/>
      <c r="J320" s="282"/>
      <c r="K320" s="282">
        <f t="shared" si="117"/>
        <v>1674</v>
      </c>
      <c r="L320" s="278">
        <f t="shared" si="123"/>
        <v>4.5863013698630137</v>
      </c>
      <c r="M320" s="221">
        <f>-[1]Sheet1!$G$442</f>
        <v>27889.83</v>
      </c>
      <c r="N320" s="279">
        <f t="shared" si="118"/>
        <v>4135.1699999999983</v>
      </c>
      <c r="O320" s="278">
        <f t="shared" si="119"/>
        <v>0.41369863013698627</v>
      </c>
      <c r="P320" s="278">
        <f t="shared" si="120"/>
        <v>2533.9199999999983</v>
      </c>
      <c r="Q320" s="279">
        <v>2533.92</v>
      </c>
      <c r="R320" s="279">
        <f t="shared" si="124"/>
        <v>1601.2499999999982</v>
      </c>
      <c r="S320" s="250">
        <f>+[1]Sheet1!$I$442</f>
        <v>-2533.92</v>
      </c>
      <c r="T320" s="248">
        <f t="shared" si="127"/>
        <v>0</v>
      </c>
    </row>
    <row r="321" spans="1:20" ht="15.75" customHeight="1">
      <c r="A321" s="392" t="s">
        <v>120</v>
      </c>
      <c r="B321" s="277">
        <v>42263</v>
      </c>
      <c r="C321" s="308">
        <v>21000</v>
      </c>
      <c r="D321" s="282"/>
      <c r="E321" s="282"/>
      <c r="F321" s="282"/>
      <c r="G321" s="278">
        <f t="shared" si="122"/>
        <v>1050</v>
      </c>
      <c r="H321" s="282"/>
      <c r="I321" s="282"/>
      <c r="J321" s="282"/>
      <c r="K321" s="282">
        <f t="shared" si="117"/>
        <v>1658</v>
      </c>
      <c r="L321" s="278">
        <f t="shared" si="123"/>
        <v>4.5424657534246577</v>
      </c>
      <c r="M321" s="402">
        <v>18113.509999999998</v>
      </c>
      <c r="N321" s="279">
        <f t="shared" si="118"/>
        <v>2886.4900000000016</v>
      </c>
      <c r="O321" s="278">
        <f t="shared" si="119"/>
        <v>0.45753424657534225</v>
      </c>
      <c r="P321" s="278">
        <f t="shared" si="120"/>
        <v>1836.4900000000016</v>
      </c>
      <c r="Q321" s="279">
        <v>1836.49</v>
      </c>
      <c r="R321" s="279">
        <f t="shared" si="124"/>
        <v>1050.0000000000016</v>
      </c>
      <c r="S321" s="250">
        <f>+[1]Sheet1!$I$443</f>
        <v>-1836.49</v>
      </c>
      <c r="T321" s="248">
        <f t="shared" si="127"/>
        <v>0</v>
      </c>
    </row>
    <row r="322" spans="1:20" ht="15.75" customHeight="1">
      <c r="A322" s="392" t="s">
        <v>120</v>
      </c>
      <c r="B322" s="277">
        <v>42269</v>
      </c>
      <c r="C322" s="308">
        <v>63525</v>
      </c>
      <c r="D322" s="282"/>
      <c r="E322" s="282"/>
      <c r="F322" s="282"/>
      <c r="G322" s="278">
        <f t="shared" si="122"/>
        <v>3176.25</v>
      </c>
      <c r="H322" s="282"/>
      <c r="I322" s="282"/>
      <c r="J322" s="282"/>
      <c r="K322" s="282">
        <f t="shared" si="117"/>
        <v>1652</v>
      </c>
      <c r="L322" s="278">
        <f t="shared" si="123"/>
        <v>4.5260273972602736</v>
      </c>
      <c r="M322" s="402">
        <v>54594.95</v>
      </c>
      <c r="N322" s="279">
        <f t="shared" si="118"/>
        <v>8930.0500000000029</v>
      </c>
      <c r="O322" s="278">
        <f t="shared" si="119"/>
        <v>0.47397260273972641</v>
      </c>
      <c r="P322" s="278">
        <f t="shared" si="120"/>
        <v>5753.8000000000029</v>
      </c>
      <c r="Q322" s="279">
        <v>5753.8</v>
      </c>
      <c r="R322" s="279">
        <f t="shared" si="124"/>
        <v>3176.2500000000027</v>
      </c>
      <c r="S322" s="250">
        <f>+[1]Sheet1!$I$444</f>
        <v>-5753.8</v>
      </c>
      <c r="T322" s="248">
        <f t="shared" si="127"/>
        <v>0</v>
      </c>
    </row>
    <row r="323" spans="1:20" ht="15.75" customHeight="1">
      <c r="A323" s="389" t="s">
        <v>121</v>
      </c>
      <c r="B323" s="277">
        <v>42529</v>
      </c>
      <c r="C323" s="317">
        <v>6749</v>
      </c>
      <c r="D323" s="282"/>
      <c r="E323" s="282"/>
      <c r="F323" s="282"/>
      <c r="G323" s="278">
        <f t="shared" si="122"/>
        <v>337.45000000000005</v>
      </c>
      <c r="H323" s="282"/>
      <c r="I323" s="282"/>
      <c r="J323" s="282"/>
      <c r="K323" s="282">
        <f t="shared" si="117"/>
        <v>1392</v>
      </c>
      <c r="L323" s="278">
        <f t="shared" si="123"/>
        <v>3.8136986301369862</v>
      </c>
      <c r="M323" s="221">
        <f>-[1]Sheet1!$G$453</f>
        <v>4886.83</v>
      </c>
      <c r="N323" s="279">
        <f t="shared" si="118"/>
        <v>1862.17</v>
      </c>
      <c r="O323" s="278">
        <f t="shared" si="119"/>
        <v>1.1863013698630138</v>
      </c>
      <c r="P323" s="278">
        <f t="shared" si="120"/>
        <v>1524.72</v>
      </c>
      <c r="Q323" s="279">
        <f t="shared" si="128"/>
        <v>1285.2720554272516</v>
      </c>
      <c r="R323" s="279">
        <f t="shared" si="124"/>
        <v>576.89794457274843</v>
      </c>
      <c r="S323" s="250">
        <f>+[1]Sheet1!$I$453</f>
        <v>-1282.31</v>
      </c>
      <c r="T323" s="248">
        <f t="shared" si="127"/>
        <v>-2.9620554272516983</v>
      </c>
    </row>
    <row r="324" spans="1:20" ht="15.75" customHeight="1">
      <c r="A324" s="389" t="s">
        <v>122</v>
      </c>
      <c r="B324" s="277">
        <v>42480</v>
      </c>
      <c r="C324" s="317">
        <v>70393</v>
      </c>
      <c r="D324" s="282"/>
      <c r="E324" s="282"/>
      <c r="F324" s="282"/>
      <c r="G324" s="278">
        <f t="shared" si="122"/>
        <v>3519.65</v>
      </c>
      <c r="H324" s="282"/>
      <c r="I324" s="282"/>
      <c r="J324" s="282"/>
      <c r="K324" s="282">
        <f t="shared" si="117"/>
        <v>1441</v>
      </c>
      <c r="L324" s="278">
        <f t="shared" si="123"/>
        <v>3.9479452054794519</v>
      </c>
      <c r="M324" s="221">
        <f>-[1]Sheet1!$G$451</f>
        <v>52765.82</v>
      </c>
      <c r="N324" s="279">
        <f t="shared" si="118"/>
        <v>17627.18</v>
      </c>
      <c r="O324" s="278">
        <f t="shared" si="119"/>
        <v>1.0520547945205481</v>
      </c>
      <c r="P324" s="278">
        <f t="shared" si="120"/>
        <v>14107.53</v>
      </c>
      <c r="Q324" s="279">
        <f t="shared" si="128"/>
        <v>13409.501171874999</v>
      </c>
      <c r="R324" s="279">
        <f t="shared" si="124"/>
        <v>4217.678828125001</v>
      </c>
      <c r="S324" s="250">
        <f>+[1]Sheet1!$I$451</f>
        <v>-13374.67</v>
      </c>
      <c r="T324" s="248">
        <f t="shared" si="127"/>
        <v>-34.8311718749992</v>
      </c>
    </row>
    <row r="325" spans="1:20" ht="15.75" customHeight="1">
      <c r="A325" s="389" t="s">
        <v>123</v>
      </c>
      <c r="B325" s="277">
        <v>42464</v>
      </c>
      <c r="C325" s="317">
        <f>360323.16+143195</f>
        <v>503518.16</v>
      </c>
      <c r="D325" s="282"/>
      <c r="E325" s="282"/>
      <c r="F325" s="282"/>
      <c r="G325" s="278">
        <f t="shared" si="122"/>
        <v>25175.907999999999</v>
      </c>
      <c r="H325" s="282"/>
      <c r="I325" s="282"/>
      <c r="J325" s="282"/>
      <c r="K325" s="282">
        <f t="shared" si="117"/>
        <v>1457</v>
      </c>
      <c r="L325" s="278">
        <f t="shared" si="123"/>
        <v>3.9917808219178084</v>
      </c>
      <c r="M325" s="221">
        <f>-[1]Sheet1!$G$445</f>
        <v>381625.38</v>
      </c>
      <c r="N325" s="279">
        <f t="shared" si="118"/>
        <v>121892.77999999997</v>
      </c>
      <c r="O325" s="278">
        <f t="shared" si="119"/>
        <v>1.0082191780821916</v>
      </c>
      <c r="P325" s="278">
        <f t="shared" si="120"/>
        <v>96716.871999999974</v>
      </c>
      <c r="Q325" s="279">
        <f t="shared" si="128"/>
        <v>95928.419239130424</v>
      </c>
      <c r="R325" s="279">
        <f t="shared" si="124"/>
        <v>25964.360760869546</v>
      </c>
      <c r="S325" s="250">
        <f>+[1]Sheet1!$I$445</f>
        <v>-95668.45</v>
      </c>
      <c r="T325" s="248">
        <f t="shared" si="127"/>
        <v>-259.96923913042701</v>
      </c>
    </row>
    <row r="326" spans="1:20" ht="15.75" customHeight="1">
      <c r="A326" s="389" t="s">
        <v>123</v>
      </c>
      <c r="B326" s="277">
        <v>42468</v>
      </c>
      <c r="C326" s="317">
        <v>117381</v>
      </c>
      <c r="D326" s="282"/>
      <c r="E326" s="282"/>
      <c r="F326" s="282"/>
      <c r="G326" s="278">
        <f t="shared" si="122"/>
        <v>5869.05</v>
      </c>
      <c r="H326" s="282"/>
      <c r="I326" s="282"/>
      <c r="J326" s="282"/>
      <c r="K326" s="282">
        <f t="shared" si="117"/>
        <v>1453</v>
      </c>
      <c r="L326" s="278">
        <f t="shared" si="123"/>
        <v>3.9808219178082194</v>
      </c>
      <c r="M326" s="221">
        <f>-[1]Sheet1!$G$447</f>
        <v>88720.74</v>
      </c>
      <c r="N326" s="279">
        <f t="shared" si="118"/>
        <v>28660.259999999995</v>
      </c>
      <c r="O326" s="278">
        <f t="shared" si="119"/>
        <v>1.0191780821917806</v>
      </c>
      <c r="P326" s="278">
        <f t="shared" si="120"/>
        <v>22791.209999999995</v>
      </c>
      <c r="Q326" s="279">
        <f t="shared" si="128"/>
        <v>22362.343145161289</v>
      </c>
      <c r="R326" s="279">
        <f t="shared" si="124"/>
        <v>6297.9168548387061</v>
      </c>
      <c r="S326" s="250">
        <f>+[1]Sheet1!$I$447</f>
        <v>-22302.39</v>
      </c>
      <c r="T326" s="248">
        <f t="shared" si="127"/>
        <v>-59.953145161289285</v>
      </c>
    </row>
    <row r="327" spans="1:20" ht="15.75" customHeight="1">
      <c r="A327" s="389" t="s">
        <v>123</v>
      </c>
      <c r="B327" s="277">
        <v>42475</v>
      </c>
      <c r="C327" s="317">
        <v>352143</v>
      </c>
      <c r="D327" s="282"/>
      <c r="E327" s="282"/>
      <c r="F327" s="282"/>
      <c r="G327" s="278">
        <f t="shared" si="122"/>
        <v>17607.150000000001</v>
      </c>
      <c r="H327" s="282"/>
      <c r="I327" s="282"/>
      <c r="J327" s="282"/>
      <c r="K327" s="282">
        <f t="shared" si="117"/>
        <v>1446</v>
      </c>
      <c r="L327" s="278">
        <f t="shared" si="123"/>
        <v>3.9616438356164383</v>
      </c>
      <c r="M327" s="221">
        <f>-[1]Sheet1!$G$449</f>
        <v>264879.07</v>
      </c>
      <c r="N327" s="279">
        <f t="shared" si="118"/>
        <v>87263.93</v>
      </c>
      <c r="O327" s="278">
        <f t="shared" si="119"/>
        <v>1.0383561643835617</v>
      </c>
      <c r="P327" s="278">
        <f t="shared" si="120"/>
        <v>69656.78</v>
      </c>
      <c r="Q327" s="279">
        <f t="shared" si="128"/>
        <v>67083.706332453818</v>
      </c>
      <c r="R327" s="279">
        <f t="shared" si="124"/>
        <v>20180.223667546175</v>
      </c>
      <c r="S327" s="250">
        <f>+[1]Sheet1!$I$449</f>
        <v>-66907.17</v>
      </c>
      <c r="T327" s="248">
        <f t="shared" si="127"/>
        <v>-176.53633245381934</v>
      </c>
    </row>
    <row r="328" spans="1:20" ht="15.75" customHeight="1">
      <c r="A328" s="389" t="s">
        <v>117</v>
      </c>
      <c r="B328" s="277">
        <v>42816</v>
      </c>
      <c r="C328" s="317">
        <v>6200</v>
      </c>
      <c r="D328" s="282"/>
      <c r="E328" s="282"/>
      <c r="F328" s="282"/>
      <c r="G328" s="278">
        <f t="shared" si="122"/>
        <v>310</v>
      </c>
      <c r="H328" s="282"/>
      <c r="I328" s="282"/>
      <c r="J328" s="282"/>
      <c r="K328" s="282">
        <f t="shared" si="117"/>
        <v>1105</v>
      </c>
      <c r="L328" s="278">
        <f t="shared" si="123"/>
        <v>3.0273972602739727</v>
      </c>
      <c r="M328" s="221">
        <f>-[1]Sheet1!$G$461</f>
        <v>3563.05</v>
      </c>
      <c r="N328" s="279">
        <f>C328-M328</f>
        <v>2636.95</v>
      </c>
      <c r="O328" s="278">
        <f t="shared" si="119"/>
        <v>1.9726027397260273</v>
      </c>
      <c r="P328" s="278">
        <f t="shared" si="120"/>
        <v>2326.9499999999998</v>
      </c>
      <c r="Q328" s="279">
        <f>P328/O328</f>
        <v>1179.6343749999999</v>
      </c>
      <c r="R328" s="279">
        <f t="shared" si="124"/>
        <v>1457.315625</v>
      </c>
      <c r="S328" s="250">
        <f>[1]Sheet1!$I$461</f>
        <v>-1178</v>
      </c>
      <c r="T328" s="248">
        <f t="shared" si="127"/>
        <v>-1.6343749999998636</v>
      </c>
    </row>
    <row r="329" spans="1:20" ht="15.75" customHeight="1">
      <c r="A329" s="389" t="s">
        <v>118</v>
      </c>
      <c r="B329" s="277">
        <v>42632</v>
      </c>
      <c r="C329" s="317">
        <v>18800</v>
      </c>
      <c r="D329" s="282"/>
      <c r="E329" s="282"/>
      <c r="F329" s="282"/>
      <c r="G329" s="278">
        <f t="shared" si="122"/>
        <v>940</v>
      </c>
      <c r="H329" s="282"/>
      <c r="I329" s="282"/>
      <c r="J329" s="282"/>
      <c r="K329" s="282">
        <f t="shared" si="117"/>
        <v>1289</v>
      </c>
      <c r="L329" s="278">
        <f t="shared" si="123"/>
        <v>3.5315068493150683</v>
      </c>
      <c r="M329" s="221">
        <f>-[1]Sheet1!$G$457</f>
        <v>12604.76</v>
      </c>
      <c r="N329" s="279">
        <f t="shared" si="118"/>
        <v>6195.24</v>
      </c>
      <c r="O329" s="278">
        <f t="shared" si="119"/>
        <v>1.4684931506849317</v>
      </c>
      <c r="P329" s="278">
        <f t="shared" si="120"/>
        <v>5255.24</v>
      </c>
      <c r="Q329" s="279">
        <f t="shared" si="128"/>
        <v>3578.6615671641785</v>
      </c>
      <c r="R329" s="279">
        <f t="shared" si="124"/>
        <v>2616.5784328358213</v>
      </c>
      <c r="S329" s="250">
        <f>+[1]Sheet1!$I$457</f>
        <v>-3572</v>
      </c>
      <c r="T329" s="248">
        <f t="shared" si="127"/>
        <v>-6.6615671641784502</v>
      </c>
    </row>
    <row r="330" spans="1:20" ht="15.75" customHeight="1">
      <c r="A330" s="389" t="s">
        <v>118</v>
      </c>
      <c r="B330" s="277">
        <v>42632</v>
      </c>
      <c r="C330" s="317">
        <v>4950</v>
      </c>
      <c r="D330" s="282"/>
      <c r="E330" s="282"/>
      <c r="F330" s="282"/>
      <c r="G330" s="278">
        <f t="shared" si="122"/>
        <v>247.5</v>
      </c>
      <c r="H330" s="282"/>
      <c r="I330" s="282"/>
      <c r="J330" s="282"/>
      <c r="K330" s="282">
        <f t="shared" si="117"/>
        <v>1289</v>
      </c>
      <c r="L330" s="278">
        <f t="shared" si="123"/>
        <v>3.5315068493150683</v>
      </c>
      <c r="M330" s="221">
        <f>-[1]Sheet1!$G$458</f>
        <v>3318.81</v>
      </c>
      <c r="N330" s="279">
        <f t="shared" si="118"/>
        <v>1631.19</v>
      </c>
      <c r="O330" s="278">
        <f t="shared" si="119"/>
        <v>1.4684931506849317</v>
      </c>
      <c r="P330" s="278">
        <f t="shared" si="120"/>
        <v>1383.69</v>
      </c>
      <c r="Q330" s="279">
        <f t="shared" si="128"/>
        <v>942.25158582089546</v>
      </c>
      <c r="R330" s="279">
        <f t="shared" si="124"/>
        <v>688.9384141791046</v>
      </c>
      <c r="S330" s="250">
        <f>+[1]Sheet1!$I$458</f>
        <v>-940.5</v>
      </c>
      <c r="T330" s="248">
        <f t="shared" si="127"/>
        <v>-1.7515858208954569</v>
      </c>
    </row>
    <row r="331" spans="1:20" ht="15.75" customHeight="1">
      <c r="A331" s="389" t="s">
        <v>124</v>
      </c>
      <c r="B331" s="277">
        <v>42541</v>
      </c>
      <c r="C331" s="317">
        <v>75373</v>
      </c>
      <c r="D331" s="282"/>
      <c r="E331" s="282"/>
      <c r="F331" s="282"/>
      <c r="G331" s="278">
        <f t="shared" si="122"/>
        <v>3768.65</v>
      </c>
      <c r="H331" s="282"/>
      <c r="I331" s="282"/>
      <c r="J331" s="282"/>
      <c r="K331" s="282">
        <f t="shared" si="117"/>
        <v>1380</v>
      </c>
      <c r="L331" s="278">
        <f t="shared" si="123"/>
        <v>3.7808219178082192</v>
      </c>
      <c r="M331" s="402">
        <v>54105.42</v>
      </c>
      <c r="N331" s="279">
        <f t="shared" si="118"/>
        <v>21267.58</v>
      </c>
      <c r="O331" s="278">
        <f t="shared" si="119"/>
        <v>1.2191780821917808</v>
      </c>
      <c r="P331" s="278">
        <f t="shared" si="120"/>
        <v>17498.93</v>
      </c>
      <c r="Q331" s="279">
        <f t="shared" si="128"/>
        <v>14353.054943820225</v>
      </c>
      <c r="R331" s="279">
        <f t="shared" si="124"/>
        <v>6914.5250561797766</v>
      </c>
      <c r="S331" s="250">
        <f>+[1]Sheet1!$I$455</f>
        <v>-14320.87</v>
      </c>
      <c r="T331" s="248">
        <f t="shared" si="127"/>
        <v>-32.184943820224362</v>
      </c>
    </row>
    <row r="332" spans="1:20" ht="15.75" customHeight="1">
      <c r="A332" s="392" t="s">
        <v>122</v>
      </c>
      <c r="B332" s="387">
        <v>42829</v>
      </c>
      <c r="C332" s="308">
        <v>41048.03</v>
      </c>
      <c r="D332" s="282"/>
      <c r="E332" s="282"/>
      <c r="F332" s="282"/>
      <c r="G332" s="278">
        <f t="shared" ref="G332:G335" si="129">C332*5%</f>
        <v>2052.4014999999999</v>
      </c>
      <c r="H332" s="282"/>
      <c r="I332" s="282"/>
      <c r="J332" s="282"/>
      <c r="K332" s="282">
        <f t="shared" si="117"/>
        <v>1092</v>
      </c>
      <c r="L332" s="278">
        <f t="shared" ref="L332:L335" si="130">K332/365</f>
        <v>2.9917808219178084</v>
      </c>
      <c r="M332" s="221">
        <f>-[1]Sheet1!$G$463</f>
        <v>23312.17</v>
      </c>
      <c r="N332" s="279">
        <f t="shared" ref="N332:N335" si="131">C332-M332</f>
        <v>17735.86</v>
      </c>
      <c r="O332" s="278">
        <f t="shared" ref="O332:O335" si="132">$O$292-L332</f>
        <v>2.0082191780821916</v>
      </c>
      <c r="P332" s="278">
        <f t="shared" ref="P332:P335" si="133">N332-G332</f>
        <v>15683.458500000001</v>
      </c>
      <c r="Q332" s="279">
        <f t="shared" ref="Q332:Q335" si="134">P332/O332</f>
        <v>7809.6348601637119</v>
      </c>
      <c r="R332" s="279">
        <f t="shared" ref="R332:R335" si="135">N332-Q332</f>
        <v>9926.2251398362896</v>
      </c>
      <c r="S332" s="250">
        <f>+[1]Sheet1!$I$463</f>
        <v>-7799.13</v>
      </c>
      <c r="T332" s="248">
        <f>-(Q332+S332)</f>
        <v>-10.504860163711783</v>
      </c>
    </row>
    <row r="333" spans="1:20" ht="15" customHeight="1">
      <c r="A333" s="314" t="s">
        <v>198</v>
      </c>
      <c r="B333" s="387">
        <v>43231</v>
      </c>
      <c r="C333" s="286">
        <v>37890.629999999997</v>
      </c>
      <c r="D333" s="282"/>
      <c r="E333" s="282"/>
      <c r="F333" s="282"/>
      <c r="G333" s="278">
        <f t="shared" si="129"/>
        <v>1894.5315000000001</v>
      </c>
      <c r="H333" s="282"/>
      <c r="I333" s="282"/>
      <c r="J333" s="282"/>
      <c r="K333" s="282">
        <f t="shared" si="117"/>
        <v>690</v>
      </c>
      <c r="L333" s="278">
        <f t="shared" si="130"/>
        <v>1.8904109589041096</v>
      </c>
      <c r="M333" s="221">
        <f>-[1]Sheet1!$G$465</f>
        <v>13589.76</v>
      </c>
      <c r="N333" s="279">
        <f t="shared" si="131"/>
        <v>24300.869999999995</v>
      </c>
      <c r="O333" s="278">
        <f t="shared" si="132"/>
        <v>3.1095890410958904</v>
      </c>
      <c r="P333" s="278">
        <f t="shared" si="133"/>
        <v>22406.338499999994</v>
      </c>
      <c r="Q333" s="279">
        <f t="shared" si="134"/>
        <v>7205.5626013215842</v>
      </c>
      <c r="R333" s="279">
        <f t="shared" si="135"/>
        <v>17095.307398678411</v>
      </c>
      <c r="S333" s="250">
        <f>+[1]Sheet1!$I$465</f>
        <v>-7199.22</v>
      </c>
      <c r="T333" s="248">
        <f t="shared" si="127"/>
        <v>-6.3426013215839703</v>
      </c>
    </row>
    <row r="334" spans="1:20" ht="15" customHeight="1">
      <c r="A334" s="314" t="s">
        <v>213</v>
      </c>
      <c r="B334" s="387">
        <v>43537</v>
      </c>
      <c r="C334" s="286">
        <v>10500</v>
      </c>
      <c r="D334" s="282"/>
      <c r="E334" s="282"/>
      <c r="F334" s="282"/>
      <c r="G334" s="278">
        <f t="shared" si="129"/>
        <v>525</v>
      </c>
      <c r="H334" s="282"/>
      <c r="I334" s="282"/>
      <c r="J334" s="282"/>
      <c r="K334" s="282">
        <f t="shared" si="117"/>
        <v>384</v>
      </c>
      <c r="L334" s="278">
        <f t="shared" si="130"/>
        <v>1.0520547945205478</v>
      </c>
      <c r="M334" s="221">
        <f>-[1]Sheet1!$G$468</f>
        <v>2093.38</v>
      </c>
      <c r="N334" s="279">
        <f t="shared" si="131"/>
        <v>8406.619999999999</v>
      </c>
      <c r="O334" s="278">
        <f t="shared" si="132"/>
        <v>3.9479452054794519</v>
      </c>
      <c r="P334" s="278">
        <f t="shared" si="133"/>
        <v>7881.619999999999</v>
      </c>
      <c r="Q334" s="279">
        <f t="shared" si="134"/>
        <v>1996.3853573907006</v>
      </c>
      <c r="R334" s="279">
        <f t="shared" si="135"/>
        <v>6410.2346426092981</v>
      </c>
      <c r="S334" s="250">
        <f>+[1]Sheet1!$I$468</f>
        <v>-1995</v>
      </c>
      <c r="T334" s="248">
        <f t="shared" si="127"/>
        <v>-1.3853573907006194</v>
      </c>
    </row>
    <row r="335" spans="1:20" ht="15" customHeight="1">
      <c r="A335" s="314" t="s">
        <v>214</v>
      </c>
      <c r="B335" s="387">
        <v>43555</v>
      </c>
      <c r="C335" s="286">
        <v>7800</v>
      </c>
      <c r="D335" s="282"/>
      <c r="E335" s="282"/>
      <c r="F335" s="282"/>
      <c r="G335" s="278">
        <f t="shared" si="129"/>
        <v>390</v>
      </c>
      <c r="H335" s="282"/>
      <c r="I335" s="282"/>
      <c r="J335" s="282"/>
      <c r="K335" s="282">
        <f t="shared" si="117"/>
        <v>366</v>
      </c>
      <c r="L335" s="278">
        <f t="shared" si="130"/>
        <v>1.0027397260273974</v>
      </c>
      <c r="M335" s="221">
        <f>-[1]Sheet1!$G$472</f>
        <v>1482</v>
      </c>
      <c r="N335" s="279">
        <f t="shared" si="131"/>
        <v>6318</v>
      </c>
      <c r="O335" s="278">
        <f t="shared" si="132"/>
        <v>3.9972602739726026</v>
      </c>
      <c r="P335" s="278">
        <f t="shared" si="133"/>
        <v>5928</v>
      </c>
      <c r="Q335" s="279">
        <f t="shared" si="134"/>
        <v>1483.0157642220699</v>
      </c>
      <c r="R335" s="279">
        <f t="shared" si="135"/>
        <v>4834.9842357779298</v>
      </c>
      <c r="S335" s="250">
        <f>+[1]Sheet1!$I$472</f>
        <v>-1482</v>
      </c>
      <c r="T335" s="248">
        <f t="shared" si="127"/>
        <v>-1.0157642220699472</v>
      </c>
    </row>
    <row r="336" spans="1:20" ht="15" customHeight="1">
      <c r="A336" s="314" t="s">
        <v>214</v>
      </c>
      <c r="B336" s="387">
        <v>43555</v>
      </c>
      <c r="C336" s="286">
        <v>14000</v>
      </c>
      <c r="D336" s="282"/>
      <c r="E336" s="282"/>
      <c r="F336" s="282"/>
      <c r="G336" s="278">
        <f t="shared" ref="G336:G337" si="136">C336*5%</f>
        <v>700</v>
      </c>
      <c r="H336" s="282"/>
      <c r="I336" s="282"/>
      <c r="J336" s="282"/>
      <c r="K336" s="282">
        <f t="shared" si="117"/>
        <v>366</v>
      </c>
      <c r="L336" s="278">
        <f t="shared" ref="L336:L337" si="137">K336/365</f>
        <v>1.0027397260273974</v>
      </c>
      <c r="M336" s="221">
        <f>-[1]Sheet1!$G$473</f>
        <v>2660</v>
      </c>
      <c r="N336" s="279">
        <f t="shared" ref="N336:N337" si="138">C336-M336</f>
        <v>11340</v>
      </c>
      <c r="O336" s="278">
        <f t="shared" ref="O336:O337" si="139">$O$292-L336</f>
        <v>3.9972602739726026</v>
      </c>
      <c r="P336" s="278">
        <f t="shared" ref="P336:P337" si="140">N336-G336</f>
        <v>10640</v>
      </c>
      <c r="Q336" s="279">
        <f t="shared" ref="Q336:Q337" si="141">P336/O336</f>
        <v>2661.8231665524331</v>
      </c>
      <c r="R336" s="279">
        <f t="shared" ref="R336:R337" si="142">N336-Q336</f>
        <v>8678.1768334475673</v>
      </c>
      <c r="S336" s="250">
        <f>+[1]Sheet1!$I$473</f>
        <v>-2660</v>
      </c>
      <c r="T336" s="248">
        <f t="shared" si="127"/>
        <v>-1.823166552433122</v>
      </c>
    </row>
    <row r="337" spans="1:21" ht="15" customHeight="1">
      <c r="A337" s="403" t="s">
        <v>244</v>
      </c>
      <c r="B337" s="404">
        <v>43555</v>
      </c>
      <c r="C337" s="321">
        <v>20700</v>
      </c>
      <c r="D337" s="304"/>
      <c r="E337" s="304"/>
      <c r="F337" s="304"/>
      <c r="G337" s="305">
        <f t="shared" si="136"/>
        <v>1035</v>
      </c>
      <c r="H337" s="304"/>
      <c r="I337" s="304"/>
      <c r="J337" s="304"/>
      <c r="K337" s="304">
        <f t="shared" ref="K337" si="143">$K$2-B337</f>
        <v>366</v>
      </c>
      <c r="L337" s="305">
        <f t="shared" si="137"/>
        <v>1.0027397260273974</v>
      </c>
      <c r="M337" s="221">
        <f>-[1]Sheet1!$G$474</f>
        <v>3933</v>
      </c>
      <c r="N337" s="279">
        <f t="shared" si="138"/>
        <v>16767</v>
      </c>
      <c r="O337" s="278">
        <f t="shared" si="139"/>
        <v>3.9972602739726026</v>
      </c>
      <c r="P337" s="278">
        <f t="shared" si="140"/>
        <v>15732</v>
      </c>
      <c r="Q337" s="279">
        <f t="shared" si="141"/>
        <v>3935.6956819739548</v>
      </c>
      <c r="R337" s="279">
        <f t="shared" si="142"/>
        <v>12831.304318026045</v>
      </c>
      <c r="S337" s="250">
        <f>+[1]Sheet1!$I$474</f>
        <v>-3933</v>
      </c>
      <c r="T337" s="248">
        <f t="shared" ref="T337" si="144">-(Q337+S337)</f>
        <v>-2.6956819739548337</v>
      </c>
    </row>
    <row r="338" spans="1:21" ht="15" customHeight="1">
      <c r="A338" s="405" t="s">
        <v>265</v>
      </c>
      <c r="B338" s="344">
        <v>43658</v>
      </c>
      <c r="C338" s="406">
        <v>15340</v>
      </c>
      <c r="D338" s="282"/>
      <c r="E338" s="282"/>
      <c r="F338" s="282"/>
      <c r="G338" s="278">
        <f t="shared" ref="G338:G340" si="145">C338*5%</f>
        <v>767</v>
      </c>
      <c r="H338" s="282"/>
      <c r="I338" s="282"/>
      <c r="J338" s="282"/>
      <c r="K338" s="282">
        <f t="shared" ref="K338:K340" si="146">$K$2-B338</f>
        <v>263</v>
      </c>
      <c r="L338" s="278">
        <f t="shared" ref="L338:L340" si="147">K338/365</f>
        <v>0.72054794520547949</v>
      </c>
      <c r="M338" s="407">
        <v>2102.33</v>
      </c>
      <c r="N338" s="279">
        <f t="shared" ref="N338:N340" si="148">C338-M338</f>
        <v>13237.67</v>
      </c>
      <c r="O338" s="278">
        <f t="shared" ref="O338:O340" si="149">$O$292-L338</f>
        <v>4.2794520547945201</v>
      </c>
      <c r="P338" s="278">
        <f t="shared" ref="P338:P340" si="150">N338-G338</f>
        <v>12470.67</v>
      </c>
      <c r="Q338" s="279">
        <f t="shared" ref="Q338:Q340" si="151">P338/O338</f>
        <v>2914.0810179257364</v>
      </c>
      <c r="R338" s="279">
        <f t="shared" ref="R338:R340" si="152">N338-Q338</f>
        <v>10323.588982074263</v>
      </c>
      <c r="S338" s="250">
        <f>+[1]Sheet1!$I$475</f>
        <v>-2914.6</v>
      </c>
      <c r="T338" s="248">
        <f t="shared" ref="T338:T340" si="153">-(Q338+S338)</f>
        <v>0.51898207426347653</v>
      </c>
    </row>
    <row r="339" spans="1:21" ht="15" customHeight="1">
      <c r="A339" s="405" t="s">
        <v>266</v>
      </c>
      <c r="B339" s="344">
        <v>43708</v>
      </c>
      <c r="C339" s="406">
        <v>1200</v>
      </c>
      <c r="D339" s="282"/>
      <c r="E339" s="282"/>
      <c r="F339" s="282"/>
      <c r="G339" s="278">
        <f t="shared" si="145"/>
        <v>60</v>
      </c>
      <c r="H339" s="282"/>
      <c r="I339" s="282"/>
      <c r="J339" s="282"/>
      <c r="K339" s="282">
        <f t="shared" si="146"/>
        <v>213</v>
      </c>
      <c r="L339" s="278">
        <f t="shared" si="147"/>
        <v>0.58356164383561648</v>
      </c>
      <c r="M339" s="407">
        <v>133.31</v>
      </c>
      <c r="N339" s="279">
        <f t="shared" si="148"/>
        <v>1066.69</v>
      </c>
      <c r="O339" s="278">
        <f t="shared" si="149"/>
        <v>4.4164383561643836</v>
      </c>
      <c r="P339" s="278">
        <f t="shared" si="150"/>
        <v>1006.69</v>
      </c>
      <c r="Q339" s="279">
        <f t="shared" si="151"/>
        <v>227.94159429280398</v>
      </c>
      <c r="R339" s="279">
        <f t="shared" si="152"/>
        <v>838.74840570719607</v>
      </c>
      <c r="S339" s="250">
        <f>+[1]Sheet1!$I$476</f>
        <v>-228</v>
      </c>
      <c r="T339" s="248">
        <f t="shared" si="153"/>
        <v>5.840570719601601E-2</v>
      </c>
    </row>
    <row r="340" spans="1:21" ht="15" customHeight="1">
      <c r="A340" s="405" t="s">
        <v>264</v>
      </c>
      <c r="B340" s="344">
        <v>43794</v>
      </c>
      <c r="C340" s="406">
        <v>25423.74</v>
      </c>
      <c r="D340" s="282"/>
      <c r="E340" s="282"/>
      <c r="F340" s="282"/>
      <c r="G340" s="278">
        <f t="shared" si="145"/>
        <v>1271.1870000000001</v>
      </c>
      <c r="H340" s="282"/>
      <c r="I340" s="282"/>
      <c r="J340" s="282"/>
      <c r="K340" s="282">
        <f t="shared" si="146"/>
        <v>127</v>
      </c>
      <c r="L340" s="278">
        <f t="shared" si="147"/>
        <v>0.34794520547945207</v>
      </c>
      <c r="M340" s="407">
        <v>1689.36</v>
      </c>
      <c r="N340" s="279">
        <f t="shared" si="148"/>
        <v>23734.38</v>
      </c>
      <c r="O340" s="278">
        <f t="shared" si="149"/>
        <v>4.6520547945205477</v>
      </c>
      <c r="P340" s="278">
        <f t="shared" si="150"/>
        <v>22463.192999999999</v>
      </c>
      <c r="Q340" s="279">
        <f t="shared" si="151"/>
        <v>4828.6604505300356</v>
      </c>
      <c r="R340" s="279">
        <f t="shared" si="152"/>
        <v>18905.719549469966</v>
      </c>
      <c r="S340" s="250">
        <f>+[1]Sheet1!$I$477</f>
        <v>-4830.51</v>
      </c>
      <c r="T340" s="248">
        <f t="shared" si="153"/>
        <v>1.849549469964586</v>
      </c>
    </row>
    <row r="341" spans="1:21" ht="15" customHeight="1">
      <c r="A341" s="405" t="s">
        <v>267</v>
      </c>
      <c r="B341" s="344">
        <v>43901</v>
      </c>
      <c r="C341" s="406">
        <v>16000</v>
      </c>
      <c r="D341" s="282"/>
      <c r="E341" s="282"/>
      <c r="F341" s="282"/>
      <c r="G341" s="278">
        <f t="shared" ref="G341" si="154">C341*5%</f>
        <v>800</v>
      </c>
      <c r="H341" s="282"/>
      <c r="I341" s="282"/>
      <c r="J341" s="282"/>
      <c r="K341" s="282">
        <f t="shared" ref="K341" si="155">$K$2-B341</f>
        <v>20</v>
      </c>
      <c r="L341" s="278">
        <f t="shared" ref="L341" si="156">K341/365</f>
        <v>5.4794520547945202E-2</v>
      </c>
      <c r="M341" s="407">
        <v>174.43</v>
      </c>
      <c r="N341" s="279">
        <f t="shared" ref="N341" si="157">C341-M341</f>
        <v>15825.57</v>
      </c>
      <c r="O341" s="278">
        <f t="shared" ref="O341" si="158">$O$292-L341</f>
        <v>4.9452054794520546</v>
      </c>
      <c r="P341" s="278">
        <f t="shared" ref="P341" si="159">N341-G341</f>
        <v>15025.57</v>
      </c>
      <c r="Q341" s="279">
        <f t="shared" ref="Q341" si="160">P341/O341</f>
        <v>3038.4116620498617</v>
      </c>
      <c r="R341" s="279">
        <f t="shared" ref="R341" si="161">N341-Q341</f>
        <v>12787.158337950139</v>
      </c>
      <c r="S341" s="250">
        <f>+[1]Sheet1!$I$478</f>
        <v>-3040</v>
      </c>
      <c r="T341" s="248">
        <f t="shared" ref="T341" si="162">-(Q341+S341)</f>
        <v>1.5883379501383388</v>
      </c>
    </row>
    <row r="342" spans="1:21" ht="15" customHeight="1">
      <c r="A342" s="405" t="s">
        <v>296</v>
      </c>
      <c r="B342" s="344">
        <v>43677</v>
      </c>
      <c r="C342" s="406">
        <v>285700</v>
      </c>
      <c r="D342" s="282"/>
      <c r="E342" s="282"/>
      <c r="F342" s="282"/>
      <c r="G342" s="278">
        <f t="shared" ref="G342" si="163">C342*5%</f>
        <v>14285</v>
      </c>
      <c r="H342" s="282"/>
      <c r="I342" s="282"/>
      <c r="J342" s="282"/>
      <c r="K342" s="282">
        <f t="shared" ref="K342" si="164">$K$2-B342</f>
        <v>244</v>
      </c>
      <c r="L342" s="278">
        <f t="shared" ref="L342" si="165">K342/365</f>
        <v>0.66849315068493154</v>
      </c>
      <c r="M342" s="408">
        <v>18168.490000000002</v>
      </c>
      <c r="N342" s="279">
        <f t="shared" ref="N342" si="166">C342-M342</f>
        <v>267531.51</v>
      </c>
      <c r="O342" s="278">
        <f t="shared" ref="O342" si="167">$O$292-L342</f>
        <v>4.3315068493150681</v>
      </c>
      <c r="P342" s="278">
        <f t="shared" ref="P342" si="168">N342-G342</f>
        <v>253246.51</v>
      </c>
      <c r="Q342" s="279">
        <f t="shared" ref="Q342" si="169">P342/O342</f>
        <v>58466.145572422523</v>
      </c>
      <c r="R342" s="279">
        <f t="shared" ref="R342" si="170">N342-Q342</f>
        <v>209065.36442757747</v>
      </c>
      <c r="S342" s="250">
        <f>+[1]Sheet1!$I$497</f>
        <v>-27141.5</v>
      </c>
      <c r="T342" s="248">
        <f t="shared" ref="T342" si="171">-(Q342+S342)</f>
        <v>-31324.645572422523</v>
      </c>
    </row>
    <row r="343" spans="1:21" ht="15" customHeight="1">
      <c r="A343" s="405" t="s">
        <v>297</v>
      </c>
      <c r="B343" s="344">
        <v>43683</v>
      </c>
      <c r="C343" s="406">
        <v>93052.5</v>
      </c>
      <c r="D343" s="282"/>
      <c r="E343" s="282"/>
      <c r="F343" s="282"/>
      <c r="G343" s="278">
        <f t="shared" ref="G343" si="172">C343*5%</f>
        <v>4652.625</v>
      </c>
      <c r="H343" s="282"/>
      <c r="I343" s="282"/>
      <c r="J343" s="282"/>
      <c r="K343" s="282">
        <f t="shared" ref="K343" si="173">$K$2-B343</f>
        <v>238</v>
      </c>
      <c r="L343" s="278">
        <f t="shared" ref="L343" si="174">K343/365</f>
        <v>0.65205479452054793</v>
      </c>
      <c r="M343" s="408">
        <v>5772.56</v>
      </c>
      <c r="N343" s="279">
        <f t="shared" ref="N343" si="175">C343-M343</f>
        <v>87279.94</v>
      </c>
      <c r="O343" s="278">
        <f t="shared" ref="O343" si="176">$O$292-L343</f>
        <v>4.3479452054794523</v>
      </c>
      <c r="P343" s="278">
        <f t="shared" ref="P343" si="177">N343-G343</f>
        <v>82627.315000000002</v>
      </c>
      <c r="Q343" s="279">
        <f t="shared" ref="Q343" si="178">P343/O343</f>
        <v>19003.761798991807</v>
      </c>
      <c r="R343" s="279">
        <f t="shared" ref="R343" si="179">N343-Q343</f>
        <v>68276.178201008195</v>
      </c>
      <c r="S343" s="250">
        <f>+[1]Sheet1!$I$498</f>
        <v>-8839.99</v>
      </c>
      <c r="T343" s="248">
        <f t="shared" ref="T343:T349" si="180">-(Q343+S343)</f>
        <v>-10163.771798991807</v>
      </c>
    </row>
    <row r="344" spans="1:21" ht="15" customHeight="1">
      <c r="A344" s="343" t="s">
        <v>307</v>
      </c>
      <c r="B344" s="398">
        <v>43564</v>
      </c>
      <c r="C344" s="409">
        <v>9196.42</v>
      </c>
      <c r="D344" s="282"/>
      <c r="E344" s="282"/>
      <c r="F344" s="282"/>
      <c r="G344" s="278">
        <f t="shared" ref="G344:G346" si="181">C344*5%</f>
        <v>459.82100000000003</v>
      </c>
      <c r="H344" s="282"/>
      <c r="I344" s="282"/>
      <c r="J344" s="282"/>
      <c r="K344" s="282">
        <f t="shared" ref="K344:K346" si="182">$K$2-B344</f>
        <v>357</v>
      </c>
      <c r="L344" s="278">
        <f t="shared" ref="L344:L346" si="183">K344/365</f>
        <v>0.9780821917808219</v>
      </c>
      <c r="M344" s="408">
        <v>1723.45</v>
      </c>
      <c r="N344" s="279">
        <f t="shared" ref="N344:N346" si="184">C344-M344</f>
        <v>7472.97</v>
      </c>
      <c r="O344" s="278">
        <f t="shared" ref="O344:O346" si="185">$O$292-L344</f>
        <v>4.021917808219178</v>
      </c>
      <c r="P344" s="278">
        <f t="shared" ref="P344:P346" si="186">N344-G344</f>
        <v>7013.1490000000003</v>
      </c>
      <c r="Q344" s="279">
        <f t="shared" ref="Q344:Q346" si="187">P344/O344</f>
        <v>1743.7325510899184</v>
      </c>
      <c r="R344" s="279">
        <f t="shared" ref="R344:R346" si="188">N344-Q344</f>
        <v>5729.2374489100821</v>
      </c>
      <c r="S344" s="408">
        <v>-1747.32</v>
      </c>
      <c r="T344" s="248">
        <f t="shared" si="180"/>
        <v>3.5874489100815481</v>
      </c>
    </row>
    <row r="345" spans="1:21" ht="15" customHeight="1">
      <c r="A345" s="343" t="s">
        <v>308</v>
      </c>
      <c r="B345" s="398">
        <v>43648</v>
      </c>
      <c r="C345" s="409">
        <v>9600</v>
      </c>
      <c r="D345" s="282"/>
      <c r="E345" s="282"/>
      <c r="F345" s="282"/>
      <c r="G345" s="278">
        <f t="shared" si="181"/>
        <v>480</v>
      </c>
      <c r="H345" s="282"/>
      <c r="I345" s="282"/>
      <c r="J345" s="282"/>
      <c r="K345" s="282">
        <f t="shared" si="182"/>
        <v>273</v>
      </c>
      <c r="L345" s="278">
        <f t="shared" si="183"/>
        <v>0.74794520547945209</v>
      </c>
      <c r="M345" s="408">
        <v>1365.51</v>
      </c>
      <c r="N345" s="279">
        <f t="shared" si="184"/>
        <v>8234.49</v>
      </c>
      <c r="O345" s="278">
        <f t="shared" si="185"/>
        <v>4.2520547945205482</v>
      </c>
      <c r="P345" s="278">
        <f t="shared" si="186"/>
        <v>7754.49</v>
      </c>
      <c r="Q345" s="279">
        <f t="shared" si="187"/>
        <v>1823.7041559278348</v>
      </c>
      <c r="R345" s="279">
        <f t="shared" si="188"/>
        <v>6410.7858440721648</v>
      </c>
      <c r="S345" s="408">
        <v>-1824</v>
      </c>
      <c r="T345" s="248">
        <f t="shared" si="180"/>
        <v>0.29584407216520958</v>
      </c>
    </row>
    <row r="346" spans="1:21" ht="15" customHeight="1">
      <c r="A346" s="343" t="s">
        <v>309</v>
      </c>
      <c r="B346" s="398">
        <v>43705</v>
      </c>
      <c r="C346" s="409">
        <v>14276.78</v>
      </c>
      <c r="D346" s="282"/>
      <c r="E346" s="282"/>
      <c r="F346" s="282"/>
      <c r="G346" s="278">
        <f t="shared" si="181"/>
        <v>713.83900000000006</v>
      </c>
      <c r="H346" s="282"/>
      <c r="I346" s="282"/>
      <c r="J346" s="282"/>
      <c r="K346" s="282">
        <f t="shared" si="182"/>
        <v>216</v>
      </c>
      <c r="L346" s="278">
        <f t="shared" si="183"/>
        <v>0.59178082191780823</v>
      </c>
      <c r="M346" s="408">
        <v>1608.28</v>
      </c>
      <c r="N346" s="279">
        <f t="shared" si="184"/>
        <v>12668.5</v>
      </c>
      <c r="O346" s="278">
        <f t="shared" si="185"/>
        <v>4.4082191780821915</v>
      </c>
      <c r="P346" s="278">
        <f t="shared" si="186"/>
        <v>11954.661</v>
      </c>
      <c r="Q346" s="279">
        <f t="shared" si="187"/>
        <v>2711.9025885643259</v>
      </c>
      <c r="R346" s="279">
        <f t="shared" si="188"/>
        <v>9956.5974114356741</v>
      </c>
      <c r="S346" s="408">
        <v>-2712.59</v>
      </c>
      <c r="T346" s="248">
        <f t="shared" si="180"/>
        <v>0.68741143567422114</v>
      </c>
    </row>
    <row r="347" spans="1:21" ht="15" customHeight="1">
      <c r="A347" s="343" t="s">
        <v>310</v>
      </c>
      <c r="B347" s="398">
        <v>43705</v>
      </c>
      <c r="C347" s="409">
        <v>16955.36</v>
      </c>
      <c r="D347" s="282"/>
      <c r="E347" s="282"/>
      <c r="F347" s="282"/>
      <c r="G347" s="278">
        <f t="shared" ref="G347" si="189">C347*5%</f>
        <v>847.76800000000003</v>
      </c>
      <c r="H347" s="282"/>
      <c r="I347" s="282"/>
      <c r="J347" s="282"/>
      <c r="K347" s="282">
        <f t="shared" ref="K347" si="190">$K$2-B347</f>
        <v>216</v>
      </c>
      <c r="L347" s="278">
        <f t="shared" ref="L347" si="191">K347/365</f>
        <v>0.59178082191780823</v>
      </c>
      <c r="M347" s="408">
        <v>1910.03</v>
      </c>
      <c r="N347" s="279">
        <f t="shared" ref="N347" si="192">C347-M347</f>
        <v>15045.33</v>
      </c>
      <c r="O347" s="278">
        <f t="shared" ref="O347" si="193">$O$292-L347</f>
        <v>4.4082191780821915</v>
      </c>
      <c r="P347" s="278">
        <f t="shared" ref="P347" si="194">N347-G347</f>
        <v>14197.562</v>
      </c>
      <c r="Q347" s="279">
        <f t="shared" ref="Q347" si="195">P347/O347</f>
        <v>3220.7023803604725</v>
      </c>
      <c r="R347" s="279">
        <f t="shared" ref="R347" si="196">N347-Q347</f>
        <v>11824.627619639527</v>
      </c>
      <c r="S347" s="408">
        <v>-3221.52</v>
      </c>
      <c r="T347" s="248">
        <f t="shared" ref="T347" si="197">-(Q347+S347)</f>
        <v>0.81761963952749284</v>
      </c>
    </row>
    <row r="348" spans="1:21" ht="15" customHeight="1">
      <c r="A348" s="410" t="s">
        <v>325</v>
      </c>
      <c r="B348" s="411">
        <v>43721</v>
      </c>
      <c r="C348" s="408">
        <v>25540</v>
      </c>
      <c r="D348" s="282"/>
      <c r="E348" s="282"/>
      <c r="F348" s="282"/>
      <c r="G348" s="278">
        <f t="shared" ref="G348:G349" si="198">C348*5%</f>
        <v>1277</v>
      </c>
      <c r="H348" s="282"/>
      <c r="I348" s="282"/>
      <c r="J348" s="282"/>
      <c r="K348" s="282">
        <f t="shared" ref="K348:K349" si="199">$K$2-B348</f>
        <v>200</v>
      </c>
      <c r="L348" s="278">
        <f t="shared" ref="L348:L349" si="200">K348/365</f>
        <v>0.54794520547945202</v>
      </c>
      <c r="M348" s="408">
        <v>2664.95</v>
      </c>
      <c r="N348" s="279">
        <f t="shared" ref="N348:N349" si="201">C348-M348</f>
        <v>22875.05</v>
      </c>
      <c r="O348" s="278">
        <f t="shared" ref="O348:O349" si="202">$O$292-L348</f>
        <v>4.4520547945205475</v>
      </c>
      <c r="P348" s="278">
        <f t="shared" ref="P348:P349" si="203">N348-G348</f>
        <v>21598.05</v>
      </c>
      <c r="Q348" s="279">
        <f t="shared" ref="Q348:Q349" si="204">P348/O348</f>
        <v>4851.2543076923084</v>
      </c>
      <c r="R348" s="279">
        <f t="shared" ref="R348:R349" si="205">N348-Q348</f>
        <v>18023.795692307693</v>
      </c>
      <c r="S348" s="408">
        <f>+[1]Sheet1!$I$604</f>
        <v>-4852.6000000000004</v>
      </c>
      <c r="T348" s="248"/>
    </row>
    <row r="349" spans="1:21" ht="15" customHeight="1">
      <c r="A349" s="410" t="s">
        <v>326</v>
      </c>
      <c r="B349" s="411">
        <v>43799</v>
      </c>
      <c r="C349" s="408">
        <v>28040</v>
      </c>
      <c r="D349" s="282"/>
      <c r="E349" s="282"/>
      <c r="F349" s="282"/>
      <c r="G349" s="278">
        <f t="shared" si="198"/>
        <v>1402</v>
      </c>
      <c r="H349" s="282"/>
      <c r="I349" s="282"/>
      <c r="J349" s="282"/>
      <c r="K349" s="282">
        <f t="shared" si="199"/>
        <v>122</v>
      </c>
      <c r="L349" s="278">
        <f t="shared" si="200"/>
        <v>0.33424657534246577</v>
      </c>
      <c r="M349" s="408">
        <v>1790.42</v>
      </c>
      <c r="N349" s="279">
        <f t="shared" si="201"/>
        <v>26249.58</v>
      </c>
      <c r="O349" s="278">
        <f t="shared" si="202"/>
        <v>4.6657534246575345</v>
      </c>
      <c r="P349" s="278">
        <f t="shared" si="203"/>
        <v>24847.58</v>
      </c>
      <c r="Q349" s="279">
        <f t="shared" si="204"/>
        <v>5325.5236054022316</v>
      </c>
      <c r="R349" s="279">
        <f t="shared" si="205"/>
        <v>20924.05639459777</v>
      </c>
      <c r="S349" s="408">
        <f>+[1]Sheet1!$I$605</f>
        <v>-5327.6</v>
      </c>
      <c r="T349" s="248">
        <f t="shared" si="180"/>
        <v>2.0763945977687399</v>
      </c>
    </row>
    <row r="350" spans="1:21" ht="15.75" customHeight="1">
      <c r="A350" s="391"/>
      <c r="B350" s="123"/>
      <c r="C350" s="131"/>
      <c r="D350" s="111"/>
      <c r="E350" s="111"/>
      <c r="F350" s="111"/>
      <c r="G350" s="114"/>
      <c r="H350" s="111"/>
      <c r="I350" s="111"/>
      <c r="J350" s="111"/>
      <c r="K350" s="111"/>
      <c r="L350" s="114"/>
      <c r="M350" s="114"/>
      <c r="N350" s="118"/>
      <c r="O350" s="114"/>
      <c r="P350" s="114"/>
      <c r="Q350" s="118"/>
      <c r="R350" s="118"/>
      <c r="S350" s="250"/>
      <c r="T350" s="248">
        <f t="shared" ref="T350:T391" si="206">+Q350+S350</f>
        <v>0</v>
      </c>
    </row>
    <row r="351" spans="1:21" ht="16.5" customHeight="1">
      <c r="A351" s="388" t="s">
        <v>125</v>
      </c>
      <c r="B351" s="111"/>
      <c r="C351" s="219">
        <f>+SUM(C293:C349)</f>
        <v>2722300.6199999996</v>
      </c>
      <c r="D351" s="111"/>
      <c r="E351" s="111"/>
      <c r="F351" s="111"/>
      <c r="G351" s="119">
        <f>+SUM(G293:G349)</f>
        <v>136115.03100000005</v>
      </c>
      <c r="H351" s="111"/>
      <c r="I351" s="111"/>
      <c r="J351" s="111"/>
      <c r="K351" s="111"/>
      <c r="L351" s="114"/>
      <c r="M351" s="119">
        <f>+SUM(M293:M349)</f>
        <v>1789017.92</v>
      </c>
      <c r="N351" s="119">
        <f>+SUM(N293:N349)</f>
        <v>933282.7</v>
      </c>
      <c r="O351" s="114"/>
      <c r="P351" s="119">
        <f>+SUM(P293:P349)</f>
        <v>797167.66899999988</v>
      </c>
      <c r="Q351" s="119">
        <f>+SUM(Q293:Q349)</f>
        <v>366797.55353272735</v>
      </c>
      <c r="R351" s="119">
        <f>+SUM(R293:R349)</f>
        <v>566485.14646727243</v>
      </c>
      <c r="S351" s="248"/>
      <c r="T351" s="248"/>
      <c r="U351" s="255">
        <f>-SUM(S293:S350)</f>
        <v>324703.67</v>
      </c>
    </row>
    <row r="352" spans="1:21" ht="16.5" customHeight="1">
      <c r="A352" s="388"/>
      <c r="B352" s="111"/>
      <c r="C352" s="117"/>
      <c r="D352" s="111"/>
      <c r="E352" s="111"/>
      <c r="F352" s="111"/>
      <c r="G352" s="114"/>
      <c r="H352" s="111"/>
      <c r="I352" s="111"/>
      <c r="J352" s="111"/>
      <c r="K352" s="111"/>
      <c r="L352" s="114"/>
      <c r="M352" s="114"/>
      <c r="N352" s="119"/>
      <c r="O352" s="114"/>
      <c r="P352" s="114"/>
      <c r="Q352" s="119"/>
      <c r="R352" s="119"/>
      <c r="S352" s="248"/>
      <c r="T352" s="248">
        <f t="shared" si="206"/>
        <v>0</v>
      </c>
    </row>
    <row r="353" spans="1:23" ht="16.5" customHeight="1">
      <c r="A353" s="388" t="s">
        <v>126</v>
      </c>
      <c r="B353" s="111"/>
      <c r="C353" s="111"/>
      <c r="D353" s="111"/>
      <c r="E353" s="111"/>
      <c r="F353" s="111"/>
      <c r="G353" s="114"/>
      <c r="H353" s="111"/>
      <c r="I353" s="111"/>
      <c r="J353" s="111"/>
      <c r="K353" s="111"/>
      <c r="L353" s="114"/>
      <c r="M353" s="114"/>
      <c r="N353" s="118"/>
      <c r="O353" s="114">
        <v>30</v>
      </c>
      <c r="P353" s="114"/>
      <c r="Q353" s="118"/>
      <c r="R353" s="118"/>
      <c r="S353" s="250"/>
      <c r="T353" s="248">
        <f t="shared" si="206"/>
        <v>0</v>
      </c>
    </row>
    <row r="354" spans="1:23" ht="15" customHeight="1">
      <c r="A354" s="282" t="s">
        <v>127</v>
      </c>
      <c r="B354" s="277">
        <v>39609</v>
      </c>
      <c r="C354" s="322">
        <v>23385</v>
      </c>
      <c r="D354" s="282"/>
      <c r="E354" s="282"/>
      <c r="F354" s="282"/>
      <c r="G354" s="278">
        <f t="shared" ref="G354" si="207">C354*5%</f>
        <v>1169.25</v>
      </c>
      <c r="H354" s="282"/>
      <c r="I354" s="282"/>
      <c r="J354" s="282"/>
      <c r="K354" s="282">
        <f>$K$2-B354</f>
        <v>4312</v>
      </c>
      <c r="L354" s="278">
        <f t="shared" ref="L354" si="208">K354/365</f>
        <v>11.813698630136987</v>
      </c>
      <c r="M354" s="323">
        <f>-[1]Sheet1!$G$9</f>
        <v>8931.33</v>
      </c>
      <c r="N354" s="279">
        <f>C354-M354</f>
        <v>14453.67</v>
      </c>
      <c r="O354" s="278">
        <f t="shared" ref="O354" si="209">$O$353-L354</f>
        <v>18.186301369863013</v>
      </c>
      <c r="P354" s="278">
        <f>N354-G354</f>
        <v>13284.42</v>
      </c>
      <c r="Q354" s="279">
        <f t="shared" ref="Q354" si="210">P354/O354</f>
        <v>730.46298583910823</v>
      </c>
      <c r="R354" s="279">
        <f t="shared" ref="R354" si="211">N354-Q354</f>
        <v>13723.207014160891</v>
      </c>
      <c r="S354" s="324">
        <f>+[1]Sheet1!$I$9</f>
        <v>-740.53</v>
      </c>
      <c r="T354" s="254">
        <f t="shared" ref="T354:T357" si="212">-(Q354+S354)</f>
        <v>10.067014160891745</v>
      </c>
    </row>
    <row r="355" spans="1:23" ht="15" customHeight="1">
      <c r="A355" s="282" t="s">
        <v>127</v>
      </c>
      <c r="B355" s="277">
        <v>39903</v>
      </c>
      <c r="C355" s="322">
        <v>66928240</v>
      </c>
      <c r="D355" s="282"/>
      <c r="E355" s="282"/>
      <c r="F355" s="282"/>
      <c r="G355" s="278">
        <f>C355*5%</f>
        <v>3346412</v>
      </c>
      <c r="H355" s="282"/>
      <c r="I355" s="282"/>
      <c r="J355" s="282"/>
      <c r="K355" s="282">
        <f>$K$2-B355</f>
        <v>4018</v>
      </c>
      <c r="L355" s="278">
        <f>K355/365</f>
        <v>11.008219178082191</v>
      </c>
      <c r="M355" s="323">
        <f>-[1]Sheet1!$G$10</f>
        <v>26366383.579999998</v>
      </c>
      <c r="N355" s="279">
        <f>C355-M355</f>
        <v>40561856.420000002</v>
      </c>
      <c r="O355" s="278">
        <f>$O$353-L355</f>
        <v>18.991780821917807</v>
      </c>
      <c r="P355" s="278">
        <f>N355-G355</f>
        <v>37215444.420000002</v>
      </c>
      <c r="Q355" s="279">
        <f>P355/O355</f>
        <v>1959555.2817801503</v>
      </c>
      <c r="R355" s="279">
        <f>N355-Q355</f>
        <v>38602301.138219848</v>
      </c>
      <c r="S355" s="324">
        <f>+[1]Sheet1!$I$10</f>
        <v>-2119394.27</v>
      </c>
      <c r="T355" s="254">
        <f t="shared" si="212"/>
        <v>159838.98821984977</v>
      </c>
      <c r="U355" s="120" t="s">
        <v>354</v>
      </c>
      <c r="V355" s="120">
        <f>+(C355-G355-M355)/O355</f>
        <v>1959555.2817801503</v>
      </c>
      <c r="W355" s="120">
        <f>+C355*95%/30</f>
        <v>2119394.2666666666</v>
      </c>
    </row>
    <row r="356" spans="1:23" ht="15" customHeight="1">
      <c r="A356" s="282" t="s">
        <v>127</v>
      </c>
      <c r="B356" s="277">
        <v>40633</v>
      </c>
      <c r="C356" s="322">
        <v>103124723</v>
      </c>
      <c r="D356" s="282"/>
      <c r="E356" s="282"/>
      <c r="F356" s="282"/>
      <c r="G356" s="278">
        <f>C356*5%</f>
        <v>5156236.1500000004</v>
      </c>
      <c r="H356" s="282"/>
      <c r="I356" s="282"/>
      <c r="J356" s="282"/>
      <c r="K356" s="282">
        <f>$K$2-B356</f>
        <v>3288</v>
      </c>
      <c r="L356" s="278">
        <f>K356/365</f>
        <v>9.0082191780821912</v>
      </c>
      <c r="M356" s="323">
        <f>-[1]Sheet1!$G$11</f>
        <v>29837892.489999998</v>
      </c>
      <c r="N356" s="279">
        <f>C356-M356</f>
        <v>73286830.510000005</v>
      </c>
      <c r="O356" s="278">
        <f>$O$353-L356</f>
        <v>20.991780821917807</v>
      </c>
      <c r="P356" s="278">
        <f>N356-G356</f>
        <v>68130594.359999999</v>
      </c>
      <c r="Q356" s="279">
        <f>P356/O356</f>
        <v>3245584.3045418952</v>
      </c>
      <c r="R356" s="279">
        <f>N356-Q356</f>
        <v>70041246.205458105</v>
      </c>
      <c r="S356" s="324">
        <f>+[1]Sheet1!$I$11</f>
        <v>-3265616.23</v>
      </c>
      <c r="T356" s="254">
        <f t="shared" si="212"/>
        <v>20031.925458104815</v>
      </c>
      <c r="U356" s="120" t="s">
        <v>355</v>
      </c>
      <c r="V356" s="120">
        <f>+(C356-G356-M356)/O356</f>
        <v>3245584.3045418952</v>
      </c>
      <c r="W356" s="120">
        <f>+C356*95%/30</f>
        <v>3265616.228333333</v>
      </c>
    </row>
    <row r="357" spans="1:23" ht="15" customHeight="1">
      <c r="A357" s="282" t="s">
        <v>127</v>
      </c>
      <c r="B357" s="277">
        <v>41364</v>
      </c>
      <c r="C357" s="322">
        <v>17758130</v>
      </c>
      <c r="D357" s="282"/>
      <c r="E357" s="282"/>
      <c r="F357" s="282"/>
      <c r="G357" s="278">
        <f>C357*5%</f>
        <v>887906.5</v>
      </c>
      <c r="H357" s="282"/>
      <c r="I357" s="282"/>
      <c r="J357" s="282"/>
      <c r="K357" s="282">
        <f>$K$2-B357</f>
        <v>2557</v>
      </c>
      <c r="L357" s="278">
        <f>K357/365</f>
        <v>7.0054794520547947</v>
      </c>
      <c r="M357" s="323">
        <f>-[1]Sheet1!$G$12</f>
        <v>3962030.09</v>
      </c>
      <c r="N357" s="279">
        <f>C357-M357</f>
        <v>13796099.91</v>
      </c>
      <c r="O357" s="278">
        <f>$O$353-L357</f>
        <v>22.994520547945207</v>
      </c>
      <c r="P357" s="278">
        <f>N357-G357</f>
        <v>12908193.41</v>
      </c>
      <c r="Q357" s="279">
        <f>P357/O357</f>
        <v>561359.5370725604</v>
      </c>
      <c r="R357" s="279">
        <f>N357-Q357</f>
        <v>13234740.37292744</v>
      </c>
      <c r="S357" s="324">
        <f>+[1]Sheet1!$I$12</f>
        <v>-562340.78</v>
      </c>
      <c r="T357" s="254">
        <f t="shared" si="212"/>
        <v>981.24292743962724</v>
      </c>
      <c r="V357" s="120">
        <f>+(C357-G357-M357)/O357</f>
        <v>561359.5370725604</v>
      </c>
      <c r="W357" s="120">
        <f>+C357*95%/30</f>
        <v>562340.78333333333</v>
      </c>
    </row>
    <row r="358" spans="1:23" ht="16.5" customHeight="1">
      <c r="A358" s="388" t="s">
        <v>128</v>
      </c>
      <c r="B358" s="111"/>
      <c r="C358" s="119">
        <f>SUM(C354:C357)</f>
        <v>187834478</v>
      </c>
      <c r="D358" s="111"/>
      <c r="E358" s="111"/>
      <c r="F358" s="111"/>
      <c r="G358" s="119">
        <f>SUM(G354:G357)</f>
        <v>9391723.9000000004</v>
      </c>
      <c r="H358" s="111"/>
      <c r="I358" s="111"/>
      <c r="J358" s="111"/>
      <c r="K358" s="111"/>
      <c r="L358" s="114"/>
      <c r="M358" s="119">
        <f>SUM(M354:M357)</f>
        <v>60175237.489999995</v>
      </c>
      <c r="N358" s="119">
        <f>SUM(N354:N357)</f>
        <v>127659240.51000001</v>
      </c>
      <c r="O358" s="114"/>
      <c r="P358" s="119">
        <f>SUM(P354:P357)</f>
        <v>118267516.61</v>
      </c>
      <c r="Q358" s="115">
        <f>SUM(Q354:Q357)</f>
        <v>5767229.5863804454</v>
      </c>
      <c r="R358" s="119">
        <f>SUM(R354:R357)</f>
        <v>121892010.92361955</v>
      </c>
      <c r="S358" s="248"/>
      <c r="T358" s="248"/>
      <c r="U358" s="255">
        <f>-SUM(S354:S357)</f>
        <v>5948091.8099999996</v>
      </c>
    </row>
    <row r="359" spans="1:23" ht="16.5" customHeight="1">
      <c r="A359" s="388"/>
      <c r="B359" s="111"/>
      <c r="C359" s="117"/>
      <c r="D359" s="111"/>
      <c r="E359" s="111"/>
      <c r="F359" s="111"/>
      <c r="G359" s="114"/>
      <c r="H359" s="111"/>
      <c r="I359" s="111"/>
      <c r="J359" s="111"/>
      <c r="K359" s="111"/>
      <c r="L359" s="114"/>
      <c r="M359" s="114"/>
      <c r="N359" s="118"/>
      <c r="O359" s="114"/>
      <c r="P359" s="114"/>
      <c r="Q359" s="119"/>
      <c r="R359" s="119"/>
      <c r="S359" s="248"/>
      <c r="T359" s="248">
        <f t="shared" si="206"/>
        <v>0</v>
      </c>
    </row>
    <row r="360" spans="1:23" ht="16.5" customHeight="1">
      <c r="A360" s="388" t="s">
        <v>11</v>
      </c>
      <c r="B360" s="111"/>
      <c r="C360" s="111"/>
      <c r="D360" s="111"/>
      <c r="E360" s="111"/>
      <c r="F360" s="111"/>
      <c r="G360" s="114"/>
      <c r="H360" s="111"/>
      <c r="I360" s="111"/>
      <c r="J360" s="111"/>
      <c r="K360" s="111"/>
      <c r="L360" s="114"/>
      <c r="M360" s="114"/>
      <c r="N360" s="118"/>
      <c r="O360" s="114">
        <v>30</v>
      </c>
      <c r="P360" s="114"/>
      <c r="Q360" s="118"/>
      <c r="R360" s="118"/>
      <c r="S360" s="248"/>
      <c r="T360" s="248">
        <f t="shared" si="206"/>
        <v>0</v>
      </c>
    </row>
    <row r="361" spans="1:23" ht="16.5" customHeight="1">
      <c r="A361" s="282" t="s">
        <v>127</v>
      </c>
      <c r="B361" s="277">
        <v>39539</v>
      </c>
      <c r="C361" s="412">
        <v>4800</v>
      </c>
      <c r="D361" s="282"/>
      <c r="E361" s="282"/>
      <c r="F361" s="282"/>
      <c r="G361" s="278">
        <f t="shared" ref="G361" si="213">C361*5%</f>
        <v>240</v>
      </c>
      <c r="H361" s="282"/>
      <c r="I361" s="282"/>
      <c r="J361" s="282"/>
      <c r="K361" s="282">
        <f>$K$2-B361</f>
        <v>4382</v>
      </c>
      <c r="L361" s="278">
        <f t="shared" ref="L361" si="214">K361/365</f>
        <v>12.005479452054795</v>
      </c>
      <c r="M361" s="323">
        <f>-[1]Sheet1!$G$2</f>
        <v>1473.7</v>
      </c>
      <c r="N361" s="279">
        <f>C361-M361</f>
        <v>3326.3</v>
      </c>
      <c r="O361" s="278">
        <f t="shared" ref="O361" si="215">$O$360-L361</f>
        <v>17.994520547945207</v>
      </c>
      <c r="P361" s="278">
        <f>N361-G361</f>
        <v>3086.3</v>
      </c>
      <c r="Q361" s="279">
        <f>P361/O361</f>
        <v>171.51332216808768</v>
      </c>
      <c r="R361" s="279">
        <f t="shared" ref="R361" si="216">N361-Q361</f>
        <v>3154.7866778319126</v>
      </c>
      <c r="S361" s="324">
        <f>+[1]Sheet1!$I$2</f>
        <v>-152</v>
      </c>
      <c r="T361" s="254">
        <f t="shared" ref="T361:T365" si="217">-(Q361+S361)</f>
        <v>-19.513322168087683</v>
      </c>
      <c r="U361" s="120" t="s">
        <v>355</v>
      </c>
      <c r="V361" s="232">
        <f t="shared" ref="V361:V365" si="218">+(C361-G361-M361)/O361</f>
        <v>171.51332216808768</v>
      </c>
      <c r="W361" s="232">
        <f t="shared" ref="W361:W365" si="219">+C361*95%/30</f>
        <v>152</v>
      </c>
    </row>
    <row r="362" spans="1:23" ht="15" customHeight="1">
      <c r="A362" s="282" t="s">
        <v>127</v>
      </c>
      <c r="B362" s="277">
        <v>39574</v>
      </c>
      <c r="C362" s="322">
        <v>49972</v>
      </c>
      <c r="D362" s="282"/>
      <c r="E362" s="282"/>
      <c r="F362" s="282"/>
      <c r="G362" s="278">
        <f>C362*5%</f>
        <v>2498.6000000000004</v>
      </c>
      <c r="H362" s="282"/>
      <c r="I362" s="282"/>
      <c r="J362" s="282"/>
      <c r="K362" s="282">
        <f>$K$2-B362</f>
        <v>4347</v>
      </c>
      <c r="L362" s="278">
        <f>K362/365</f>
        <v>11.90958904109589</v>
      </c>
      <c r="M362" s="323">
        <f>-[1]Sheet1!$G$3</f>
        <v>47473.4</v>
      </c>
      <c r="N362" s="279">
        <f>C362-M362</f>
        <v>2498.5999999999985</v>
      </c>
      <c r="O362" s="278">
        <f>$O$360-L362</f>
        <v>18.090410958904108</v>
      </c>
      <c r="P362" s="278">
        <f>N362-G362</f>
        <v>0</v>
      </c>
      <c r="Q362" s="279">
        <f>P362/O362</f>
        <v>0</v>
      </c>
      <c r="R362" s="279">
        <f>N362-Q362</f>
        <v>2498.5999999999985</v>
      </c>
      <c r="S362" s="324">
        <f>+[1]Sheet1!$I$3</f>
        <v>0</v>
      </c>
      <c r="T362" s="254">
        <f t="shared" si="217"/>
        <v>0</v>
      </c>
      <c r="U362" s="120" t="s">
        <v>355</v>
      </c>
      <c r="V362" s="232">
        <f t="shared" si="218"/>
        <v>0</v>
      </c>
      <c r="W362" s="232">
        <v>0</v>
      </c>
    </row>
    <row r="363" spans="1:23" ht="15" customHeight="1">
      <c r="A363" s="282" t="s">
        <v>127</v>
      </c>
      <c r="B363" s="277">
        <v>39637</v>
      </c>
      <c r="C363" s="322">
        <v>84328</v>
      </c>
      <c r="D363" s="282"/>
      <c r="E363" s="282"/>
      <c r="F363" s="282"/>
      <c r="G363" s="278">
        <f>C363*5%</f>
        <v>4216.4000000000005</v>
      </c>
      <c r="H363" s="282"/>
      <c r="I363" s="282"/>
      <c r="J363" s="282"/>
      <c r="K363" s="282">
        <f>$K$2-B363</f>
        <v>4284</v>
      </c>
      <c r="L363" s="278">
        <f>K363/365</f>
        <v>11.736986301369862</v>
      </c>
      <c r="M363" s="323">
        <f>-[1]Sheet1!$G$4</f>
        <v>25431.84</v>
      </c>
      <c r="N363" s="279">
        <f>C363-M363</f>
        <v>58896.160000000003</v>
      </c>
      <c r="O363" s="278">
        <f>$O$360-L363</f>
        <v>18.263013698630139</v>
      </c>
      <c r="P363" s="278">
        <f>N363-G363</f>
        <v>54679.76</v>
      </c>
      <c r="Q363" s="279">
        <f>P363/O363</f>
        <v>2994.0162616261623</v>
      </c>
      <c r="R363" s="279">
        <f>N363-Q363</f>
        <v>55902.143738373838</v>
      </c>
      <c r="S363" s="324">
        <f>+[1]Sheet1!$I$4</f>
        <v>-2670.39</v>
      </c>
      <c r="T363" s="254">
        <f t="shared" si="217"/>
        <v>-323.62626162616243</v>
      </c>
      <c r="U363" s="120" t="s">
        <v>355</v>
      </c>
      <c r="V363" s="232">
        <f t="shared" si="218"/>
        <v>2994.0162616261628</v>
      </c>
      <c r="W363" s="232">
        <f t="shared" si="219"/>
        <v>2670.3866666666663</v>
      </c>
    </row>
    <row r="364" spans="1:23" ht="15" customHeight="1">
      <c r="A364" s="282" t="s">
        <v>127</v>
      </c>
      <c r="B364" s="277">
        <v>39903</v>
      </c>
      <c r="C364" s="322">
        <v>57706</v>
      </c>
      <c r="D364" s="282"/>
      <c r="E364" s="282"/>
      <c r="F364" s="282"/>
      <c r="G364" s="278">
        <f>C364*5%</f>
        <v>2885.3</v>
      </c>
      <c r="H364" s="282"/>
      <c r="I364" s="282"/>
      <c r="J364" s="282"/>
      <c r="K364" s="282">
        <f>$K$2-B364</f>
        <v>4018</v>
      </c>
      <c r="L364" s="278">
        <f>K364/365</f>
        <v>11.008219178082191</v>
      </c>
      <c r="M364" s="323">
        <f>-[1]Sheet1!$G$5</f>
        <v>16557.810000000001</v>
      </c>
      <c r="N364" s="279">
        <f>C364-M364</f>
        <v>41148.19</v>
      </c>
      <c r="O364" s="278">
        <f>$O$360-L364</f>
        <v>18.991780821917807</v>
      </c>
      <c r="P364" s="278">
        <f>N364-G364</f>
        <v>38262.89</v>
      </c>
      <c r="Q364" s="279">
        <f>P364/O364</f>
        <v>2014.7078548759378</v>
      </c>
      <c r="R364" s="279">
        <f>N364-Q364</f>
        <v>39133.482145124064</v>
      </c>
      <c r="S364" s="324">
        <f>+[1]Sheet1!$I$5</f>
        <v>-1827.36</v>
      </c>
      <c r="T364" s="254">
        <f t="shared" si="217"/>
        <v>-187.34785487593786</v>
      </c>
      <c r="U364" s="120" t="s">
        <v>355</v>
      </c>
      <c r="V364" s="232">
        <f t="shared" si="218"/>
        <v>2014.7078548759378</v>
      </c>
      <c r="W364" s="232">
        <f t="shared" si="219"/>
        <v>1827.3566666666666</v>
      </c>
    </row>
    <row r="365" spans="1:23" ht="15" customHeight="1">
      <c r="A365" s="282" t="s">
        <v>127</v>
      </c>
      <c r="B365" s="277">
        <v>40633</v>
      </c>
      <c r="C365" s="322">
        <v>6184580</v>
      </c>
      <c r="D365" s="282"/>
      <c r="E365" s="282"/>
      <c r="F365" s="282"/>
      <c r="G365" s="278">
        <f>C365*5%</f>
        <v>309229</v>
      </c>
      <c r="H365" s="282"/>
      <c r="I365" s="282"/>
      <c r="J365" s="282"/>
      <c r="K365" s="282">
        <f>$K$2-B365</f>
        <v>3288</v>
      </c>
      <c r="L365" s="278">
        <f>K365/365</f>
        <v>9.0082191780821912</v>
      </c>
      <c r="M365" s="323">
        <f>-[1]Sheet1!$G$6</f>
        <v>1530691.79</v>
      </c>
      <c r="N365" s="279">
        <f>C365-M365</f>
        <v>4653888.21</v>
      </c>
      <c r="O365" s="278">
        <f>$O$360-L365</f>
        <v>20.991780821917807</v>
      </c>
      <c r="P365" s="278">
        <f>N365-G365</f>
        <v>4344659.21</v>
      </c>
      <c r="Q365" s="279">
        <f>P365/O365</f>
        <v>206969.53950013052</v>
      </c>
      <c r="R365" s="279">
        <f>N365-Q365</f>
        <v>4446918.6704998696</v>
      </c>
      <c r="S365" s="324">
        <f>+[1]Sheet1!$I$6</f>
        <v>-195845.03</v>
      </c>
      <c r="T365" s="254">
        <f t="shared" si="217"/>
        <v>-11124.509500130516</v>
      </c>
      <c r="U365" s="120" t="s">
        <v>355</v>
      </c>
      <c r="V365" s="232">
        <f t="shared" si="218"/>
        <v>206969.53950013052</v>
      </c>
      <c r="W365" s="232">
        <f t="shared" si="219"/>
        <v>195845.03333333333</v>
      </c>
    </row>
    <row r="366" spans="1:23" ht="16.5" customHeight="1">
      <c r="A366" s="388" t="s">
        <v>129</v>
      </c>
      <c r="B366" s="111"/>
      <c r="C366" s="119">
        <f>SUM(C361:C365)</f>
        <v>6381386</v>
      </c>
      <c r="D366" s="111"/>
      <c r="E366" s="111"/>
      <c r="F366" s="111"/>
      <c r="G366" s="119">
        <f>SUM(G361:G365)</f>
        <v>319069.3</v>
      </c>
      <c r="H366" s="111"/>
      <c r="I366" s="111"/>
      <c r="J366" s="111"/>
      <c r="K366" s="111"/>
      <c r="L366" s="114"/>
      <c r="M366" s="114">
        <f>+SUM(M361:M365)</f>
        <v>1621628.54</v>
      </c>
      <c r="N366" s="119">
        <f>SUM(N361:N365)</f>
        <v>4759757.46</v>
      </c>
      <c r="O366" s="114"/>
      <c r="P366" s="119">
        <f>SUM(P361:P365)</f>
        <v>4440688.16</v>
      </c>
      <c r="Q366" s="115">
        <f>SUM(Q361:Q365)</f>
        <v>212149.7769388007</v>
      </c>
      <c r="R366" s="119">
        <f>SUM(R361:R365)</f>
        <v>4547607.6830611993</v>
      </c>
      <c r="S366" s="248"/>
      <c r="T366" s="248"/>
      <c r="U366" s="255">
        <f>-SUM(S361:S365)</f>
        <v>200494.78</v>
      </c>
    </row>
    <row r="367" spans="1:23" ht="15">
      <c r="A367" s="388"/>
      <c r="B367" s="111"/>
      <c r="C367" s="117"/>
      <c r="D367" s="111"/>
      <c r="E367" s="111"/>
      <c r="F367" s="111"/>
      <c r="G367" s="114"/>
      <c r="H367" s="111"/>
      <c r="I367" s="111"/>
      <c r="J367" s="111"/>
      <c r="K367" s="111"/>
      <c r="L367" s="114"/>
      <c r="M367" s="114"/>
      <c r="N367" s="118"/>
      <c r="O367" s="114"/>
      <c r="P367" s="114"/>
      <c r="Q367" s="119"/>
      <c r="R367" s="119"/>
      <c r="S367" s="232"/>
      <c r="T367" s="232">
        <f t="shared" si="206"/>
        <v>0</v>
      </c>
    </row>
    <row r="368" spans="1:23" ht="16.5" customHeight="1">
      <c r="A368" s="388" t="s">
        <v>9</v>
      </c>
      <c r="B368" s="111"/>
      <c r="C368" s="111"/>
      <c r="D368" s="111"/>
      <c r="E368" s="111"/>
      <c r="F368" s="111"/>
      <c r="G368" s="114"/>
      <c r="H368" s="111"/>
      <c r="I368" s="111"/>
      <c r="J368" s="111"/>
      <c r="K368" s="111"/>
      <c r="L368" s="114"/>
      <c r="M368" s="114"/>
      <c r="N368" s="118"/>
      <c r="O368" s="114">
        <v>10</v>
      </c>
      <c r="P368" s="114">
        <v>20</v>
      </c>
      <c r="Q368" s="118"/>
      <c r="R368" s="118"/>
      <c r="S368" s="232"/>
      <c r="T368" s="232">
        <f t="shared" si="206"/>
        <v>0</v>
      </c>
    </row>
    <row r="369" spans="1:23" ht="15" customHeight="1">
      <c r="A369" s="282" t="s">
        <v>130</v>
      </c>
      <c r="B369" s="277">
        <v>39539</v>
      </c>
      <c r="C369" s="322">
        <v>281685</v>
      </c>
      <c r="D369" s="282"/>
      <c r="E369" s="282"/>
      <c r="F369" s="282"/>
      <c r="G369" s="278">
        <f>C369*5%</f>
        <v>14084.25</v>
      </c>
      <c r="H369" s="282"/>
      <c r="I369" s="282"/>
      <c r="J369" s="282"/>
      <c r="K369" s="282">
        <f t="shared" ref="K369:K382" si="220">$K$2-B369</f>
        <v>4382</v>
      </c>
      <c r="L369" s="278">
        <f t="shared" ref="L369:L382" si="221">K369/365</f>
        <v>12.005479452054795</v>
      </c>
      <c r="M369" s="323">
        <f>-[1]Sheet1!$G$240</f>
        <v>267729</v>
      </c>
      <c r="N369" s="279">
        <f t="shared" ref="N369:N382" si="222">C369-M369</f>
        <v>13956</v>
      </c>
      <c r="O369" s="278">
        <f>$O$368-L369</f>
        <v>-2.0054794520547947</v>
      </c>
      <c r="P369" s="278">
        <v>0</v>
      </c>
      <c r="Q369" s="279">
        <f t="shared" ref="Q369:Q382" si="223">P369/O369</f>
        <v>0</v>
      </c>
      <c r="R369" s="279">
        <f t="shared" ref="R369:R382" si="224">N369-Q369</f>
        <v>13956</v>
      </c>
      <c r="S369" s="243">
        <v>0</v>
      </c>
      <c r="T369" s="232">
        <f t="shared" si="206"/>
        <v>0</v>
      </c>
    </row>
    <row r="370" spans="1:23" ht="15" customHeight="1">
      <c r="A370" s="282" t="s">
        <v>130</v>
      </c>
      <c r="B370" s="277">
        <v>39547</v>
      </c>
      <c r="C370" s="322">
        <v>277875</v>
      </c>
      <c r="D370" s="282"/>
      <c r="E370" s="282"/>
      <c r="F370" s="282"/>
      <c r="G370" s="278">
        <f t="shared" ref="G370:G382" si="225">C370*5%</f>
        <v>13893.75</v>
      </c>
      <c r="H370" s="282"/>
      <c r="I370" s="282"/>
      <c r="J370" s="282"/>
      <c r="K370" s="282">
        <f t="shared" si="220"/>
        <v>4374</v>
      </c>
      <c r="L370" s="278">
        <f t="shared" si="221"/>
        <v>11.983561643835616</v>
      </c>
      <c r="M370" s="323">
        <f>-[1]Sheet1!$G$241-[1]Sheet1!$G$242</f>
        <v>263981.25</v>
      </c>
      <c r="N370" s="279">
        <f t="shared" si="222"/>
        <v>13893.75</v>
      </c>
      <c r="O370" s="278">
        <f t="shared" ref="O370:O382" si="226">$O$368-L370</f>
        <v>-1.9835616438356158</v>
      </c>
      <c r="P370" s="278">
        <f t="shared" ref="P370:P382" si="227">N370-G370</f>
        <v>0</v>
      </c>
      <c r="Q370" s="279">
        <f t="shared" ref="Q370:Q380" si="228">P370</f>
        <v>0</v>
      </c>
      <c r="R370" s="279">
        <f t="shared" si="224"/>
        <v>13893.75</v>
      </c>
      <c r="S370" s="243">
        <f t="shared" ref="S370:S380" si="229">Q370-J370</f>
        <v>0</v>
      </c>
      <c r="T370" s="232">
        <f t="shared" si="206"/>
        <v>0</v>
      </c>
    </row>
    <row r="371" spans="1:23" ht="15" customHeight="1">
      <c r="A371" s="282" t="s">
        <v>130</v>
      </c>
      <c r="B371" s="277">
        <v>39548</v>
      </c>
      <c r="C371" s="322">
        <v>22042</v>
      </c>
      <c r="D371" s="282"/>
      <c r="E371" s="282"/>
      <c r="F371" s="282"/>
      <c r="G371" s="278">
        <f t="shared" si="225"/>
        <v>1102.1000000000001</v>
      </c>
      <c r="H371" s="282"/>
      <c r="I371" s="282"/>
      <c r="J371" s="282"/>
      <c r="K371" s="282">
        <f t="shared" si="220"/>
        <v>4373</v>
      </c>
      <c r="L371" s="278">
        <f t="shared" si="221"/>
        <v>11.980821917808219</v>
      </c>
      <c r="M371" s="385">
        <v>20939.900000000001</v>
      </c>
      <c r="N371" s="279">
        <f t="shared" si="222"/>
        <v>1102.0999999999985</v>
      </c>
      <c r="O371" s="278">
        <f t="shared" si="226"/>
        <v>-1.9808219178082194</v>
      </c>
      <c r="P371" s="278">
        <f t="shared" si="227"/>
        <v>0</v>
      </c>
      <c r="Q371" s="279">
        <f t="shared" si="228"/>
        <v>0</v>
      </c>
      <c r="R371" s="279">
        <f t="shared" si="224"/>
        <v>1102.0999999999985</v>
      </c>
      <c r="S371" s="243">
        <f t="shared" si="229"/>
        <v>0</v>
      </c>
      <c r="T371" s="232">
        <f t="shared" si="206"/>
        <v>0</v>
      </c>
    </row>
    <row r="372" spans="1:23" ht="15" customHeight="1">
      <c r="A372" s="282" t="s">
        <v>130</v>
      </c>
      <c r="B372" s="277">
        <v>39561</v>
      </c>
      <c r="C372" s="322">
        <v>500000</v>
      </c>
      <c r="D372" s="282"/>
      <c r="E372" s="282"/>
      <c r="F372" s="282"/>
      <c r="G372" s="278">
        <f t="shared" si="225"/>
        <v>25000</v>
      </c>
      <c r="H372" s="282"/>
      <c r="I372" s="282"/>
      <c r="J372" s="282"/>
      <c r="K372" s="282">
        <f t="shared" si="220"/>
        <v>4360</v>
      </c>
      <c r="L372" s="278">
        <f t="shared" si="221"/>
        <v>11.945205479452055</v>
      </c>
      <c r="M372" s="385">
        <v>475000</v>
      </c>
      <c r="N372" s="279">
        <f t="shared" si="222"/>
        <v>25000</v>
      </c>
      <c r="O372" s="278">
        <f t="shared" si="226"/>
        <v>-1.9452054794520546</v>
      </c>
      <c r="P372" s="278">
        <f t="shared" si="227"/>
        <v>0</v>
      </c>
      <c r="Q372" s="279">
        <f t="shared" si="228"/>
        <v>0</v>
      </c>
      <c r="R372" s="279">
        <f t="shared" si="224"/>
        <v>25000</v>
      </c>
      <c r="S372" s="243">
        <f t="shared" si="229"/>
        <v>0</v>
      </c>
      <c r="T372" s="232">
        <f t="shared" si="206"/>
        <v>0</v>
      </c>
    </row>
    <row r="373" spans="1:23" ht="15" customHeight="1">
      <c r="A373" s="282" t="s">
        <v>130</v>
      </c>
      <c r="B373" s="277">
        <v>39568</v>
      </c>
      <c r="C373" s="322">
        <v>26000</v>
      </c>
      <c r="D373" s="282"/>
      <c r="E373" s="282"/>
      <c r="F373" s="282"/>
      <c r="G373" s="278">
        <f t="shared" si="225"/>
        <v>1300</v>
      </c>
      <c r="H373" s="282"/>
      <c r="I373" s="282"/>
      <c r="J373" s="282"/>
      <c r="K373" s="282">
        <f t="shared" si="220"/>
        <v>4353</v>
      </c>
      <c r="L373" s="278">
        <f t="shared" si="221"/>
        <v>11.926027397260274</v>
      </c>
      <c r="M373" s="385">
        <v>24700</v>
      </c>
      <c r="N373" s="279">
        <f t="shared" si="222"/>
        <v>1300</v>
      </c>
      <c r="O373" s="278">
        <f t="shared" si="226"/>
        <v>-1.9260273972602739</v>
      </c>
      <c r="P373" s="278">
        <f t="shared" si="227"/>
        <v>0</v>
      </c>
      <c r="Q373" s="279">
        <f t="shared" si="228"/>
        <v>0</v>
      </c>
      <c r="R373" s="279">
        <f t="shared" si="224"/>
        <v>1300</v>
      </c>
      <c r="S373" s="243">
        <f t="shared" si="229"/>
        <v>0</v>
      </c>
      <c r="T373" s="232">
        <f t="shared" si="206"/>
        <v>0</v>
      </c>
    </row>
    <row r="374" spans="1:23" ht="15" customHeight="1">
      <c r="A374" s="282" t="s">
        <v>130</v>
      </c>
      <c r="B374" s="277">
        <v>39571</v>
      </c>
      <c r="C374" s="322">
        <v>8200</v>
      </c>
      <c r="D374" s="282"/>
      <c r="E374" s="282"/>
      <c r="F374" s="282"/>
      <c r="G374" s="278">
        <f t="shared" si="225"/>
        <v>410</v>
      </c>
      <c r="H374" s="282"/>
      <c r="I374" s="282"/>
      <c r="J374" s="282"/>
      <c r="K374" s="282">
        <f t="shared" si="220"/>
        <v>4350</v>
      </c>
      <c r="L374" s="278">
        <f t="shared" si="221"/>
        <v>11.917808219178083</v>
      </c>
      <c r="M374" s="385">
        <v>7790</v>
      </c>
      <c r="N374" s="279">
        <f t="shared" si="222"/>
        <v>410</v>
      </c>
      <c r="O374" s="278">
        <f t="shared" si="226"/>
        <v>-1.9178082191780828</v>
      </c>
      <c r="P374" s="278">
        <f t="shared" si="227"/>
        <v>0</v>
      </c>
      <c r="Q374" s="279">
        <f t="shared" si="228"/>
        <v>0</v>
      </c>
      <c r="R374" s="279">
        <f t="shared" si="224"/>
        <v>410</v>
      </c>
      <c r="S374" s="243">
        <f t="shared" si="229"/>
        <v>0</v>
      </c>
      <c r="T374" s="232">
        <f t="shared" si="206"/>
        <v>0</v>
      </c>
    </row>
    <row r="375" spans="1:23" ht="15" customHeight="1">
      <c r="A375" s="282" t="s">
        <v>130</v>
      </c>
      <c r="B375" s="277">
        <v>39578</v>
      </c>
      <c r="C375" s="322">
        <v>3100</v>
      </c>
      <c r="D375" s="282"/>
      <c r="E375" s="282"/>
      <c r="F375" s="282"/>
      <c r="G375" s="278">
        <f t="shared" si="225"/>
        <v>155</v>
      </c>
      <c r="H375" s="282"/>
      <c r="I375" s="282"/>
      <c r="J375" s="282"/>
      <c r="K375" s="282">
        <f t="shared" si="220"/>
        <v>4343</v>
      </c>
      <c r="L375" s="278">
        <f t="shared" si="221"/>
        <v>11.898630136986302</v>
      </c>
      <c r="M375" s="385">
        <v>2945</v>
      </c>
      <c r="N375" s="279">
        <f t="shared" si="222"/>
        <v>155</v>
      </c>
      <c r="O375" s="278">
        <f t="shared" si="226"/>
        <v>-1.8986301369863021</v>
      </c>
      <c r="P375" s="278">
        <f t="shared" si="227"/>
        <v>0</v>
      </c>
      <c r="Q375" s="279">
        <f t="shared" si="228"/>
        <v>0</v>
      </c>
      <c r="R375" s="279">
        <f t="shared" si="224"/>
        <v>155</v>
      </c>
      <c r="S375" s="243">
        <f t="shared" si="229"/>
        <v>0</v>
      </c>
      <c r="T375" s="232">
        <f t="shared" si="206"/>
        <v>0</v>
      </c>
    </row>
    <row r="376" spans="1:23" ht="15" customHeight="1">
      <c r="A376" s="282" t="s">
        <v>130</v>
      </c>
      <c r="B376" s="277">
        <v>39580</v>
      </c>
      <c r="C376" s="322">
        <v>3400</v>
      </c>
      <c r="D376" s="282"/>
      <c r="E376" s="282"/>
      <c r="F376" s="282"/>
      <c r="G376" s="278">
        <f t="shared" si="225"/>
        <v>170</v>
      </c>
      <c r="H376" s="282"/>
      <c r="I376" s="282"/>
      <c r="J376" s="282"/>
      <c r="K376" s="282">
        <f t="shared" si="220"/>
        <v>4341</v>
      </c>
      <c r="L376" s="278">
        <f t="shared" si="221"/>
        <v>11.893150684931507</v>
      </c>
      <c r="M376" s="385">
        <v>3230</v>
      </c>
      <c r="N376" s="279">
        <f t="shared" si="222"/>
        <v>170</v>
      </c>
      <c r="O376" s="278">
        <f t="shared" si="226"/>
        <v>-1.8931506849315074</v>
      </c>
      <c r="P376" s="278">
        <f t="shared" si="227"/>
        <v>0</v>
      </c>
      <c r="Q376" s="279">
        <f t="shared" si="228"/>
        <v>0</v>
      </c>
      <c r="R376" s="279">
        <f t="shared" si="224"/>
        <v>170</v>
      </c>
      <c r="S376" s="243">
        <f t="shared" si="229"/>
        <v>0</v>
      </c>
      <c r="T376" s="232">
        <f t="shared" si="206"/>
        <v>0</v>
      </c>
    </row>
    <row r="377" spans="1:23" ht="15" customHeight="1">
      <c r="A377" s="282" t="s">
        <v>130</v>
      </c>
      <c r="B377" s="277">
        <v>39903</v>
      </c>
      <c r="C377" s="322">
        <f>2747889+5501475</f>
        <v>8249364</v>
      </c>
      <c r="D377" s="282"/>
      <c r="E377" s="282"/>
      <c r="F377" s="282"/>
      <c r="G377" s="278">
        <f t="shared" si="225"/>
        <v>412468.2</v>
      </c>
      <c r="H377" s="282"/>
      <c r="I377" s="282"/>
      <c r="J377" s="282"/>
      <c r="K377" s="282">
        <f t="shared" si="220"/>
        <v>4018</v>
      </c>
      <c r="L377" s="278">
        <f t="shared" si="221"/>
        <v>11.008219178082191</v>
      </c>
      <c r="M377" s="385">
        <f>-[1]Sheet1!$G$249</f>
        <v>7836895.7999999998</v>
      </c>
      <c r="N377" s="279">
        <f t="shared" si="222"/>
        <v>412468.20000000019</v>
      </c>
      <c r="O377" s="278">
        <f t="shared" si="226"/>
        <v>-1.0082191780821912</v>
      </c>
      <c r="P377" s="278">
        <f t="shared" si="227"/>
        <v>0</v>
      </c>
      <c r="Q377" s="279">
        <f t="shared" si="228"/>
        <v>0</v>
      </c>
      <c r="R377" s="279">
        <f t="shared" si="224"/>
        <v>412468.20000000019</v>
      </c>
      <c r="S377" s="243">
        <f t="shared" si="229"/>
        <v>0</v>
      </c>
      <c r="T377" s="232">
        <f t="shared" si="206"/>
        <v>0</v>
      </c>
    </row>
    <row r="378" spans="1:23" ht="15" customHeight="1">
      <c r="A378" s="282" t="s">
        <v>131</v>
      </c>
      <c r="B378" s="277">
        <v>39903</v>
      </c>
      <c r="C378" s="322">
        <v>7993916</v>
      </c>
      <c r="D378" s="282"/>
      <c r="E378" s="282"/>
      <c r="F378" s="282"/>
      <c r="G378" s="278">
        <f t="shared" si="225"/>
        <v>399695.80000000005</v>
      </c>
      <c r="H378" s="282"/>
      <c r="I378" s="282"/>
      <c r="J378" s="282"/>
      <c r="K378" s="282">
        <f t="shared" si="220"/>
        <v>4018</v>
      </c>
      <c r="L378" s="278">
        <f t="shared" si="221"/>
        <v>11.008219178082191</v>
      </c>
      <c r="M378" s="385">
        <v>7594220.2000000002</v>
      </c>
      <c r="N378" s="279">
        <f t="shared" si="222"/>
        <v>399695.79999999981</v>
      </c>
      <c r="O378" s="278">
        <f t="shared" si="226"/>
        <v>-1.0082191780821912</v>
      </c>
      <c r="P378" s="278">
        <f t="shared" si="227"/>
        <v>0</v>
      </c>
      <c r="Q378" s="279">
        <f t="shared" si="228"/>
        <v>0</v>
      </c>
      <c r="R378" s="279">
        <f t="shared" si="224"/>
        <v>399695.79999999981</v>
      </c>
      <c r="S378" s="243">
        <f t="shared" si="229"/>
        <v>0</v>
      </c>
      <c r="T378" s="232">
        <f t="shared" si="206"/>
        <v>0</v>
      </c>
    </row>
    <row r="379" spans="1:23" ht="15" customHeight="1">
      <c r="A379" s="282" t="s">
        <v>132</v>
      </c>
      <c r="B379" s="277">
        <v>39903</v>
      </c>
      <c r="C379" s="322">
        <v>12314973</v>
      </c>
      <c r="D379" s="282"/>
      <c r="E379" s="282"/>
      <c r="F379" s="282"/>
      <c r="G379" s="278">
        <f t="shared" si="225"/>
        <v>615748.65</v>
      </c>
      <c r="H379" s="282"/>
      <c r="I379" s="282"/>
      <c r="J379" s="282"/>
      <c r="K379" s="282">
        <f t="shared" si="220"/>
        <v>4018</v>
      </c>
      <c r="L379" s="278">
        <f t="shared" si="221"/>
        <v>11.008219178082191</v>
      </c>
      <c r="M379" s="385">
        <v>11699224.35</v>
      </c>
      <c r="N379" s="279">
        <f t="shared" si="222"/>
        <v>615748.65000000037</v>
      </c>
      <c r="O379" s="278">
        <f t="shared" si="226"/>
        <v>-1.0082191780821912</v>
      </c>
      <c r="P379" s="278">
        <f t="shared" si="227"/>
        <v>0</v>
      </c>
      <c r="Q379" s="279">
        <f t="shared" si="228"/>
        <v>0</v>
      </c>
      <c r="R379" s="279">
        <f t="shared" si="224"/>
        <v>615748.65000000037</v>
      </c>
      <c r="S379" s="243">
        <f t="shared" si="229"/>
        <v>0</v>
      </c>
      <c r="T379" s="232">
        <f t="shared" si="206"/>
        <v>0</v>
      </c>
    </row>
    <row r="380" spans="1:23" ht="15" customHeight="1">
      <c r="A380" s="282" t="s">
        <v>133</v>
      </c>
      <c r="B380" s="277">
        <v>39903</v>
      </c>
      <c r="C380" s="322">
        <v>970775</v>
      </c>
      <c r="D380" s="282"/>
      <c r="E380" s="282"/>
      <c r="F380" s="282"/>
      <c r="G380" s="278">
        <f t="shared" si="225"/>
        <v>48538.75</v>
      </c>
      <c r="H380" s="282"/>
      <c r="I380" s="282"/>
      <c r="J380" s="282"/>
      <c r="K380" s="282">
        <f t="shared" si="220"/>
        <v>4018</v>
      </c>
      <c r="L380" s="278">
        <f t="shared" si="221"/>
        <v>11.008219178082191</v>
      </c>
      <c r="M380" s="385">
        <v>922236.25</v>
      </c>
      <c r="N380" s="279">
        <f t="shared" si="222"/>
        <v>48538.75</v>
      </c>
      <c r="O380" s="278">
        <f t="shared" si="226"/>
        <v>-1.0082191780821912</v>
      </c>
      <c r="P380" s="278">
        <f t="shared" si="227"/>
        <v>0</v>
      </c>
      <c r="Q380" s="279">
        <f t="shared" si="228"/>
        <v>0</v>
      </c>
      <c r="R380" s="279">
        <f t="shared" si="224"/>
        <v>48538.75</v>
      </c>
      <c r="S380" s="243">
        <f t="shared" si="229"/>
        <v>0</v>
      </c>
      <c r="T380" s="232">
        <f t="shared" si="206"/>
        <v>0</v>
      </c>
    </row>
    <row r="381" spans="1:23" ht="15" customHeight="1">
      <c r="A381" s="311" t="s">
        <v>130</v>
      </c>
      <c r="B381" s="373">
        <v>40481</v>
      </c>
      <c r="C381" s="374">
        <v>50186400</v>
      </c>
      <c r="D381" s="375"/>
      <c r="E381" s="375"/>
      <c r="F381" s="375"/>
      <c r="G381" s="376">
        <f t="shared" ref="G381" si="230">C381*5%</f>
        <v>2509320</v>
      </c>
      <c r="H381" s="375"/>
      <c r="I381" s="375"/>
      <c r="J381" s="375"/>
      <c r="K381" s="375">
        <f t="shared" si="220"/>
        <v>3440</v>
      </c>
      <c r="L381" s="376">
        <f t="shared" ref="L381" si="231">K381/365</f>
        <v>9.4246575342465757</v>
      </c>
      <c r="M381" s="332">
        <f>-SUM([1]Sheet1!$G$253:$G$267)</f>
        <v>42960714.379999995</v>
      </c>
      <c r="N381" s="377">
        <f t="shared" ref="N381" si="232">C381-M381</f>
        <v>7225685.6200000048</v>
      </c>
      <c r="O381" s="376">
        <f t="shared" ref="O381" si="233">$O$368-L381</f>
        <v>0.57534246575342429</v>
      </c>
      <c r="P381" s="376">
        <f>N381-G381</f>
        <v>4716365.6200000048</v>
      </c>
      <c r="Q381" s="377">
        <v>4716365</v>
      </c>
      <c r="R381" s="377">
        <f t="shared" ref="R381" si="234">N381-Q381</f>
        <v>2509320.6200000048</v>
      </c>
      <c r="S381" s="244">
        <f>+SUM([1]Sheet1!$I$253:$I$267)</f>
        <v>-2769189.31</v>
      </c>
      <c r="T381" s="244">
        <f>-(Q381+S381)</f>
        <v>-1947175.69</v>
      </c>
      <c r="U381" s="242" t="s">
        <v>403</v>
      </c>
      <c r="V381" s="232"/>
      <c r="W381" s="232"/>
    </row>
    <row r="382" spans="1:23" ht="15" customHeight="1">
      <c r="A382" s="306" t="s">
        <v>197</v>
      </c>
      <c r="B382" s="285">
        <v>43358</v>
      </c>
      <c r="C382" s="329">
        <v>395974</v>
      </c>
      <c r="D382" s="282"/>
      <c r="E382" s="282"/>
      <c r="F382" s="282"/>
      <c r="G382" s="278">
        <f t="shared" si="225"/>
        <v>19798.7</v>
      </c>
      <c r="H382" s="282"/>
      <c r="I382" s="282"/>
      <c r="J382" s="282"/>
      <c r="K382" s="282">
        <f t="shared" si="220"/>
        <v>563</v>
      </c>
      <c r="L382" s="278">
        <f t="shared" si="221"/>
        <v>1.5424657534246575</v>
      </c>
      <c r="M382" s="334">
        <f>-[1]Sheet1!$G$268</f>
        <v>57920.69</v>
      </c>
      <c r="N382" s="279">
        <f t="shared" si="222"/>
        <v>338053.31</v>
      </c>
      <c r="O382" s="278">
        <f t="shared" si="226"/>
        <v>8.4575342465753423</v>
      </c>
      <c r="P382" s="278">
        <f t="shared" si="227"/>
        <v>318254.61</v>
      </c>
      <c r="Q382" s="279">
        <f t="shared" si="223"/>
        <v>37629.7157920311</v>
      </c>
      <c r="R382" s="279">
        <f t="shared" si="224"/>
        <v>300423.59420796891</v>
      </c>
      <c r="S382" s="303">
        <v>-37617.53</v>
      </c>
      <c r="T382" s="232">
        <f>-(Q382+S382)</f>
        <v>-12.1857920311013</v>
      </c>
      <c r="U382" s="252"/>
    </row>
    <row r="383" spans="1:23" ht="15" customHeight="1">
      <c r="A383" s="343" t="s">
        <v>268</v>
      </c>
      <c r="B383" s="344">
        <v>43782</v>
      </c>
      <c r="C383" s="345">
        <v>217192</v>
      </c>
      <c r="D383" s="282"/>
      <c r="E383" s="282"/>
      <c r="F383" s="282"/>
      <c r="G383" s="278">
        <f t="shared" ref="G383:G387" si="235">C383*5%</f>
        <v>10859.6</v>
      </c>
      <c r="H383" s="282"/>
      <c r="I383" s="282"/>
      <c r="J383" s="282"/>
      <c r="K383" s="282">
        <f t="shared" ref="K383:K387" si="236">$K$2-B383</f>
        <v>139</v>
      </c>
      <c r="L383" s="278">
        <f t="shared" ref="L383:L387" si="237">K383/365</f>
        <v>0.38082191780821917</v>
      </c>
      <c r="M383" s="345">
        <v>3946.25</v>
      </c>
      <c r="N383" s="279">
        <f t="shared" ref="N383:N387" si="238">C383-M383</f>
        <v>213245.75</v>
      </c>
      <c r="O383" s="278">
        <f>$P$368-L383</f>
        <v>19.61917808219178</v>
      </c>
      <c r="P383" s="278">
        <f t="shared" ref="P383:P387" si="239">N383-G383</f>
        <v>202386.15</v>
      </c>
      <c r="Q383" s="279">
        <f t="shared" ref="Q383:Q387" si="240">P383/O383</f>
        <v>10315.730310012568</v>
      </c>
      <c r="R383" s="279">
        <f t="shared" ref="R383:R387" si="241">N383-Q383</f>
        <v>202930.01968998744</v>
      </c>
      <c r="S383" s="346">
        <v>-10316.620000000001</v>
      </c>
      <c r="T383" s="232">
        <f t="shared" ref="T383:T387" si="242">-(Q383+S383)</f>
        <v>0.88968998743257544</v>
      </c>
      <c r="U383" s="252" t="s">
        <v>365</v>
      </c>
      <c r="V383" s="232"/>
      <c r="W383" s="232"/>
    </row>
    <row r="384" spans="1:23" ht="15" customHeight="1">
      <c r="A384" s="343" t="s">
        <v>269</v>
      </c>
      <c r="B384" s="344">
        <v>43823</v>
      </c>
      <c r="C384" s="345">
        <v>35294</v>
      </c>
      <c r="D384" s="282"/>
      <c r="E384" s="282"/>
      <c r="F384" s="282"/>
      <c r="G384" s="278">
        <f t="shared" si="235"/>
        <v>1764.7</v>
      </c>
      <c r="H384" s="282"/>
      <c r="I384" s="282"/>
      <c r="J384" s="282"/>
      <c r="K384" s="282">
        <f t="shared" si="236"/>
        <v>98</v>
      </c>
      <c r="L384" s="278">
        <f t="shared" si="237"/>
        <v>0.26849315068493151</v>
      </c>
      <c r="M384" s="345">
        <v>453.47</v>
      </c>
      <c r="N384" s="279">
        <f t="shared" si="238"/>
        <v>34840.53</v>
      </c>
      <c r="O384" s="278">
        <f t="shared" ref="O384:O387" si="243">$P$368-L384</f>
        <v>19.731506849315068</v>
      </c>
      <c r="P384" s="278">
        <f t="shared" si="239"/>
        <v>33075.83</v>
      </c>
      <c r="Q384" s="279">
        <f t="shared" si="240"/>
        <v>1676.2951888364346</v>
      </c>
      <c r="R384" s="279">
        <f t="shared" si="241"/>
        <v>33164.234811163566</v>
      </c>
      <c r="S384" s="346">
        <v>-1676.47</v>
      </c>
      <c r="T384" s="232">
        <f t="shared" si="242"/>
        <v>0.1748111635654368</v>
      </c>
      <c r="U384" s="252" t="s">
        <v>365</v>
      </c>
    </row>
    <row r="385" spans="1:21" ht="15" customHeight="1">
      <c r="A385" s="343" t="s">
        <v>272</v>
      </c>
      <c r="B385" s="344">
        <v>43825</v>
      </c>
      <c r="C385" s="345">
        <v>19767.599999999999</v>
      </c>
      <c r="D385" s="282"/>
      <c r="E385" s="282"/>
      <c r="F385" s="282"/>
      <c r="G385" s="278">
        <f t="shared" si="235"/>
        <v>988.38</v>
      </c>
      <c r="H385" s="282"/>
      <c r="I385" s="282"/>
      <c r="J385" s="282"/>
      <c r="K385" s="282">
        <f t="shared" si="236"/>
        <v>96</v>
      </c>
      <c r="L385" s="278">
        <f t="shared" si="237"/>
        <v>0.26301369863013696</v>
      </c>
      <c r="M385" s="345">
        <v>248.85</v>
      </c>
      <c r="N385" s="279">
        <f t="shared" si="238"/>
        <v>19518.75</v>
      </c>
      <c r="O385" s="278">
        <f t="shared" si="243"/>
        <v>19.736986301369864</v>
      </c>
      <c r="P385" s="278">
        <f t="shared" si="239"/>
        <v>18530.37</v>
      </c>
      <c r="Q385" s="279">
        <f t="shared" si="240"/>
        <v>938.86522071071613</v>
      </c>
      <c r="R385" s="279">
        <f t="shared" si="241"/>
        <v>18579.884779289285</v>
      </c>
      <c r="S385" s="346">
        <v>-938.96</v>
      </c>
      <c r="T385" s="232">
        <f t="shared" si="242"/>
        <v>9.477928928390611E-2</v>
      </c>
      <c r="U385" s="252" t="s">
        <v>365</v>
      </c>
    </row>
    <row r="386" spans="1:21" ht="15" customHeight="1">
      <c r="A386" s="343" t="s">
        <v>271</v>
      </c>
      <c r="B386" s="344">
        <v>43848</v>
      </c>
      <c r="C386" s="345">
        <v>36509</v>
      </c>
      <c r="D386" s="282"/>
      <c r="E386" s="282"/>
      <c r="F386" s="282"/>
      <c r="G386" s="278">
        <f t="shared" si="235"/>
        <v>1825.45</v>
      </c>
      <c r="H386" s="282"/>
      <c r="I386" s="282"/>
      <c r="J386" s="282"/>
      <c r="K386" s="282">
        <f t="shared" si="236"/>
        <v>73</v>
      </c>
      <c r="L386" s="278">
        <f t="shared" si="237"/>
        <v>0.2</v>
      </c>
      <c r="M386" s="345">
        <v>350.63</v>
      </c>
      <c r="N386" s="279">
        <f t="shared" si="238"/>
        <v>36158.370000000003</v>
      </c>
      <c r="O386" s="278">
        <f t="shared" si="243"/>
        <v>19.8</v>
      </c>
      <c r="P386" s="278">
        <f t="shared" si="239"/>
        <v>34332.920000000006</v>
      </c>
      <c r="Q386" s="279">
        <f t="shared" si="240"/>
        <v>1733.9858585858588</v>
      </c>
      <c r="R386" s="279">
        <f t="shared" si="241"/>
        <v>34424.384141414143</v>
      </c>
      <c r="S386" s="346">
        <v>-1734.18</v>
      </c>
      <c r="T386" s="232">
        <f t="shared" si="242"/>
        <v>0.19414141414131336</v>
      </c>
      <c r="U386" s="252" t="s">
        <v>365</v>
      </c>
    </row>
    <row r="387" spans="1:21" ht="15" customHeight="1">
      <c r="A387" s="343" t="s">
        <v>270</v>
      </c>
      <c r="B387" s="344">
        <v>43862</v>
      </c>
      <c r="C387" s="345">
        <v>39322</v>
      </c>
      <c r="D387" s="282"/>
      <c r="E387" s="282"/>
      <c r="F387" s="282"/>
      <c r="G387" s="278">
        <f t="shared" si="235"/>
        <v>1966.1000000000001</v>
      </c>
      <c r="H387" s="282"/>
      <c r="I387" s="282"/>
      <c r="J387" s="282"/>
      <c r="K387" s="282">
        <f t="shared" si="236"/>
        <v>59</v>
      </c>
      <c r="L387" s="278">
        <f t="shared" si="237"/>
        <v>0.16164383561643836</v>
      </c>
      <c r="M387" s="345">
        <v>306.2</v>
      </c>
      <c r="N387" s="279">
        <f t="shared" si="238"/>
        <v>39015.800000000003</v>
      </c>
      <c r="O387" s="278">
        <f t="shared" si="243"/>
        <v>19.838356164383562</v>
      </c>
      <c r="P387" s="278">
        <f t="shared" si="239"/>
        <v>37049.700000000004</v>
      </c>
      <c r="Q387" s="279">
        <f t="shared" si="240"/>
        <v>1867.5791327164759</v>
      </c>
      <c r="R387" s="279">
        <f t="shared" si="241"/>
        <v>37148.220867283526</v>
      </c>
      <c r="S387" s="346">
        <v>-1867.8</v>
      </c>
      <c r="T387" s="232">
        <f t="shared" si="242"/>
        <v>0.22086728352405771</v>
      </c>
      <c r="U387" s="252" t="s">
        <v>365</v>
      </c>
    </row>
    <row r="388" spans="1:21" ht="15" customHeight="1">
      <c r="A388" s="144"/>
      <c r="B388" s="298"/>
      <c r="C388" s="299"/>
      <c r="D388" s="300"/>
      <c r="E388" s="300"/>
      <c r="F388" s="300"/>
      <c r="G388" s="301"/>
      <c r="H388" s="300"/>
      <c r="I388" s="300"/>
      <c r="J388" s="300"/>
      <c r="K388" s="300"/>
      <c r="L388" s="301"/>
      <c r="M388" s="221"/>
      <c r="N388" s="302"/>
      <c r="O388" s="301"/>
      <c r="P388" s="301"/>
      <c r="Q388" s="302"/>
      <c r="R388" s="302"/>
      <c r="S388" s="232"/>
      <c r="T388" s="232"/>
      <c r="U388" s="252"/>
    </row>
    <row r="389" spans="1:21" ht="16.5" customHeight="1">
      <c r="A389" s="101" t="s">
        <v>134</v>
      </c>
      <c r="B389" s="111"/>
      <c r="C389" s="119">
        <f>SUM(C369:C387)</f>
        <v>81581788.599999994</v>
      </c>
      <c r="D389" s="111"/>
      <c r="E389" s="111"/>
      <c r="F389" s="111"/>
      <c r="G389" s="119">
        <f>SUM(G369:G387)</f>
        <v>4079089.4300000006</v>
      </c>
      <c r="H389" s="111"/>
      <c r="I389" s="111"/>
      <c r="J389" s="111"/>
      <c r="K389" s="111"/>
      <c r="L389" s="114"/>
      <c r="M389" s="119">
        <f>SUM(M369:M387)</f>
        <v>72142832.219999984</v>
      </c>
      <c r="N389" s="119">
        <f>SUM(N369:N387)</f>
        <v>9438956.3800000045</v>
      </c>
      <c r="O389" s="114"/>
      <c r="P389" s="119">
        <f>SUM(P369:P387)</f>
        <v>5359995.2000000058</v>
      </c>
      <c r="Q389" s="119">
        <f>SUM(Q369:Q387)</f>
        <v>4770527.1715028929</v>
      </c>
      <c r="R389" s="119">
        <f>SUM(R369:R387)</f>
        <v>4668429.2084971126</v>
      </c>
      <c r="S389" s="232"/>
      <c r="T389" s="232"/>
      <c r="U389" s="255">
        <f>-SUM(S369:S387)</f>
        <v>2823340.87</v>
      </c>
    </row>
    <row r="390" spans="1:21" ht="16.5" customHeight="1">
      <c r="A390" s="101"/>
      <c r="B390" s="111"/>
      <c r="C390" s="117"/>
      <c r="D390" s="111"/>
      <c r="E390" s="111"/>
      <c r="F390" s="111"/>
      <c r="G390" s="114"/>
      <c r="H390" s="111"/>
      <c r="I390" s="111"/>
      <c r="J390" s="111"/>
      <c r="K390" s="111"/>
      <c r="L390" s="114"/>
      <c r="M390" s="114"/>
      <c r="N390" s="119"/>
      <c r="O390" s="114"/>
      <c r="P390" s="119"/>
      <c r="Q390" s="119"/>
      <c r="R390" s="119"/>
      <c r="S390" s="232"/>
      <c r="T390" s="232">
        <f t="shared" si="206"/>
        <v>0</v>
      </c>
    </row>
    <row r="391" spans="1:21" ht="18.75" customHeight="1">
      <c r="A391" s="101" t="s">
        <v>5</v>
      </c>
      <c r="B391" s="111"/>
      <c r="C391" s="111"/>
      <c r="D391" s="111"/>
      <c r="E391" s="111"/>
      <c r="F391" s="111"/>
      <c r="G391" s="114"/>
      <c r="H391" s="111"/>
      <c r="I391" s="111"/>
      <c r="J391" s="111"/>
      <c r="K391" s="111"/>
      <c r="L391" s="114"/>
      <c r="M391" s="114"/>
      <c r="N391" s="118"/>
      <c r="O391" s="114">
        <v>3</v>
      </c>
      <c r="P391" s="114"/>
      <c r="Q391" s="118"/>
      <c r="R391" s="118"/>
      <c r="S391" s="232"/>
      <c r="T391" s="232">
        <f t="shared" si="206"/>
        <v>0</v>
      </c>
    </row>
    <row r="392" spans="1:21">
      <c r="A392" s="111" t="s">
        <v>5</v>
      </c>
      <c r="B392" s="123">
        <v>39152</v>
      </c>
      <c r="C392" s="322">
        <v>24200</v>
      </c>
      <c r="D392" s="111"/>
      <c r="E392" s="111"/>
      <c r="F392" s="111"/>
      <c r="G392" s="114">
        <f>C392*5%</f>
        <v>1210</v>
      </c>
      <c r="H392" s="111"/>
      <c r="I392" s="111"/>
      <c r="J392" s="111"/>
      <c r="K392" s="111">
        <f t="shared" ref="K392:K423" si="244">$K$2-B392</f>
        <v>4769</v>
      </c>
      <c r="L392" s="114">
        <f t="shared" ref="L392:L433" si="245">K392/365</f>
        <v>13.065753424657535</v>
      </c>
      <c r="M392" s="221">
        <v>22990</v>
      </c>
      <c r="N392" s="118">
        <f t="shared" ref="N392:N433" si="246">C392-M392</f>
        <v>1210</v>
      </c>
      <c r="O392" s="114">
        <f t="shared" ref="O392:O433" si="247">$O$391-L392</f>
        <v>-10.065753424657535</v>
      </c>
      <c r="P392" s="114">
        <f t="shared" ref="P392:P433" si="248">N392-G392</f>
        <v>0</v>
      </c>
      <c r="Q392" s="118">
        <v>0</v>
      </c>
      <c r="R392" s="118">
        <f>G392</f>
        <v>1210</v>
      </c>
      <c r="S392" s="232">
        <v>0</v>
      </c>
      <c r="T392" s="232">
        <f t="shared" ref="T392:T486" si="249">+Q392+S392</f>
        <v>0</v>
      </c>
    </row>
    <row r="393" spans="1:21" s="242" customFormat="1" ht="15">
      <c r="A393" s="214" t="s">
        <v>5</v>
      </c>
      <c r="B393" s="231">
        <v>39526</v>
      </c>
      <c r="C393" s="336">
        <v>73514</v>
      </c>
      <c r="D393" s="214"/>
      <c r="E393" s="214"/>
      <c r="F393" s="214"/>
      <c r="G393" s="207">
        <f t="shared" ref="G393:G433" si="250">C393*5%</f>
        <v>3675.7000000000003</v>
      </c>
      <c r="H393" s="214"/>
      <c r="I393" s="214"/>
      <c r="J393" s="214"/>
      <c r="K393" s="214">
        <f t="shared" si="244"/>
        <v>4395</v>
      </c>
      <c r="L393" s="207">
        <f t="shared" si="245"/>
        <v>12.04109589041096</v>
      </c>
      <c r="M393" s="241">
        <v>69838.3</v>
      </c>
      <c r="N393" s="208">
        <f t="shared" si="246"/>
        <v>3675.6999999999971</v>
      </c>
      <c r="O393" s="207">
        <f t="shared" si="247"/>
        <v>-9.0410958904109595</v>
      </c>
      <c r="P393" s="207">
        <f t="shared" si="248"/>
        <v>0</v>
      </c>
      <c r="Q393" s="208">
        <v>0</v>
      </c>
      <c r="R393" s="208">
        <f t="shared" ref="R393:R417" si="251">G393</f>
        <v>3675.7000000000003</v>
      </c>
      <c r="S393" s="244">
        <f>+[2]Sheet1!$I$327</f>
        <v>0</v>
      </c>
      <c r="T393" s="232">
        <f t="shared" ref="T393:T456" si="252">-(Q393+S393)</f>
        <v>0</v>
      </c>
      <c r="U393" s="205"/>
    </row>
    <row r="394" spans="1:21">
      <c r="A394" s="111" t="s">
        <v>135</v>
      </c>
      <c r="B394" s="123">
        <v>39569</v>
      </c>
      <c r="C394" s="322">
        <v>39500</v>
      </c>
      <c r="D394" s="111"/>
      <c r="E394" s="111"/>
      <c r="F394" s="111"/>
      <c r="G394" s="114">
        <f t="shared" si="250"/>
        <v>1975</v>
      </c>
      <c r="H394" s="111"/>
      <c r="I394" s="111"/>
      <c r="J394" s="111"/>
      <c r="K394" s="111">
        <f t="shared" si="244"/>
        <v>4352</v>
      </c>
      <c r="L394" s="114">
        <f t="shared" si="245"/>
        <v>11.923287671232877</v>
      </c>
      <c r="M394" s="221">
        <v>37525</v>
      </c>
      <c r="N394" s="118">
        <f t="shared" si="246"/>
        <v>1975</v>
      </c>
      <c r="O394" s="114">
        <f t="shared" si="247"/>
        <v>-8.9232876712328775</v>
      </c>
      <c r="P394" s="114">
        <f t="shared" si="248"/>
        <v>0</v>
      </c>
      <c r="Q394" s="118">
        <v>0</v>
      </c>
      <c r="R394" s="118">
        <f t="shared" si="251"/>
        <v>1975</v>
      </c>
      <c r="S394" s="243">
        <f t="shared" ref="S394:S433" si="253">Q394-J394</f>
        <v>0</v>
      </c>
      <c r="T394" s="232">
        <f t="shared" si="252"/>
        <v>0</v>
      </c>
    </row>
    <row r="395" spans="1:21">
      <c r="A395" s="111" t="s">
        <v>135</v>
      </c>
      <c r="B395" s="123">
        <v>39582</v>
      </c>
      <c r="C395" s="322">
        <v>1650</v>
      </c>
      <c r="D395" s="111"/>
      <c r="E395" s="111"/>
      <c r="F395" s="111"/>
      <c r="G395" s="114">
        <f t="shared" si="250"/>
        <v>82.5</v>
      </c>
      <c r="H395" s="111"/>
      <c r="I395" s="111"/>
      <c r="J395" s="111"/>
      <c r="K395" s="111">
        <f t="shared" si="244"/>
        <v>4339</v>
      </c>
      <c r="L395" s="114">
        <f t="shared" si="245"/>
        <v>11.887671232876713</v>
      </c>
      <c r="M395" s="221">
        <v>1567.5</v>
      </c>
      <c r="N395" s="118">
        <f t="shared" si="246"/>
        <v>82.5</v>
      </c>
      <c r="O395" s="114">
        <f t="shared" si="247"/>
        <v>-8.8876712328767127</v>
      </c>
      <c r="P395" s="114">
        <f t="shared" si="248"/>
        <v>0</v>
      </c>
      <c r="Q395" s="118">
        <v>0</v>
      </c>
      <c r="R395" s="118">
        <f t="shared" si="251"/>
        <v>82.5</v>
      </c>
      <c r="S395" s="243">
        <f t="shared" si="253"/>
        <v>0</v>
      </c>
      <c r="T395" s="232">
        <f t="shared" si="252"/>
        <v>0</v>
      </c>
    </row>
    <row r="396" spans="1:21">
      <c r="A396" s="111" t="s">
        <v>136</v>
      </c>
      <c r="B396" s="123">
        <v>39899</v>
      </c>
      <c r="C396" s="111">
        <v>85362</v>
      </c>
      <c r="D396" s="111"/>
      <c r="E396" s="111"/>
      <c r="F396" s="111"/>
      <c r="G396" s="114">
        <f t="shared" si="250"/>
        <v>4268.1000000000004</v>
      </c>
      <c r="H396" s="111"/>
      <c r="I396" s="111"/>
      <c r="J396" s="111"/>
      <c r="K396" s="111">
        <f t="shared" si="244"/>
        <v>4022</v>
      </c>
      <c r="L396" s="114">
        <f t="shared" si="245"/>
        <v>11.019178082191781</v>
      </c>
      <c r="M396" s="221">
        <v>81093.899999999994</v>
      </c>
      <c r="N396" s="118">
        <f t="shared" si="246"/>
        <v>4268.1000000000058</v>
      </c>
      <c r="O396" s="114">
        <f t="shared" si="247"/>
        <v>-8.0191780821917806</v>
      </c>
      <c r="P396" s="114">
        <f t="shared" si="248"/>
        <v>0</v>
      </c>
      <c r="Q396" s="118">
        <v>0</v>
      </c>
      <c r="R396" s="118">
        <f t="shared" si="251"/>
        <v>4268.1000000000004</v>
      </c>
      <c r="S396" s="243">
        <f t="shared" si="253"/>
        <v>0</v>
      </c>
      <c r="T396" s="232">
        <f t="shared" si="252"/>
        <v>0</v>
      </c>
    </row>
    <row r="397" spans="1:21">
      <c r="A397" s="111" t="s">
        <v>137</v>
      </c>
      <c r="B397" s="123">
        <v>39940</v>
      </c>
      <c r="C397" s="111">
        <v>19000</v>
      </c>
      <c r="D397" s="111"/>
      <c r="E397" s="111"/>
      <c r="F397" s="111"/>
      <c r="G397" s="114">
        <f t="shared" si="250"/>
        <v>950</v>
      </c>
      <c r="H397" s="111"/>
      <c r="I397" s="111"/>
      <c r="J397" s="111"/>
      <c r="K397" s="111">
        <f t="shared" si="244"/>
        <v>3981</v>
      </c>
      <c r="L397" s="114">
        <f t="shared" si="245"/>
        <v>10.906849315068493</v>
      </c>
      <c r="M397" s="221">
        <v>18050</v>
      </c>
      <c r="N397" s="118">
        <f t="shared" si="246"/>
        <v>950</v>
      </c>
      <c r="O397" s="114">
        <f t="shared" si="247"/>
        <v>-7.9068493150684933</v>
      </c>
      <c r="P397" s="114">
        <f t="shared" si="248"/>
        <v>0</v>
      </c>
      <c r="Q397" s="118">
        <v>0</v>
      </c>
      <c r="R397" s="118">
        <f t="shared" si="251"/>
        <v>950</v>
      </c>
      <c r="S397" s="243">
        <f t="shared" si="253"/>
        <v>0</v>
      </c>
      <c r="T397" s="232">
        <f t="shared" si="252"/>
        <v>0</v>
      </c>
    </row>
    <row r="398" spans="1:21">
      <c r="A398" s="111" t="s">
        <v>137</v>
      </c>
      <c r="B398" s="123">
        <v>40168</v>
      </c>
      <c r="C398" s="111">
        <v>42120</v>
      </c>
      <c r="D398" s="111"/>
      <c r="E398" s="111"/>
      <c r="F398" s="111"/>
      <c r="G398" s="114">
        <f t="shared" si="250"/>
        <v>2106</v>
      </c>
      <c r="H398" s="111"/>
      <c r="I398" s="111"/>
      <c r="J398" s="111"/>
      <c r="K398" s="111">
        <f t="shared" si="244"/>
        <v>3753</v>
      </c>
      <c r="L398" s="114">
        <f t="shared" si="245"/>
        <v>10.282191780821918</v>
      </c>
      <c r="M398" s="221">
        <v>40014</v>
      </c>
      <c r="N398" s="118">
        <f t="shared" si="246"/>
        <v>2106</v>
      </c>
      <c r="O398" s="114">
        <f t="shared" si="247"/>
        <v>-7.2821917808219183</v>
      </c>
      <c r="P398" s="114">
        <f t="shared" si="248"/>
        <v>0</v>
      </c>
      <c r="Q398" s="118">
        <v>0</v>
      </c>
      <c r="R398" s="118">
        <f t="shared" si="251"/>
        <v>2106</v>
      </c>
      <c r="S398" s="243">
        <f t="shared" si="253"/>
        <v>0</v>
      </c>
      <c r="T398" s="232">
        <f t="shared" si="252"/>
        <v>0</v>
      </c>
    </row>
    <row r="399" spans="1:21">
      <c r="A399" s="111" t="s">
        <v>137</v>
      </c>
      <c r="B399" s="123">
        <v>40287</v>
      </c>
      <c r="C399" s="111">
        <v>91500</v>
      </c>
      <c r="D399" s="111"/>
      <c r="E399" s="111"/>
      <c r="F399" s="111"/>
      <c r="G399" s="114">
        <f t="shared" si="250"/>
        <v>4575</v>
      </c>
      <c r="H399" s="111"/>
      <c r="I399" s="111"/>
      <c r="J399" s="111"/>
      <c r="K399" s="111">
        <f t="shared" si="244"/>
        <v>3634</v>
      </c>
      <c r="L399" s="114">
        <f t="shared" si="245"/>
        <v>9.956164383561644</v>
      </c>
      <c r="M399" s="221">
        <v>86925</v>
      </c>
      <c r="N399" s="118">
        <f t="shared" si="246"/>
        <v>4575</v>
      </c>
      <c r="O399" s="114">
        <f t="shared" si="247"/>
        <v>-6.956164383561644</v>
      </c>
      <c r="P399" s="114">
        <f t="shared" si="248"/>
        <v>0</v>
      </c>
      <c r="Q399" s="118">
        <v>0</v>
      </c>
      <c r="R399" s="118">
        <f t="shared" si="251"/>
        <v>4575</v>
      </c>
      <c r="S399" s="243">
        <f t="shared" si="253"/>
        <v>0</v>
      </c>
      <c r="T399" s="232">
        <f t="shared" si="252"/>
        <v>0</v>
      </c>
    </row>
    <row r="400" spans="1:21">
      <c r="A400" s="111" t="s">
        <v>137</v>
      </c>
      <c r="B400" s="123">
        <v>40289</v>
      </c>
      <c r="C400" s="111">
        <v>38000</v>
      </c>
      <c r="D400" s="111"/>
      <c r="E400" s="111"/>
      <c r="F400" s="111"/>
      <c r="G400" s="114">
        <f t="shared" si="250"/>
        <v>1900</v>
      </c>
      <c r="H400" s="111"/>
      <c r="I400" s="111"/>
      <c r="J400" s="111"/>
      <c r="K400" s="111">
        <f t="shared" si="244"/>
        <v>3632</v>
      </c>
      <c r="L400" s="114">
        <f t="shared" si="245"/>
        <v>9.9506849315068493</v>
      </c>
      <c r="M400" s="221">
        <v>36100</v>
      </c>
      <c r="N400" s="118">
        <f t="shared" si="246"/>
        <v>1900</v>
      </c>
      <c r="O400" s="114">
        <f t="shared" si="247"/>
        <v>-6.9506849315068493</v>
      </c>
      <c r="P400" s="114">
        <f t="shared" si="248"/>
        <v>0</v>
      </c>
      <c r="Q400" s="118">
        <v>0</v>
      </c>
      <c r="R400" s="118">
        <f t="shared" si="251"/>
        <v>1900</v>
      </c>
      <c r="S400" s="243">
        <f t="shared" si="253"/>
        <v>0</v>
      </c>
      <c r="T400" s="232">
        <f t="shared" si="252"/>
        <v>0</v>
      </c>
    </row>
    <row r="401" spans="1:20">
      <c r="A401" s="111" t="s">
        <v>137</v>
      </c>
      <c r="B401" s="123">
        <v>40302</v>
      </c>
      <c r="C401" s="111">
        <v>31500</v>
      </c>
      <c r="D401" s="111"/>
      <c r="E401" s="111"/>
      <c r="F401" s="111"/>
      <c r="G401" s="114">
        <f t="shared" si="250"/>
        <v>1575</v>
      </c>
      <c r="H401" s="111"/>
      <c r="I401" s="111"/>
      <c r="J401" s="111"/>
      <c r="K401" s="111">
        <f t="shared" si="244"/>
        <v>3619</v>
      </c>
      <c r="L401" s="114">
        <f t="shared" si="245"/>
        <v>9.9150684931506845</v>
      </c>
      <c r="M401" s="221">
        <v>29925</v>
      </c>
      <c r="N401" s="118">
        <f t="shared" si="246"/>
        <v>1575</v>
      </c>
      <c r="O401" s="114">
        <f t="shared" si="247"/>
        <v>-6.9150684931506845</v>
      </c>
      <c r="P401" s="114">
        <f t="shared" si="248"/>
        <v>0</v>
      </c>
      <c r="Q401" s="118">
        <v>0</v>
      </c>
      <c r="R401" s="118">
        <f t="shared" si="251"/>
        <v>1575</v>
      </c>
      <c r="S401" s="243">
        <f t="shared" si="253"/>
        <v>0</v>
      </c>
      <c r="T401" s="232">
        <f t="shared" si="252"/>
        <v>0</v>
      </c>
    </row>
    <row r="402" spans="1:20">
      <c r="A402" s="111" t="s">
        <v>137</v>
      </c>
      <c r="B402" s="123">
        <v>40322</v>
      </c>
      <c r="C402" s="111">
        <v>37500</v>
      </c>
      <c r="D402" s="111"/>
      <c r="E402" s="111"/>
      <c r="F402" s="111"/>
      <c r="G402" s="114">
        <f t="shared" si="250"/>
        <v>1875</v>
      </c>
      <c r="H402" s="111"/>
      <c r="I402" s="111"/>
      <c r="J402" s="111"/>
      <c r="K402" s="111">
        <f t="shared" si="244"/>
        <v>3599</v>
      </c>
      <c r="L402" s="114">
        <f t="shared" si="245"/>
        <v>9.8602739726027391</v>
      </c>
      <c r="M402" s="221">
        <v>35625</v>
      </c>
      <c r="N402" s="118">
        <f t="shared" si="246"/>
        <v>1875</v>
      </c>
      <c r="O402" s="114">
        <f t="shared" si="247"/>
        <v>-6.8602739726027391</v>
      </c>
      <c r="P402" s="114">
        <f t="shared" si="248"/>
        <v>0</v>
      </c>
      <c r="Q402" s="118">
        <v>0</v>
      </c>
      <c r="R402" s="118">
        <f t="shared" si="251"/>
        <v>1875</v>
      </c>
      <c r="S402" s="243">
        <f t="shared" si="253"/>
        <v>0</v>
      </c>
      <c r="T402" s="232">
        <f t="shared" si="252"/>
        <v>0</v>
      </c>
    </row>
    <row r="403" spans="1:20">
      <c r="A403" s="111" t="s">
        <v>137</v>
      </c>
      <c r="B403" s="123">
        <v>40344</v>
      </c>
      <c r="C403" s="111">
        <v>16000</v>
      </c>
      <c r="D403" s="111"/>
      <c r="E403" s="111"/>
      <c r="F403" s="111"/>
      <c r="G403" s="114">
        <f t="shared" si="250"/>
        <v>800</v>
      </c>
      <c r="H403" s="111"/>
      <c r="I403" s="111"/>
      <c r="J403" s="111"/>
      <c r="K403" s="111">
        <f t="shared" si="244"/>
        <v>3577</v>
      </c>
      <c r="L403" s="114">
        <f t="shared" si="245"/>
        <v>9.8000000000000007</v>
      </c>
      <c r="M403" s="221">
        <v>15200</v>
      </c>
      <c r="N403" s="118">
        <f t="shared" si="246"/>
        <v>800</v>
      </c>
      <c r="O403" s="114">
        <f t="shared" si="247"/>
        <v>-6.8000000000000007</v>
      </c>
      <c r="P403" s="114">
        <f t="shared" si="248"/>
        <v>0</v>
      </c>
      <c r="Q403" s="118">
        <v>0</v>
      </c>
      <c r="R403" s="118">
        <f t="shared" si="251"/>
        <v>800</v>
      </c>
      <c r="S403" s="243">
        <f t="shared" si="253"/>
        <v>0</v>
      </c>
      <c r="T403" s="232">
        <f t="shared" si="252"/>
        <v>0</v>
      </c>
    </row>
    <row r="404" spans="1:20">
      <c r="A404" s="111" t="s">
        <v>137</v>
      </c>
      <c r="B404" s="123">
        <v>40351</v>
      </c>
      <c r="C404" s="111">
        <v>31000</v>
      </c>
      <c r="D404" s="111"/>
      <c r="E404" s="111"/>
      <c r="F404" s="111"/>
      <c r="G404" s="114">
        <f t="shared" si="250"/>
        <v>1550</v>
      </c>
      <c r="H404" s="111"/>
      <c r="I404" s="111"/>
      <c r="J404" s="111"/>
      <c r="K404" s="111">
        <f t="shared" si="244"/>
        <v>3570</v>
      </c>
      <c r="L404" s="114">
        <f t="shared" si="245"/>
        <v>9.7808219178082183</v>
      </c>
      <c r="M404" s="221">
        <v>29450</v>
      </c>
      <c r="N404" s="118">
        <f t="shared" si="246"/>
        <v>1550</v>
      </c>
      <c r="O404" s="114">
        <f t="shared" si="247"/>
        <v>-6.7808219178082183</v>
      </c>
      <c r="P404" s="114">
        <f t="shared" si="248"/>
        <v>0</v>
      </c>
      <c r="Q404" s="118">
        <v>0</v>
      </c>
      <c r="R404" s="118">
        <f t="shared" si="251"/>
        <v>1550</v>
      </c>
      <c r="S404" s="243">
        <f t="shared" si="253"/>
        <v>0</v>
      </c>
      <c r="T404" s="232">
        <f t="shared" si="252"/>
        <v>0</v>
      </c>
    </row>
    <row r="405" spans="1:20">
      <c r="A405" s="111" t="s">
        <v>137</v>
      </c>
      <c r="B405" s="123">
        <v>40358</v>
      </c>
      <c r="C405" s="111">
        <v>21000</v>
      </c>
      <c r="D405" s="111"/>
      <c r="E405" s="111"/>
      <c r="F405" s="111"/>
      <c r="G405" s="114">
        <f t="shared" si="250"/>
        <v>1050</v>
      </c>
      <c r="H405" s="111"/>
      <c r="I405" s="111"/>
      <c r="J405" s="111"/>
      <c r="K405" s="111">
        <f t="shared" si="244"/>
        <v>3563</v>
      </c>
      <c r="L405" s="114">
        <f t="shared" si="245"/>
        <v>9.7616438356164377</v>
      </c>
      <c r="M405" s="221">
        <v>19950</v>
      </c>
      <c r="N405" s="118">
        <f t="shared" si="246"/>
        <v>1050</v>
      </c>
      <c r="O405" s="114">
        <f t="shared" si="247"/>
        <v>-6.7616438356164377</v>
      </c>
      <c r="P405" s="114">
        <f t="shared" si="248"/>
        <v>0</v>
      </c>
      <c r="Q405" s="118">
        <v>0</v>
      </c>
      <c r="R405" s="118">
        <f t="shared" si="251"/>
        <v>1050</v>
      </c>
      <c r="S405" s="243">
        <f t="shared" si="253"/>
        <v>0</v>
      </c>
      <c r="T405" s="232">
        <f t="shared" si="252"/>
        <v>0</v>
      </c>
    </row>
    <row r="406" spans="1:20">
      <c r="A406" s="111" t="s">
        <v>137</v>
      </c>
      <c r="B406" s="123">
        <v>40432</v>
      </c>
      <c r="C406" s="111">
        <v>14352</v>
      </c>
      <c r="D406" s="111"/>
      <c r="E406" s="111"/>
      <c r="F406" s="111"/>
      <c r="G406" s="114">
        <f t="shared" si="250"/>
        <v>717.6</v>
      </c>
      <c r="H406" s="111"/>
      <c r="I406" s="111"/>
      <c r="J406" s="111"/>
      <c r="K406" s="111">
        <f t="shared" si="244"/>
        <v>3489</v>
      </c>
      <c r="L406" s="114">
        <f t="shared" si="245"/>
        <v>9.5589041095890419</v>
      </c>
      <c r="M406" s="221">
        <v>13634.4</v>
      </c>
      <c r="N406" s="118">
        <f t="shared" si="246"/>
        <v>717.60000000000036</v>
      </c>
      <c r="O406" s="114">
        <f t="shared" si="247"/>
        <v>-6.5589041095890419</v>
      </c>
      <c r="P406" s="114">
        <f t="shared" si="248"/>
        <v>0</v>
      </c>
      <c r="Q406" s="118">
        <v>0</v>
      </c>
      <c r="R406" s="118">
        <f t="shared" si="251"/>
        <v>717.6</v>
      </c>
      <c r="S406" s="243">
        <f t="shared" si="253"/>
        <v>0</v>
      </c>
      <c r="T406" s="232">
        <f t="shared" si="252"/>
        <v>0</v>
      </c>
    </row>
    <row r="407" spans="1:20">
      <c r="A407" s="111" t="s">
        <v>137</v>
      </c>
      <c r="B407" s="123">
        <v>40435</v>
      </c>
      <c r="C407" s="111">
        <v>28500</v>
      </c>
      <c r="D407" s="111"/>
      <c r="E407" s="111"/>
      <c r="F407" s="111"/>
      <c r="G407" s="114">
        <f t="shared" si="250"/>
        <v>1425</v>
      </c>
      <c r="H407" s="111"/>
      <c r="I407" s="111"/>
      <c r="J407" s="111"/>
      <c r="K407" s="111">
        <f t="shared" si="244"/>
        <v>3486</v>
      </c>
      <c r="L407" s="114">
        <f t="shared" si="245"/>
        <v>9.5506849315068489</v>
      </c>
      <c r="M407" s="221">
        <v>27075</v>
      </c>
      <c r="N407" s="118">
        <f t="shared" si="246"/>
        <v>1425</v>
      </c>
      <c r="O407" s="114">
        <f t="shared" si="247"/>
        <v>-6.5506849315068489</v>
      </c>
      <c r="P407" s="114">
        <f t="shared" si="248"/>
        <v>0</v>
      </c>
      <c r="Q407" s="118">
        <v>0</v>
      </c>
      <c r="R407" s="118">
        <f t="shared" si="251"/>
        <v>1425</v>
      </c>
      <c r="S407" s="243">
        <f t="shared" si="253"/>
        <v>0</v>
      </c>
      <c r="T407" s="232">
        <f t="shared" si="252"/>
        <v>0</v>
      </c>
    </row>
    <row r="408" spans="1:20">
      <c r="A408" s="111" t="s">
        <v>137</v>
      </c>
      <c r="B408" s="123">
        <v>40451</v>
      </c>
      <c r="C408" s="111">
        <v>29500</v>
      </c>
      <c r="D408" s="111"/>
      <c r="E408" s="111"/>
      <c r="F408" s="111"/>
      <c r="G408" s="114">
        <f t="shared" si="250"/>
        <v>1475</v>
      </c>
      <c r="H408" s="111"/>
      <c r="I408" s="111"/>
      <c r="J408" s="111"/>
      <c r="K408" s="111">
        <f t="shared" si="244"/>
        <v>3470</v>
      </c>
      <c r="L408" s="114">
        <f t="shared" si="245"/>
        <v>9.506849315068493</v>
      </c>
      <c r="M408" s="221">
        <v>28025</v>
      </c>
      <c r="N408" s="118">
        <f t="shared" si="246"/>
        <v>1475</v>
      </c>
      <c r="O408" s="114">
        <f t="shared" si="247"/>
        <v>-6.506849315068493</v>
      </c>
      <c r="P408" s="114">
        <f t="shared" si="248"/>
        <v>0</v>
      </c>
      <c r="Q408" s="118">
        <v>0</v>
      </c>
      <c r="R408" s="118">
        <f t="shared" si="251"/>
        <v>1475</v>
      </c>
      <c r="S408" s="243">
        <f t="shared" si="253"/>
        <v>0</v>
      </c>
      <c r="T408" s="232">
        <f t="shared" si="252"/>
        <v>0</v>
      </c>
    </row>
    <row r="409" spans="1:20">
      <c r="A409" s="111" t="s">
        <v>137</v>
      </c>
      <c r="B409" s="123">
        <v>40458</v>
      </c>
      <c r="C409" s="111">
        <v>1800</v>
      </c>
      <c r="D409" s="111"/>
      <c r="E409" s="111"/>
      <c r="F409" s="111"/>
      <c r="G409" s="114">
        <f t="shared" si="250"/>
        <v>90</v>
      </c>
      <c r="H409" s="111"/>
      <c r="I409" s="111"/>
      <c r="J409" s="111"/>
      <c r="K409" s="111">
        <f t="shared" si="244"/>
        <v>3463</v>
      </c>
      <c r="L409" s="114">
        <f t="shared" si="245"/>
        <v>9.4876712328767123</v>
      </c>
      <c r="M409" s="221">
        <v>1710</v>
      </c>
      <c r="N409" s="118">
        <f t="shared" si="246"/>
        <v>90</v>
      </c>
      <c r="O409" s="114">
        <f t="shared" si="247"/>
        <v>-6.4876712328767123</v>
      </c>
      <c r="P409" s="114">
        <f t="shared" si="248"/>
        <v>0</v>
      </c>
      <c r="Q409" s="118">
        <v>0</v>
      </c>
      <c r="R409" s="118">
        <f t="shared" si="251"/>
        <v>90</v>
      </c>
      <c r="S409" s="243">
        <f t="shared" si="253"/>
        <v>0</v>
      </c>
      <c r="T409" s="232">
        <f t="shared" si="252"/>
        <v>0</v>
      </c>
    </row>
    <row r="410" spans="1:20">
      <c r="A410" s="111" t="s">
        <v>137</v>
      </c>
      <c r="B410" s="123">
        <v>40459</v>
      </c>
      <c r="C410" s="111">
        <v>1500</v>
      </c>
      <c r="D410" s="111"/>
      <c r="E410" s="111"/>
      <c r="F410" s="111"/>
      <c r="G410" s="114">
        <f t="shared" si="250"/>
        <v>75</v>
      </c>
      <c r="H410" s="111"/>
      <c r="I410" s="111"/>
      <c r="J410" s="111"/>
      <c r="K410" s="111">
        <f t="shared" si="244"/>
        <v>3462</v>
      </c>
      <c r="L410" s="114">
        <f t="shared" si="245"/>
        <v>9.4849315068493159</v>
      </c>
      <c r="M410" s="221">
        <v>1425</v>
      </c>
      <c r="N410" s="118">
        <f t="shared" si="246"/>
        <v>75</v>
      </c>
      <c r="O410" s="114">
        <f t="shared" si="247"/>
        <v>-6.4849315068493159</v>
      </c>
      <c r="P410" s="114">
        <f t="shared" si="248"/>
        <v>0</v>
      </c>
      <c r="Q410" s="118">
        <v>0</v>
      </c>
      <c r="R410" s="118">
        <f t="shared" si="251"/>
        <v>75</v>
      </c>
      <c r="S410" s="243">
        <f t="shared" si="253"/>
        <v>0</v>
      </c>
      <c r="T410" s="232">
        <f t="shared" si="252"/>
        <v>0</v>
      </c>
    </row>
    <row r="411" spans="1:20">
      <c r="A411" s="111" t="s">
        <v>137</v>
      </c>
      <c r="B411" s="123">
        <v>40470</v>
      </c>
      <c r="C411" s="111">
        <v>29300</v>
      </c>
      <c r="D411" s="111"/>
      <c r="E411" s="111"/>
      <c r="F411" s="111"/>
      <c r="G411" s="114">
        <f t="shared" si="250"/>
        <v>1465</v>
      </c>
      <c r="H411" s="111"/>
      <c r="I411" s="111"/>
      <c r="J411" s="111"/>
      <c r="K411" s="111">
        <f t="shared" si="244"/>
        <v>3451</v>
      </c>
      <c r="L411" s="114">
        <f t="shared" si="245"/>
        <v>9.4547945205479458</v>
      </c>
      <c r="M411" s="221">
        <v>27835</v>
      </c>
      <c r="N411" s="118">
        <f t="shared" si="246"/>
        <v>1465</v>
      </c>
      <c r="O411" s="114">
        <f t="shared" si="247"/>
        <v>-6.4547945205479458</v>
      </c>
      <c r="P411" s="114">
        <f t="shared" si="248"/>
        <v>0</v>
      </c>
      <c r="Q411" s="118">
        <v>0</v>
      </c>
      <c r="R411" s="118">
        <f t="shared" si="251"/>
        <v>1465</v>
      </c>
      <c r="S411" s="243">
        <f t="shared" si="253"/>
        <v>0</v>
      </c>
      <c r="T411" s="232">
        <f t="shared" si="252"/>
        <v>0</v>
      </c>
    </row>
    <row r="412" spans="1:20">
      <c r="A412" s="111" t="s">
        <v>137</v>
      </c>
      <c r="B412" s="123">
        <v>40472</v>
      </c>
      <c r="C412" s="111">
        <v>9140</v>
      </c>
      <c r="D412" s="111"/>
      <c r="E412" s="111"/>
      <c r="F412" s="111"/>
      <c r="G412" s="114">
        <f t="shared" si="250"/>
        <v>457</v>
      </c>
      <c r="H412" s="111"/>
      <c r="I412" s="111"/>
      <c r="J412" s="111"/>
      <c r="K412" s="111">
        <f t="shared" si="244"/>
        <v>3449</v>
      </c>
      <c r="L412" s="114">
        <f t="shared" si="245"/>
        <v>9.4493150684931511</v>
      </c>
      <c r="M412" s="221">
        <v>8683</v>
      </c>
      <c r="N412" s="118">
        <f t="shared" si="246"/>
        <v>457</v>
      </c>
      <c r="O412" s="114">
        <f t="shared" si="247"/>
        <v>-6.4493150684931511</v>
      </c>
      <c r="P412" s="114">
        <f t="shared" si="248"/>
        <v>0</v>
      </c>
      <c r="Q412" s="118">
        <v>0</v>
      </c>
      <c r="R412" s="118">
        <f t="shared" si="251"/>
        <v>457</v>
      </c>
      <c r="S412" s="243">
        <f t="shared" si="253"/>
        <v>0</v>
      </c>
      <c r="T412" s="232">
        <f t="shared" si="252"/>
        <v>0</v>
      </c>
    </row>
    <row r="413" spans="1:20">
      <c r="A413" s="111" t="s">
        <v>137</v>
      </c>
      <c r="B413" s="123">
        <v>40481</v>
      </c>
      <c r="C413" s="111">
        <v>24200</v>
      </c>
      <c r="D413" s="111"/>
      <c r="E413" s="111"/>
      <c r="F413" s="111"/>
      <c r="G413" s="114">
        <f t="shared" si="250"/>
        <v>1210</v>
      </c>
      <c r="H413" s="111"/>
      <c r="I413" s="111"/>
      <c r="J413" s="111"/>
      <c r="K413" s="111">
        <f t="shared" si="244"/>
        <v>3440</v>
      </c>
      <c r="L413" s="114">
        <f t="shared" si="245"/>
        <v>9.4246575342465757</v>
      </c>
      <c r="M413" s="221">
        <v>22990</v>
      </c>
      <c r="N413" s="118">
        <f t="shared" si="246"/>
        <v>1210</v>
      </c>
      <c r="O413" s="114">
        <f t="shared" si="247"/>
        <v>-6.4246575342465757</v>
      </c>
      <c r="P413" s="114">
        <f t="shared" si="248"/>
        <v>0</v>
      </c>
      <c r="Q413" s="118">
        <v>0</v>
      </c>
      <c r="R413" s="118">
        <f t="shared" si="251"/>
        <v>1210</v>
      </c>
      <c r="S413" s="243">
        <f t="shared" si="253"/>
        <v>0</v>
      </c>
      <c r="T413" s="232">
        <f t="shared" si="252"/>
        <v>0</v>
      </c>
    </row>
    <row r="414" spans="1:20">
      <c r="A414" s="111" t="s">
        <v>137</v>
      </c>
      <c r="B414" s="123">
        <v>40486</v>
      </c>
      <c r="C414" s="111">
        <v>1610</v>
      </c>
      <c r="D414" s="111"/>
      <c r="E414" s="111"/>
      <c r="F414" s="111"/>
      <c r="G414" s="114">
        <f t="shared" si="250"/>
        <v>80.5</v>
      </c>
      <c r="H414" s="111"/>
      <c r="I414" s="111"/>
      <c r="J414" s="111"/>
      <c r="K414" s="111">
        <f t="shared" si="244"/>
        <v>3435</v>
      </c>
      <c r="L414" s="114">
        <f t="shared" si="245"/>
        <v>9.4109589041095898</v>
      </c>
      <c r="M414" s="221">
        <v>1529.5</v>
      </c>
      <c r="N414" s="118">
        <f t="shared" si="246"/>
        <v>80.5</v>
      </c>
      <c r="O414" s="114">
        <f t="shared" si="247"/>
        <v>-6.4109589041095898</v>
      </c>
      <c r="P414" s="114">
        <f t="shared" si="248"/>
        <v>0</v>
      </c>
      <c r="Q414" s="118">
        <v>0</v>
      </c>
      <c r="R414" s="118">
        <f t="shared" si="251"/>
        <v>80.5</v>
      </c>
      <c r="S414" s="243">
        <f t="shared" si="253"/>
        <v>0</v>
      </c>
      <c r="T414" s="232">
        <f t="shared" si="252"/>
        <v>0</v>
      </c>
    </row>
    <row r="415" spans="1:20">
      <c r="A415" s="111" t="s">
        <v>137</v>
      </c>
      <c r="B415" s="123">
        <v>40487</v>
      </c>
      <c r="C415" s="111">
        <v>2640</v>
      </c>
      <c r="D415" s="111"/>
      <c r="E415" s="111"/>
      <c r="F415" s="111"/>
      <c r="G415" s="114">
        <f t="shared" si="250"/>
        <v>132</v>
      </c>
      <c r="H415" s="111"/>
      <c r="I415" s="111"/>
      <c r="J415" s="111"/>
      <c r="K415" s="111">
        <f t="shared" si="244"/>
        <v>3434</v>
      </c>
      <c r="L415" s="114">
        <f t="shared" si="245"/>
        <v>9.4082191780821915</v>
      </c>
      <c r="M415" s="221">
        <v>2508</v>
      </c>
      <c r="N415" s="118">
        <f t="shared" si="246"/>
        <v>132</v>
      </c>
      <c r="O415" s="114">
        <f t="shared" si="247"/>
        <v>-6.4082191780821915</v>
      </c>
      <c r="P415" s="114">
        <f t="shared" si="248"/>
        <v>0</v>
      </c>
      <c r="Q415" s="118">
        <f t="shared" ref="Q415:Q430" si="254">P415/O415</f>
        <v>0</v>
      </c>
      <c r="R415" s="118">
        <f t="shared" si="251"/>
        <v>132</v>
      </c>
      <c r="S415" s="243">
        <f t="shared" si="253"/>
        <v>0</v>
      </c>
      <c r="T415" s="232">
        <f t="shared" si="252"/>
        <v>0</v>
      </c>
    </row>
    <row r="416" spans="1:20">
      <c r="A416" s="111" t="s">
        <v>137</v>
      </c>
      <c r="B416" s="123">
        <v>40492</v>
      </c>
      <c r="C416" s="111">
        <v>5283</v>
      </c>
      <c r="D416" s="111"/>
      <c r="E416" s="111"/>
      <c r="F416" s="111"/>
      <c r="G416" s="114">
        <f t="shared" si="250"/>
        <v>264.15000000000003</v>
      </c>
      <c r="H416" s="111"/>
      <c r="I416" s="111"/>
      <c r="J416" s="111"/>
      <c r="K416" s="111">
        <f t="shared" si="244"/>
        <v>3429</v>
      </c>
      <c r="L416" s="114">
        <f t="shared" si="245"/>
        <v>9.3945205479452056</v>
      </c>
      <c r="M416" s="221">
        <v>5018.8500000000004</v>
      </c>
      <c r="N416" s="118">
        <f t="shared" si="246"/>
        <v>264.14999999999964</v>
      </c>
      <c r="O416" s="114">
        <f t="shared" si="247"/>
        <v>-6.3945205479452056</v>
      </c>
      <c r="P416" s="114">
        <f t="shared" si="248"/>
        <v>0</v>
      </c>
      <c r="Q416" s="118">
        <f t="shared" si="254"/>
        <v>0</v>
      </c>
      <c r="R416" s="118">
        <f t="shared" si="251"/>
        <v>264.15000000000003</v>
      </c>
      <c r="S416" s="243">
        <f t="shared" si="253"/>
        <v>0</v>
      </c>
      <c r="T416" s="232">
        <f t="shared" si="252"/>
        <v>0</v>
      </c>
    </row>
    <row r="417" spans="1:20">
      <c r="A417" s="111" t="s">
        <v>137</v>
      </c>
      <c r="B417" s="123">
        <v>40502</v>
      </c>
      <c r="C417" s="111">
        <v>550</v>
      </c>
      <c r="D417" s="111"/>
      <c r="E417" s="111"/>
      <c r="F417" s="111"/>
      <c r="G417" s="114">
        <f t="shared" si="250"/>
        <v>27.5</v>
      </c>
      <c r="H417" s="111"/>
      <c r="I417" s="111"/>
      <c r="J417" s="111"/>
      <c r="K417" s="111">
        <f t="shared" si="244"/>
        <v>3419</v>
      </c>
      <c r="L417" s="114">
        <f t="shared" si="245"/>
        <v>9.367123287671232</v>
      </c>
      <c r="M417" s="221">
        <v>522.5</v>
      </c>
      <c r="N417" s="118">
        <f t="shared" si="246"/>
        <v>27.5</v>
      </c>
      <c r="O417" s="114">
        <f t="shared" si="247"/>
        <v>-6.367123287671232</v>
      </c>
      <c r="P417" s="114">
        <f t="shared" si="248"/>
        <v>0</v>
      </c>
      <c r="Q417" s="118">
        <f t="shared" si="254"/>
        <v>0</v>
      </c>
      <c r="R417" s="118">
        <f t="shared" si="251"/>
        <v>27.5</v>
      </c>
      <c r="S417" s="243">
        <f t="shared" si="253"/>
        <v>0</v>
      </c>
      <c r="T417" s="232">
        <f t="shared" si="252"/>
        <v>0</v>
      </c>
    </row>
    <row r="418" spans="1:20">
      <c r="A418" s="111" t="s">
        <v>137</v>
      </c>
      <c r="B418" s="123">
        <v>40657</v>
      </c>
      <c r="C418" s="322">
        <v>32000</v>
      </c>
      <c r="D418" s="111"/>
      <c r="E418" s="111"/>
      <c r="F418" s="111"/>
      <c r="G418" s="114">
        <f t="shared" si="250"/>
        <v>1600</v>
      </c>
      <c r="H418" s="111"/>
      <c r="I418" s="111"/>
      <c r="J418" s="111"/>
      <c r="K418" s="111">
        <f t="shared" si="244"/>
        <v>3264</v>
      </c>
      <c r="L418" s="114">
        <f t="shared" si="245"/>
        <v>8.9424657534246581</v>
      </c>
      <c r="M418" s="221">
        <v>30400</v>
      </c>
      <c r="N418" s="118">
        <f t="shared" si="246"/>
        <v>1600</v>
      </c>
      <c r="O418" s="114">
        <f t="shared" si="247"/>
        <v>-5.9424657534246581</v>
      </c>
      <c r="P418" s="114">
        <f t="shared" si="248"/>
        <v>0</v>
      </c>
      <c r="Q418" s="118">
        <f t="shared" si="254"/>
        <v>0</v>
      </c>
      <c r="R418" s="118">
        <f t="shared" ref="R418" si="255">N418-Q418</f>
        <v>1600</v>
      </c>
      <c r="S418" s="243">
        <f t="shared" si="253"/>
        <v>0</v>
      </c>
      <c r="T418" s="232">
        <f t="shared" si="252"/>
        <v>0</v>
      </c>
    </row>
    <row r="419" spans="1:20">
      <c r="A419" s="111" t="s">
        <v>137</v>
      </c>
      <c r="B419" s="123">
        <v>41387</v>
      </c>
      <c r="C419" s="322">
        <v>7170</v>
      </c>
      <c r="D419" s="111"/>
      <c r="E419" s="111"/>
      <c r="F419" s="111"/>
      <c r="G419" s="114">
        <f t="shared" si="250"/>
        <v>358.5</v>
      </c>
      <c r="H419" s="111"/>
      <c r="I419" s="111"/>
      <c r="J419" s="111"/>
      <c r="K419" s="111">
        <f t="shared" si="244"/>
        <v>2534</v>
      </c>
      <c r="L419" s="114">
        <f t="shared" si="245"/>
        <v>6.9424657534246572</v>
      </c>
      <c r="M419" s="221">
        <v>6811.5</v>
      </c>
      <c r="N419" s="118">
        <f t="shared" si="246"/>
        <v>358.5</v>
      </c>
      <c r="O419" s="114">
        <f t="shared" si="247"/>
        <v>-3.9424657534246572</v>
      </c>
      <c r="P419" s="114">
        <f t="shared" si="248"/>
        <v>0</v>
      </c>
      <c r="Q419" s="118">
        <f t="shared" si="254"/>
        <v>0</v>
      </c>
      <c r="R419" s="118">
        <f>N419-Q419</f>
        <v>358.5</v>
      </c>
      <c r="S419" s="243">
        <f t="shared" si="253"/>
        <v>0</v>
      </c>
      <c r="T419" s="232">
        <f t="shared" si="252"/>
        <v>0</v>
      </c>
    </row>
    <row r="420" spans="1:20">
      <c r="A420" s="111" t="s">
        <v>137</v>
      </c>
      <c r="B420" s="123">
        <v>41606</v>
      </c>
      <c r="C420" s="322">
        <v>39849</v>
      </c>
      <c r="D420" s="111"/>
      <c r="E420" s="111"/>
      <c r="F420" s="111"/>
      <c r="G420" s="114">
        <f t="shared" si="250"/>
        <v>1992.45</v>
      </c>
      <c r="H420" s="111"/>
      <c r="I420" s="111"/>
      <c r="J420" s="111"/>
      <c r="K420" s="111">
        <f t="shared" si="244"/>
        <v>2315</v>
      </c>
      <c r="L420" s="114">
        <f t="shared" si="245"/>
        <v>6.3424657534246576</v>
      </c>
      <c r="M420" s="221">
        <v>37856.550000000017</v>
      </c>
      <c r="N420" s="118">
        <f t="shared" si="246"/>
        <v>1992.4499999999825</v>
      </c>
      <c r="O420" s="114">
        <f t="shared" si="247"/>
        <v>-3.3424657534246576</v>
      </c>
      <c r="P420" s="114">
        <f t="shared" si="248"/>
        <v>-1.7507773009128869E-11</v>
      </c>
      <c r="Q420" s="118">
        <f t="shared" si="254"/>
        <v>5.2379812691246207E-12</v>
      </c>
      <c r="R420" s="118">
        <f>N420-Q420</f>
        <v>1992.4499999999773</v>
      </c>
      <c r="S420" s="243">
        <f>Q420-J420</f>
        <v>5.2379812691246207E-12</v>
      </c>
      <c r="T420" s="232">
        <f t="shared" si="252"/>
        <v>-1.0475962538249241E-11</v>
      </c>
    </row>
    <row r="421" spans="1:20">
      <c r="A421" s="111" t="s">
        <v>137</v>
      </c>
      <c r="B421" s="123">
        <v>41676</v>
      </c>
      <c r="C421" s="322">
        <v>68798</v>
      </c>
      <c r="D421" s="111"/>
      <c r="E421" s="111"/>
      <c r="F421" s="111"/>
      <c r="G421" s="114">
        <f t="shared" si="250"/>
        <v>3439.9</v>
      </c>
      <c r="H421" s="111"/>
      <c r="I421" s="111"/>
      <c r="J421" s="111"/>
      <c r="K421" s="111">
        <f t="shared" si="244"/>
        <v>2245</v>
      </c>
      <c r="L421" s="114">
        <f t="shared" si="245"/>
        <v>6.1506849315068495</v>
      </c>
      <c r="M421" s="221">
        <v>68671.880666724479</v>
      </c>
      <c r="N421" s="118">
        <f t="shared" si="246"/>
        <v>126.11933327552106</v>
      </c>
      <c r="O421" s="114">
        <f t="shared" si="247"/>
        <v>-3.1506849315068495</v>
      </c>
      <c r="P421" s="114">
        <v>0</v>
      </c>
      <c r="Q421" s="118">
        <f t="shared" si="254"/>
        <v>0</v>
      </c>
      <c r="R421" s="118">
        <f>N421-Q421</f>
        <v>126.11933327552106</v>
      </c>
      <c r="S421" s="243">
        <v>0</v>
      </c>
      <c r="T421" s="232">
        <f t="shared" si="252"/>
        <v>0</v>
      </c>
    </row>
    <row r="422" spans="1:20">
      <c r="A422" s="111" t="s">
        <v>137</v>
      </c>
      <c r="B422" s="123">
        <v>41704</v>
      </c>
      <c r="C422" s="322">
        <v>171124</v>
      </c>
      <c r="D422" s="111"/>
      <c r="E422" s="111"/>
      <c r="F422" s="111"/>
      <c r="G422" s="114">
        <f t="shared" si="250"/>
        <v>8556.2000000000007</v>
      </c>
      <c r="H422" s="111"/>
      <c r="I422" s="111"/>
      <c r="J422" s="111"/>
      <c r="K422" s="111">
        <f t="shared" si="244"/>
        <v>2217</v>
      </c>
      <c r="L422" s="114">
        <f t="shared" si="245"/>
        <v>6.0739726027397261</v>
      </c>
      <c r="M422" s="221">
        <v>166483.39517035085</v>
      </c>
      <c r="N422" s="118">
        <f t="shared" si="246"/>
        <v>4640.6048296491499</v>
      </c>
      <c r="O422" s="114">
        <f t="shared" si="247"/>
        <v>-3.0739726027397261</v>
      </c>
      <c r="P422" s="114">
        <v>0</v>
      </c>
      <c r="Q422" s="118">
        <f t="shared" si="254"/>
        <v>0</v>
      </c>
      <c r="R422" s="118">
        <f>N422-Q422</f>
        <v>4640.6048296491499</v>
      </c>
      <c r="S422" s="243">
        <v>0</v>
      </c>
      <c r="T422" s="232">
        <f t="shared" si="252"/>
        <v>0</v>
      </c>
    </row>
    <row r="423" spans="1:20">
      <c r="A423" s="144" t="s">
        <v>5</v>
      </c>
      <c r="B423" s="123">
        <v>41740</v>
      </c>
      <c r="C423" s="335">
        <v>27443</v>
      </c>
      <c r="D423" s="111"/>
      <c r="E423" s="111"/>
      <c r="F423" s="111"/>
      <c r="G423" s="114">
        <f t="shared" si="250"/>
        <v>1372.15</v>
      </c>
      <c r="H423" s="111"/>
      <c r="I423" s="111"/>
      <c r="J423" s="111"/>
      <c r="K423" s="111">
        <f t="shared" si="244"/>
        <v>2181</v>
      </c>
      <c r="L423" s="114">
        <f t="shared" si="245"/>
        <v>5.9753424657534246</v>
      </c>
      <c r="M423" s="221">
        <v>26070.85</v>
      </c>
      <c r="N423" s="118">
        <f t="shared" si="246"/>
        <v>1372.1500000000015</v>
      </c>
      <c r="O423" s="114">
        <f t="shared" si="247"/>
        <v>-2.9753424657534246</v>
      </c>
      <c r="P423" s="114">
        <f t="shared" si="248"/>
        <v>0</v>
      </c>
      <c r="Q423" s="118">
        <f t="shared" si="254"/>
        <v>0</v>
      </c>
      <c r="R423" s="118">
        <f t="shared" ref="R423:R433" si="256">N423-Q423</f>
        <v>1372.1500000000015</v>
      </c>
      <c r="S423" s="243">
        <f t="shared" si="253"/>
        <v>0</v>
      </c>
      <c r="T423" s="232">
        <f t="shared" si="252"/>
        <v>0</v>
      </c>
    </row>
    <row r="424" spans="1:20">
      <c r="A424" s="144" t="s">
        <v>5</v>
      </c>
      <c r="B424" s="123">
        <v>41743</v>
      </c>
      <c r="C424" s="335">
        <v>57543</v>
      </c>
      <c r="D424" s="111"/>
      <c r="E424" s="111"/>
      <c r="F424" s="111"/>
      <c r="G424" s="114">
        <f t="shared" si="250"/>
        <v>2877.15</v>
      </c>
      <c r="H424" s="111"/>
      <c r="I424" s="111"/>
      <c r="J424" s="111"/>
      <c r="K424" s="111">
        <f t="shared" ref="K424:K442" si="257">$K$2-B424</f>
        <v>2178</v>
      </c>
      <c r="L424" s="114">
        <f t="shared" si="245"/>
        <v>5.9671232876712326</v>
      </c>
      <c r="M424" s="221">
        <v>54665.85</v>
      </c>
      <c r="N424" s="118">
        <f t="shared" si="246"/>
        <v>2877.1500000000015</v>
      </c>
      <c r="O424" s="114">
        <f t="shared" si="247"/>
        <v>-2.9671232876712326</v>
      </c>
      <c r="P424" s="114">
        <f t="shared" si="248"/>
        <v>0</v>
      </c>
      <c r="Q424" s="118">
        <f t="shared" si="254"/>
        <v>0</v>
      </c>
      <c r="R424" s="118">
        <f t="shared" si="256"/>
        <v>2877.1500000000015</v>
      </c>
      <c r="S424" s="243">
        <f t="shared" si="253"/>
        <v>0</v>
      </c>
      <c r="T424" s="232">
        <f t="shared" si="252"/>
        <v>0</v>
      </c>
    </row>
    <row r="425" spans="1:20">
      <c r="A425" s="144" t="s">
        <v>5</v>
      </c>
      <c r="B425" s="123">
        <v>41764</v>
      </c>
      <c r="C425" s="335">
        <v>5900</v>
      </c>
      <c r="D425" s="111"/>
      <c r="E425" s="111"/>
      <c r="F425" s="111"/>
      <c r="G425" s="114">
        <f t="shared" si="250"/>
        <v>295</v>
      </c>
      <c r="H425" s="111"/>
      <c r="I425" s="111"/>
      <c r="J425" s="111"/>
      <c r="K425" s="111">
        <f t="shared" si="257"/>
        <v>2157</v>
      </c>
      <c r="L425" s="114">
        <f t="shared" si="245"/>
        <v>5.9095890410958907</v>
      </c>
      <c r="M425" s="221">
        <v>5605</v>
      </c>
      <c r="N425" s="118">
        <f t="shared" si="246"/>
        <v>295</v>
      </c>
      <c r="O425" s="114">
        <f t="shared" si="247"/>
        <v>-2.9095890410958907</v>
      </c>
      <c r="P425" s="114">
        <f t="shared" si="248"/>
        <v>0</v>
      </c>
      <c r="Q425" s="118">
        <f t="shared" si="254"/>
        <v>0</v>
      </c>
      <c r="R425" s="118">
        <f t="shared" si="256"/>
        <v>295</v>
      </c>
      <c r="S425" s="243">
        <f t="shared" si="253"/>
        <v>0</v>
      </c>
      <c r="T425" s="232">
        <f t="shared" si="252"/>
        <v>0</v>
      </c>
    </row>
    <row r="426" spans="1:20">
      <c r="A426" s="144" t="s">
        <v>5</v>
      </c>
      <c r="B426" s="123">
        <v>41772</v>
      </c>
      <c r="C426" s="335">
        <v>3500</v>
      </c>
      <c r="D426" s="111"/>
      <c r="E426" s="111"/>
      <c r="F426" s="111"/>
      <c r="G426" s="114">
        <f t="shared" si="250"/>
        <v>175</v>
      </c>
      <c r="H426" s="111"/>
      <c r="I426" s="111"/>
      <c r="J426" s="111"/>
      <c r="K426" s="111">
        <f t="shared" si="257"/>
        <v>2149</v>
      </c>
      <c r="L426" s="114">
        <f t="shared" si="245"/>
        <v>5.8876712328767127</v>
      </c>
      <c r="M426" s="221">
        <v>3325</v>
      </c>
      <c r="N426" s="118">
        <f t="shared" si="246"/>
        <v>175</v>
      </c>
      <c r="O426" s="114">
        <f t="shared" si="247"/>
        <v>-2.8876712328767127</v>
      </c>
      <c r="P426" s="114">
        <f t="shared" si="248"/>
        <v>0</v>
      </c>
      <c r="Q426" s="118">
        <f t="shared" si="254"/>
        <v>0</v>
      </c>
      <c r="R426" s="118">
        <f t="shared" si="256"/>
        <v>175</v>
      </c>
      <c r="S426" s="243">
        <f t="shared" si="253"/>
        <v>0</v>
      </c>
      <c r="T426" s="232">
        <f t="shared" si="252"/>
        <v>0</v>
      </c>
    </row>
    <row r="427" spans="1:20">
      <c r="A427" s="144" t="s">
        <v>5</v>
      </c>
      <c r="B427" s="123">
        <v>41808</v>
      </c>
      <c r="C427" s="335">
        <v>116400</v>
      </c>
      <c r="D427" s="111"/>
      <c r="E427" s="111"/>
      <c r="F427" s="111"/>
      <c r="G427" s="114">
        <f t="shared" si="250"/>
        <v>5820</v>
      </c>
      <c r="H427" s="111"/>
      <c r="I427" s="111"/>
      <c r="J427" s="111"/>
      <c r="K427" s="111">
        <f t="shared" si="257"/>
        <v>2113</v>
      </c>
      <c r="L427" s="114">
        <f t="shared" si="245"/>
        <v>5.7890410958904113</v>
      </c>
      <c r="M427" s="221">
        <v>110580</v>
      </c>
      <c r="N427" s="118">
        <f t="shared" si="246"/>
        <v>5820</v>
      </c>
      <c r="O427" s="114">
        <f t="shared" si="247"/>
        <v>-2.7890410958904113</v>
      </c>
      <c r="P427" s="114">
        <f t="shared" si="248"/>
        <v>0</v>
      </c>
      <c r="Q427" s="118">
        <f t="shared" si="254"/>
        <v>0</v>
      </c>
      <c r="R427" s="118">
        <f t="shared" si="256"/>
        <v>5820</v>
      </c>
      <c r="S427" s="243">
        <f t="shared" si="253"/>
        <v>0</v>
      </c>
      <c r="T427" s="232">
        <f t="shared" si="252"/>
        <v>0</v>
      </c>
    </row>
    <row r="428" spans="1:20">
      <c r="A428" s="144" t="s">
        <v>5</v>
      </c>
      <c r="B428" s="123">
        <v>41811</v>
      </c>
      <c r="C428" s="335">
        <v>7100</v>
      </c>
      <c r="D428" s="111"/>
      <c r="E428" s="111"/>
      <c r="F428" s="111"/>
      <c r="G428" s="114">
        <f t="shared" si="250"/>
        <v>355</v>
      </c>
      <c r="H428" s="111"/>
      <c r="I428" s="111"/>
      <c r="J428" s="111"/>
      <c r="K428" s="111">
        <f t="shared" si="257"/>
        <v>2110</v>
      </c>
      <c r="L428" s="114">
        <f t="shared" si="245"/>
        <v>5.7808219178082192</v>
      </c>
      <c r="M428" s="221">
        <v>6745</v>
      </c>
      <c r="N428" s="118">
        <f t="shared" si="246"/>
        <v>355</v>
      </c>
      <c r="O428" s="114">
        <f t="shared" si="247"/>
        <v>-2.7808219178082192</v>
      </c>
      <c r="P428" s="114">
        <f t="shared" si="248"/>
        <v>0</v>
      </c>
      <c r="Q428" s="118">
        <f t="shared" si="254"/>
        <v>0</v>
      </c>
      <c r="R428" s="118">
        <f t="shared" si="256"/>
        <v>355</v>
      </c>
      <c r="S428" s="243">
        <f t="shared" si="253"/>
        <v>0</v>
      </c>
      <c r="T428" s="232">
        <f t="shared" si="252"/>
        <v>0</v>
      </c>
    </row>
    <row r="429" spans="1:20">
      <c r="A429" s="144" t="s">
        <v>5</v>
      </c>
      <c r="B429" s="123">
        <v>41950</v>
      </c>
      <c r="C429" s="335">
        <v>23890</v>
      </c>
      <c r="D429" s="111"/>
      <c r="E429" s="111"/>
      <c r="F429" s="111"/>
      <c r="G429" s="114">
        <f t="shared" si="250"/>
        <v>1194.5</v>
      </c>
      <c r="H429" s="111"/>
      <c r="I429" s="111"/>
      <c r="J429" s="111"/>
      <c r="K429" s="111">
        <f t="shared" si="257"/>
        <v>1971</v>
      </c>
      <c r="L429" s="114">
        <f t="shared" si="245"/>
        <v>5.4</v>
      </c>
      <c r="M429" s="221">
        <v>22695.5</v>
      </c>
      <c r="N429" s="118">
        <f t="shared" si="246"/>
        <v>1194.5</v>
      </c>
      <c r="O429" s="114">
        <f t="shared" si="247"/>
        <v>-2.4000000000000004</v>
      </c>
      <c r="P429" s="114">
        <f t="shared" si="248"/>
        <v>0</v>
      </c>
      <c r="Q429" s="118">
        <f t="shared" si="254"/>
        <v>0</v>
      </c>
      <c r="R429" s="118">
        <f t="shared" si="256"/>
        <v>1194.5</v>
      </c>
      <c r="S429" s="243">
        <f t="shared" si="253"/>
        <v>0</v>
      </c>
      <c r="T429" s="232">
        <f t="shared" si="252"/>
        <v>0</v>
      </c>
    </row>
    <row r="430" spans="1:20">
      <c r="A430" s="144" t="s">
        <v>5</v>
      </c>
      <c r="B430" s="123">
        <v>41951</v>
      </c>
      <c r="C430" s="335">
        <v>16800</v>
      </c>
      <c r="D430" s="111"/>
      <c r="E430" s="111"/>
      <c r="F430" s="111"/>
      <c r="G430" s="114">
        <f t="shared" si="250"/>
        <v>840</v>
      </c>
      <c r="H430" s="111"/>
      <c r="I430" s="111"/>
      <c r="J430" s="111"/>
      <c r="K430" s="111">
        <f t="shared" si="257"/>
        <v>1970</v>
      </c>
      <c r="L430" s="114">
        <f t="shared" si="245"/>
        <v>5.397260273972603</v>
      </c>
      <c r="M430" s="221">
        <v>15960</v>
      </c>
      <c r="N430" s="118">
        <f t="shared" si="246"/>
        <v>840</v>
      </c>
      <c r="O430" s="114">
        <f t="shared" si="247"/>
        <v>-2.397260273972603</v>
      </c>
      <c r="P430" s="114">
        <f t="shared" si="248"/>
        <v>0</v>
      </c>
      <c r="Q430" s="118">
        <f t="shared" si="254"/>
        <v>0</v>
      </c>
      <c r="R430" s="118">
        <f t="shared" si="256"/>
        <v>840</v>
      </c>
      <c r="S430" s="243">
        <f t="shared" si="253"/>
        <v>0</v>
      </c>
      <c r="T430" s="232">
        <f t="shared" si="252"/>
        <v>0</v>
      </c>
    </row>
    <row r="431" spans="1:20" ht="15">
      <c r="A431" s="140" t="s">
        <v>138</v>
      </c>
      <c r="B431" s="123">
        <v>42242</v>
      </c>
      <c r="C431" s="326">
        <v>7670</v>
      </c>
      <c r="D431" s="111"/>
      <c r="E431" s="111"/>
      <c r="F431" s="111"/>
      <c r="G431" s="114">
        <f t="shared" si="250"/>
        <v>383.5</v>
      </c>
      <c r="H431" s="111"/>
      <c r="I431" s="111"/>
      <c r="J431" s="111"/>
      <c r="K431" s="111">
        <f t="shared" si="257"/>
        <v>1679</v>
      </c>
      <c r="L431" s="114">
        <f t="shared" si="245"/>
        <v>4.5999999999999996</v>
      </c>
      <c r="M431" s="323">
        <v>7286.5</v>
      </c>
      <c r="N431" s="118">
        <f t="shared" si="246"/>
        <v>383.5</v>
      </c>
      <c r="O431" s="114">
        <f t="shared" si="247"/>
        <v>-1.5999999999999996</v>
      </c>
      <c r="P431" s="114">
        <f t="shared" si="248"/>
        <v>0</v>
      </c>
      <c r="Q431" s="118">
        <f>P431</f>
        <v>0</v>
      </c>
      <c r="R431" s="118">
        <f t="shared" si="256"/>
        <v>383.5</v>
      </c>
      <c r="S431" s="243">
        <f t="shared" si="253"/>
        <v>0</v>
      </c>
      <c r="T431" s="232">
        <f t="shared" si="252"/>
        <v>0</v>
      </c>
    </row>
    <row r="432" spans="1:20" ht="15">
      <c r="A432" s="140" t="s">
        <v>139</v>
      </c>
      <c r="B432" s="123">
        <v>42257</v>
      </c>
      <c r="C432" s="326">
        <v>8138</v>
      </c>
      <c r="D432" s="111"/>
      <c r="E432" s="111"/>
      <c r="F432" s="111"/>
      <c r="G432" s="114">
        <f t="shared" si="250"/>
        <v>406.90000000000003</v>
      </c>
      <c r="H432" s="111"/>
      <c r="I432" s="111"/>
      <c r="J432" s="111"/>
      <c r="K432" s="111">
        <f t="shared" si="257"/>
        <v>1664</v>
      </c>
      <c r="L432" s="114">
        <f t="shared" si="245"/>
        <v>4.558904109589041</v>
      </c>
      <c r="M432" s="323">
        <v>7731.1</v>
      </c>
      <c r="N432" s="118">
        <f t="shared" si="246"/>
        <v>406.89999999999964</v>
      </c>
      <c r="O432" s="114">
        <f t="shared" si="247"/>
        <v>-1.558904109589041</v>
      </c>
      <c r="P432" s="114">
        <f t="shared" si="248"/>
        <v>0</v>
      </c>
      <c r="Q432" s="118">
        <f>P432</f>
        <v>0</v>
      </c>
      <c r="R432" s="118">
        <f t="shared" si="256"/>
        <v>406.89999999999964</v>
      </c>
      <c r="S432" s="243">
        <f t="shared" si="253"/>
        <v>0</v>
      </c>
      <c r="T432" s="232">
        <f t="shared" si="252"/>
        <v>0</v>
      </c>
    </row>
    <row r="433" spans="1:21" ht="15">
      <c r="A433" s="140" t="s">
        <v>139</v>
      </c>
      <c r="B433" s="123">
        <v>42275</v>
      </c>
      <c r="C433" s="326">
        <v>17736</v>
      </c>
      <c r="D433" s="111"/>
      <c r="E433" s="111"/>
      <c r="F433" s="111"/>
      <c r="G433" s="114">
        <f t="shared" si="250"/>
        <v>886.80000000000007</v>
      </c>
      <c r="H433" s="111"/>
      <c r="I433" s="111"/>
      <c r="J433" s="111"/>
      <c r="K433" s="111">
        <f t="shared" si="257"/>
        <v>1646</v>
      </c>
      <c r="L433" s="114">
        <f t="shared" si="245"/>
        <v>4.5095890410958903</v>
      </c>
      <c r="M433" s="323">
        <v>16849.2</v>
      </c>
      <c r="N433" s="118">
        <f t="shared" si="246"/>
        <v>886.79999999999927</v>
      </c>
      <c r="O433" s="114">
        <f t="shared" si="247"/>
        <v>-1.5095890410958903</v>
      </c>
      <c r="P433" s="114">
        <f t="shared" si="248"/>
        <v>0</v>
      </c>
      <c r="Q433" s="118">
        <f>P433</f>
        <v>0</v>
      </c>
      <c r="R433" s="118">
        <f t="shared" si="256"/>
        <v>886.79999999999927</v>
      </c>
      <c r="S433" s="243">
        <f t="shared" si="253"/>
        <v>0</v>
      </c>
      <c r="T433" s="232">
        <f t="shared" si="252"/>
        <v>0</v>
      </c>
    </row>
    <row r="434" spans="1:21" ht="15">
      <c r="A434" s="307" t="s">
        <v>161</v>
      </c>
      <c r="B434" s="285">
        <v>42873</v>
      </c>
      <c r="C434" s="326">
        <v>31630</v>
      </c>
      <c r="D434" s="282"/>
      <c r="E434" s="282"/>
      <c r="F434" s="282"/>
      <c r="G434" s="278">
        <f t="shared" ref="G434:G441" si="258">C434*5%</f>
        <v>1581.5</v>
      </c>
      <c r="H434" s="282"/>
      <c r="I434" s="282"/>
      <c r="J434" s="282"/>
      <c r="K434" s="282">
        <f t="shared" si="257"/>
        <v>1048</v>
      </c>
      <c r="L434" s="278">
        <f t="shared" ref="L434:L441" si="259">K434/365</f>
        <v>2.871232876712329</v>
      </c>
      <c r="M434" s="323">
        <f>-([1]Sheet1!$G$328+[1]Sheet1!$G$329)</f>
        <v>28731.32</v>
      </c>
      <c r="N434" s="279">
        <f t="shared" ref="N434" si="260">C434-M434</f>
        <v>2898.6800000000003</v>
      </c>
      <c r="O434" s="278">
        <f t="shared" ref="O434" si="261">$O$391-L434</f>
        <v>0.12876712328767104</v>
      </c>
      <c r="P434" s="278">
        <f t="shared" ref="P434" si="262">N434-G434</f>
        <v>1317.1800000000003</v>
      </c>
      <c r="Q434" s="279">
        <f>+N434-G434</f>
        <v>1317.1800000000003</v>
      </c>
      <c r="R434" s="279">
        <f t="shared" ref="R434" si="263">N434-Q434</f>
        <v>1581.5</v>
      </c>
      <c r="S434" s="337">
        <f>([1]Sheet1!$I$328+[1]Sheet1!$I$329)</f>
        <v>-1289.75</v>
      </c>
      <c r="T434" s="232">
        <f t="shared" si="252"/>
        <v>-27.430000000000291</v>
      </c>
    </row>
    <row r="435" spans="1:21">
      <c r="A435" s="284" t="s">
        <v>160</v>
      </c>
      <c r="B435" s="285">
        <v>43470</v>
      </c>
      <c r="C435" s="329">
        <v>36300</v>
      </c>
      <c r="D435" s="282"/>
      <c r="E435" s="282"/>
      <c r="F435" s="282"/>
      <c r="G435" s="278">
        <f t="shared" si="258"/>
        <v>1815</v>
      </c>
      <c r="H435" s="282"/>
      <c r="I435" s="282"/>
      <c r="J435" s="282"/>
      <c r="K435" s="282">
        <f t="shared" si="257"/>
        <v>451</v>
      </c>
      <c r="L435" s="278">
        <f t="shared" si="259"/>
        <v>1.2356164383561643</v>
      </c>
      <c r="M435" s="323">
        <v>14171.77</v>
      </c>
      <c r="N435" s="279">
        <f t="shared" ref="N435:N441" si="264">C435-M435</f>
        <v>22128.23</v>
      </c>
      <c r="O435" s="278">
        <f t="shared" ref="O435:O442" si="265">$O$391-L435</f>
        <v>1.7643835616438357</v>
      </c>
      <c r="P435" s="278">
        <f t="shared" ref="P435:P441" si="266">N435-G435</f>
        <v>20313.23</v>
      </c>
      <c r="Q435" s="279">
        <f t="shared" ref="Q435:Q441" si="267">P435/O435</f>
        <v>11512.933152173911</v>
      </c>
      <c r="R435" s="279">
        <f t="shared" ref="R435:R441" si="268">N435-Q435</f>
        <v>10615.296847826088</v>
      </c>
      <c r="S435" s="337">
        <f>+SUM([1]Sheet1!$I$331:$I$339)</f>
        <v>-11495</v>
      </c>
      <c r="T435" s="232">
        <f t="shared" si="252"/>
        <v>-17.933152173911367</v>
      </c>
    </row>
    <row r="436" spans="1:21" ht="15">
      <c r="A436" s="309" t="s">
        <v>160</v>
      </c>
      <c r="B436" s="310">
        <v>43514</v>
      </c>
      <c r="C436" s="339">
        <v>16525</v>
      </c>
      <c r="D436" s="311"/>
      <c r="E436" s="311"/>
      <c r="F436" s="311"/>
      <c r="G436" s="312">
        <f t="shared" si="258"/>
        <v>826.25</v>
      </c>
      <c r="H436" s="311"/>
      <c r="I436" s="311"/>
      <c r="J436" s="311"/>
      <c r="K436" s="311">
        <f t="shared" si="257"/>
        <v>407</v>
      </c>
      <c r="L436" s="312">
        <f t="shared" si="259"/>
        <v>1.1150684931506849</v>
      </c>
      <c r="M436" s="332">
        <v>5820.72</v>
      </c>
      <c r="N436" s="313">
        <f t="shared" si="264"/>
        <v>10704.279999999999</v>
      </c>
      <c r="O436" s="312">
        <f t="shared" si="265"/>
        <v>1.8849315068493151</v>
      </c>
      <c r="P436" s="312">
        <f t="shared" si="266"/>
        <v>9878.0299999999988</v>
      </c>
      <c r="Q436" s="313">
        <f t="shared" si="267"/>
        <v>5240.5246366279061</v>
      </c>
      <c r="R436" s="313">
        <f t="shared" si="268"/>
        <v>5463.7553633720927</v>
      </c>
      <c r="S436" s="338">
        <f>+[1]Sheet1!$I$342</f>
        <v>-5232.92</v>
      </c>
      <c r="T436" s="250">
        <f t="shared" si="252"/>
        <v>-7.6046366279060749</v>
      </c>
      <c r="U436" s="205"/>
    </row>
    <row r="437" spans="1:21">
      <c r="A437" s="284" t="s">
        <v>162</v>
      </c>
      <c r="B437" s="285">
        <v>43543</v>
      </c>
      <c r="C437" s="329">
        <v>13100</v>
      </c>
      <c r="D437" s="282"/>
      <c r="E437" s="282"/>
      <c r="F437" s="282"/>
      <c r="G437" s="278">
        <f t="shared" si="258"/>
        <v>655</v>
      </c>
      <c r="H437" s="282"/>
      <c r="I437" s="282"/>
      <c r="J437" s="282"/>
      <c r="K437" s="282">
        <f t="shared" si="257"/>
        <v>378</v>
      </c>
      <c r="L437" s="278">
        <f t="shared" si="259"/>
        <v>1.0356164383561643</v>
      </c>
      <c r="M437" s="323">
        <f>-([1]Sheet1!$G$345+[1]Sheet1!$G$346)</f>
        <v>4284.71</v>
      </c>
      <c r="N437" s="279">
        <f t="shared" si="264"/>
        <v>8815.2900000000009</v>
      </c>
      <c r="O437" s="278">
        <f t="shared" si="265"/>
        <v>1.9643835616438357</v>
      </c>
      <c r="P437" s="278">
        <f t="shared" si="266"/>
        <v>8160.2900000000009</v>
      </c>
      <c r="Q437" s="279">
        <f t="shared" si="267"/>
        <v>4154.122524407253</v>
      </c>
      <c r="R437" s="279">
        <f t="shared" si="268"/>
        <v>4661.1674755927479</v>
      </c>
      <c r="S437" s="337">
        <f>([1]Sheet1!$I$345+[1]Sheet1!$I$346)</f>
        <v>-4148.33</v>
      </c>
      <c r="T437" s="232">
        <f t="shared" si="252"/>
        <v>-5.7925244072530404</v>
      </c>
    </row>
    <row r="438" spans="1:21">
      <c r="A438" s="284" t="s">
        <v>163</v>
      </c>
      <c r="B438" s="285">
        <v>43432</v>
      </c>
      <c r="C438" s="329">
        <v>22034</v>
      </c>
      <c r="D438" s="282"/>
      <c r="E438" s="282"/>
      <c r="F438" s="282"/>
      <c r="G438" s="278">
        <f t="shared" si="258"/>
        <v>1101.7</v>
      </c>
      <c r="H438" s="282"/>
      <c r="I438" s="282"/>
      <c r="J438" s="282"/>
      <c r="K438" s="282">
        <f t="shared" si="257"/>
        <v>489</v>
      </c>
      <c r="L438" s="278">
        <f t="shared" si="259"/>
        <v>1.3397260273972602</v>
      </c>
      <c r="M438" s="323">
        <f>-[1]Sheet1!$G$330</f>
        <v>9328.73</v>
      </c>
      <c r="N438" s="279">
        <f t="shared" si="264"/>
        <v>12705.27</v>
      </c>
      <c r="O438" s="278">
        <f t="shared" si="265"/>
        <v>1.6602739726027398</v>
      </c>
      <c r="P438" s="278">
        <f t="shared" si="266"/>
        <v>11603.57</v>
      </c>
      <c r="Q438" s="279">
        <f t="shared" si="267"/>
        <v>6988.9489273927393</v>
      </c>
      <c r="R438" s="279">
        <f t="shared" si="268"/>
        <v>5716.3210726072612</v>
      </c>
      <c r="S438" s="337">
        <f>([1]Sheet1!$I$330)</f>
        <v>-6977.43</v>
      </c>
      <c r="T438" s="232">
        <f t="shared" si="252"/>
        <v>-11.518927392738988</v>
      </c>
    </row>
    <row r="439" spans="1:21">
      <c r="A439" s="284" t="s">
        <v>163</v>
      </c>
      <c r="B439" s="285">
        <v>43510</v>
      </c>
      <c r="C439" s="329">
        <v>20169.490000000002</v>
      </c>
      <c r="D439" s="282"/>
      <c r="E439" s="282"/>
      <c r="F439" s="282"/>
      <c r="G439" s="278">
        <f t="shared" si="258"/>
        <v>1008.4745000000001</v>
      </c>
      <c r="H439" s="282"/>
      <c r="I439" s="282"/>
      <c r="J439" s="282"/>
      <c r="K439" s="282">
        <f t="shared" si="257"/>
        <v>411</v>
      </c>
      <c r="L439" s="278">
        <f t="shared" si="259"/>
        <v>1.1260273972602739</v>
      </c>
      <c r="M439" s="323">
        <f>-[1]Sheet1!$G$341</f>
        <v>7174.45</v>
      </c>
      <c r="N439" s="279">
        <f t="shared" si="264"/>
        <v>12995.04</v>
      </c>
      <c r="O439" s="278">
        <f t="shared" si="265"/>
        <v>1.8739726027397261</v>
      </c>
      <c r="P439" s="278">
        <f t="shared" si="266"/>
        <v>11986.565500000001</v>
      </c>
      <c r="Q439" s="279">
        <f t="shared" si="267"/>
        <v>6396.3397770467836</v>
      </c>
      <c r="R439" s="279">
        <f t="shared" si="268"/>
        <v>6598.7002229532172</v>
      </c>
      <c r="S439" s="337">
        <f>+[1]Sheet1!$I$341</f>
        <v>-6387.01</v>
      </c>
      <c r="T439" s="232">
        <f t="shared" si="252"/>
        <v>-9.3297770467834198</v>
      </c>
    </row>
    <row r="440" spans="1:21">
      <c r="A440" s="284" t="s">
        <v>163</v>
      </c>
      <c r="B440" s="285">
        <v>43510</v>
      </c>
      <c r="C440" s="329">
        <v>20169.490000000002</v>
      </c>
      <c r="D440" s="282"/>
      <c r="E440" s="282"/>
      <c r="F440" s="282"/>
      <c r="G440" s="278">
        <f t="shared" si="258"/>
        <v>1008.4745000000001</v>
      </c>
      <c r="H440" s="282"/>
      <c r="I440" s="282"/>
      <c r="J440" s="282"/>
      <c r="K440" s="282">
        <f t="shared" si="257"/>
        <v>411</v>
      </c>
      <c r="L440" s="278">
        <f t="shared" si="259"/>
        <v>1.1260273972602739</v>
      </c>
      <c r="M440" s="323">
        <f>-[1]Sheet1!$G$343</f>
        <v>7174.45</v>
      </c>
      <c r="N440" s="279">
        <f t="shared" si="264"/>
        <v>12995.04</v>
      </c>
      <c r="O440" s="278">
        <f t="shared" si="265"/>
        <v>1.8739726027397261</v>
      </c>
      <c r="P440" s="278">
        <f t="shared" si="266"/>
        <v>11986.565500000001</v>
      </c>
      <c r="Q440" s="279">
        <f t="shared" si="267"/>
        <v>6396.3397770467836</v>
      </c>
      <c r="R440" s="279">
        <f t="shared" si="268"/>
        <v>6598.7002229532172</v>
      </c>
      <c r="S440" s="337">
        <f>+[1]Sheet1!$I$343</f>
        <v>-6387.01</v>
      </c>
      <c r="T440" s="232">
        <f t="shared" si="252"/>
        <v>-9.3297770467834198</v>
      </c>
    </row>
    <row r="441" spans="1:21">
      <c r="A441" s="284" t="s">
        <v>164</v>
      </c>
      <c r="B441" s="285">
        <v>43509</v>
      </c>
      <c r="C441" s="329">
        <v>7797</v>
      </c>
      <c r="D441" s="282"/>
      <c r="E441" s="282"/>
      <c r="F441" s="282"/>
      <c r="G441" s="278">
        <f t="shared" si="258"/>
        <v>389.85</v>
      </c>
      <c r="H441" s="282"/>
      <c r="I441" s="282"/>
      <c r="J441" s="282"/>
      <c r="K441" s="282">
        <f t="shared" si="257"/>
        <v>412</v>
      </c>
      <c r="L441" s="278">
        <f t="shared" si="259"/>
        <v>1.1287671232876713</v>
      </c>
      <c r="M441" s="323">
        <f>-[1]Sheet1!$G$340</f>
        <v>2780.22</v>
      </c>
      <c r="N441" s="279">
        <f t="shared" si="264"/>
        <v>5016.7800000000007</v>
      </c>
      <c r="O441" s="278">
        <f t="shared" si="265"/>
        <v>1.8712328767123287</v>
      </c>
      <c r="P441" s="278">
        <f t="shared" si="266"/>
        <v>4626.93</v>
      </c>
      <c r="Q441" s="279">
        <f t="shared" si="267"/>
        <v>2472.6639092240121</v>
      </c>
      <c r="R441" s="279">
        <f t="shared" si="268"/>
        <v>2544.1160907759886</v>
      </c>
      <c r="S441" s="337">
        <f>+[1]Sheet1!$I$340</f>
        <v>-2469.0500000000002</v>
      </c>
      <c r="T441" s="232">
        <f t="shared" si="252"/>
        <v>-3.6139092240118771</v>
      </c>
    </row>
    <row r="442" spans="1:21">
      <c r="A442" s="284" t="s">
        <v>164</v>
      </c>
      <c r="B442" s="285">
        <v>43523</v>
      </c>
      <c r="C442" s="329">
        <v>8630</v>
      </c>
      <c r="D442" s="282"/>
      <c r="E442" s="282"/>
      <c r="F442" s="282"/>
      <c r="G442" s="278">
        <f t="shared" ref="G442" si="269">C442*5%</f>
        <v>431.5</v>
      </c>
      <c r="H442" s="282"/>
      <c r="I442" s="282"/>
      <c r="J442" s="282"/>
      <c r="K442" s="282">
        <f t="shared" si="257"/>
        <v>398</v>
      </c>
      <c r="L442" s="278">
        <f t="shared" ref="L442" si="270">K442/365</f>
        <v>1.0904109589041096</v>
      </c>
      <c r="M442" s="323">
        <f>-[1]Sheet1!$G$344</f>
        <v>2972.42</v>
      </c>
      <c r="N442" s="279">
        <f t="shared" ref="N442" si="271">C442-M442</f>
        <v>5657.58</v>
      </c>
      <c r="O442" s="278">
        <f t="shared" si="265"/>
        <v>1.9095890410958904</v>
      </c>
      <c r="P442" s="278">
        <f t="shared" ref="P442" si="272">N442-G442</f>
        <v>5226.08</v>
      </c>
      <c r="Q442" s="279">
        <f t="shared" ref="Q442" si="273">P442/O442</f>
        <v>2736.7563845050213</v>
      </c>
      <c r="R442" s="279">
        <f t="shared" ref="R442" si="274">N442-Q442</f>
        <v>2920.8236154949786</v>
      </c>
      <c r="S442" s="337">
        <f>[1]Sheet1!$I$344</f>
        <v>-2732.83</v>
      </c>
      <c r="T442" s="232">
        <f t="shared" si="252"/>
        <v>-3.9263845050213604</v>
      </c>
    </row>
    <row r="443" spans="1:21">
      <c r="A443" s="291" t="s">
        <v>330</v>
      </c>
      <c r="B443" s="292">
        <v>43555</v>
      </c>
      <c r="C443" s="331">
        <v>31000</v>
      </c>
      <c r="D443" s="282"/>
      <c r="E443" s="282"/>
      <c r="F443" s="282"/>
      <c r="G443" s="278">
        <f t="shared" ref="G443:G469" si="275">C443*5%</f>
        <v>1550</v>
      </c>
      <c r="H443" s="282"/>
      <c r="I443" s="282"/>
      <c r="J443" s="282"/>
      <c r="K443" s="282">
        <f t="shared" ref="K443:K469" si="276">$K$2-B443</f>
        <v>366</v>
      </c>
      <c r="L443" s="278">
        <f t="shared" ref="L443:L469" si="277">K443/365</f>
        <v>1.0027397260273974</v>
      </c>
      <c r="M443" s="331">
        <v>9816.67</v>
      </c>
      <c r="N443" s="279">
        <f t="shared" ref="N443:N469" si="278">C443-M443</f>
        <v>21183.33</v>
      </c>
      <c r="O443" s="278">
        <f t="shared" ref="O443:O469" si="279">$O$391-L443</f>
        <v>1.9972602739726026</v>
      </c>
      <c r="P443" s="278">
        <f t="shared" ref="P443:P469" si="280">N443-G443</f>
        <v>19633.330000000002</v>
      </c>
      <c r="Q443" s="279">
        <f t="shared" ref="Q443:Q469" si="281">P443/O443</f>
        <v>9830.1309327846375</v>
      </c>
      <c r="R443" s="279">
        <f t="shared" ref="R443:R469" si="282">N443-Q443</f>
        <v>11353.199067215364</v>
      </c>
      <c r="S443" s="337">
        <f>+[1]Sheet1!$I$347</f>
        <v>-9816.67</v>
      </c>
      <c r="T443" s="232">
        <f t="shared" si="252"/>
        <v>-13.460932784637407</v>
      </c>
    </row>
    <row r="444" spans="1:21">
      <c r="A444" s="291" t="s">
        <v>281</v>
      </c>
      <c r="B444" s="292">
        <v>43556</v>
      </c>
      <c r="C444" s="331">
        <v>29850</v>
      </c>
      <c r="D444" s="282"/>
      <c r="E444" s="282"/>
      <c r="F444" s="282"/>
      <c r="G444" s="278">
        <f t="shared" si="275"/>
        <v>1492.5</v>
      </c>
      <c r="H444" s="282"/>
      <c r="I444" s="282"/>
      <c r="J444" s="282"/>
      <c r="K444" s="282">
        <f t="shared" si="276"/>
        <v>365</v>
      </c>
      <c r="L444" s="278">
        <f t="shared" si="277"/>
        <v>1</v>
      </c>
      <c r="M444" s="331">
        <v>9452.5</v>
      </c>
      <c r="N444" s="279">
        <f t="shared" si="278"/>
        <v>20397.5</v>
      </c>
      <c r="O444" s="278">
        <f t="shared" si="279"/>
        <v>2</v>
      </c>
      <c r="P444" s="278">
        <f t="shared" si="280"/>
        <v>18905</v>
      </c>
      <c r="Q444" s="279">
        <f t="shared" si="281"/>
        <v>9452.5</v>
      </c>
      <c r="R444" s="279">
        <f t="shared" si="282"/>
        <v>10945</v>
      </c>
      <c r="S444" s="337">
        <f>+[1]Sheet1!$I$348</f>
        <v>-9452.5</v>
      </c>
      <c r="T444" s="232">
        <f t="shared" si="252"/>
        <v>0</v>
      </c>
    </row>
    <row r="445" spans="1:21">
      <c r="A445" s="291" t="s">
        <v>282</v>
      </c>
      <c r="B445" s="292">
        <v>43556</v>
      </c>
      <c r="C445" s="331">
        <v>7100</v>
      </c>
      <c r="D445" s="282"/>
      <c r="E445" s="282"/>
      <c r="F445" s="282"/>
      <c r="G445" s="278">
        <f t="shared" si="275"/>
        <v>355</v>
      </c>
      <c r="H445" s="282"/>
      <c r="I445" s="282"/>
      <c r="J445" s="282"/>
      <c r="K445" s="282">
        <f t="shared" si="276"/>
        <v>365</v>
      </c>
      <c r="L445" s="278">
        <f t="shared" si="277"/>
        <v>1</v>
      </c>
      <c r="M445" s="331">
        <v>2248.33</v>
      </c>
      <c r="N445" s="279">
        <f t="shared" si="278"/>
        <v>4851.67</v>
      </c>
      <c r="O445" s="278">
        <f t="shared" si="279"/>
        <v>2</v>
      </c>
      <c r="P445" s="278">
        <f t="shared" si="280"/>
        <v>4496.67</v>
      </c>
      <c r="Q445" s="279">
        <f t="shared" si="281"/>
        <v>2248.335</v>
      </c>
      <c r="R445" s="279">
        <f t="shared" si="282"/>
        <v>2603.335</v>
      </c>
      <c r="S445" s="337">
        <f>+[1]Sheet1!$I$349</f>
        <v>-2248.33</v>
      </c>
      <c r="T445" s="232">
        <f t="shared" si="252"/>
        <v>-5.0000000001091394E-3</v>
      </c>
    </row>
    <row r="446" spans="1:21">
      <c r="A446" s="291" t="s">
        <v>283</v>
      </c>
      <c r="B446" s="292">
        <v>43556</v>
      </c>
      <c r="C446" s="331">
        <v>44900</v>
      </c>
      <c r="D446" s="282"/>
      <c r="E446" s="282"/>
      <c r="F446" s="282"/>
      <c r="G446" s="278">
        <f t="shared" si="275"/>
        <v>2245</v>
      </c>
      <c r="H446" s="282"/>
      <c r="I446" s="282"/>
      <c r="J446" s="282"/>
      <c r="K446" s="282">
        <f t="shared" si="276"/>
        <v>365</v>
      </c>
      <c r="L446" s="278">
        <f t="shared" si="277"/>
        <v>1</v>
      </c>
      <c r="M446" s="331">
        <v>14218.33</v>
      </c>
      <c r="N446" s="279">
        <f t="shared" si="278"/>
        <v>30681.67</v>
      </c>
      <c r="O446" s="278">
        <f t="shared" si="279"/>
        <v>2</v>
      </c>
      <c r="P446" s="278">
        <f t="shared" si="280"/>
        <v>28436.67</v>
      </c>
      <c r="Q446" s="279">
        <f t="shared" si="281"/>
        <v>14218.334999999999</v>
      </c>
      <c r="R446" s="279">
        <f t="shared" si="282"/>
        <v>16463.334999999999</v>
      </c>
      <c r="S446" s="337">
        <f>+[1]Sheet1!$I$350</f>
        <v>-14218.33</v>
      </c>
      <c r="T446" s="232">
        <f t="shared" si="252"/>
        <v>-4.9999999991996447E-3</v>
      </c>
    </row>
    <row r="447" spans="1:21">
      <c r="A447" s="291" t="s">
        <v>273</v>
      </c>
      <c r="B447" s="292">
        <v>43607</v>
      </c>
      <c r="C447" s="331">
        <v>43500</v>
      </c>
      <c r="D447" s="282"/>
      <c r="E447" s="282"/>
      <c r="F447" s="282"/>
      <c r="G447" s="278">
        <f t="shared" si="275"/>
        <v>2175</v>
      </c>
      <c r="H447" s="282"/>
      <c r="I447" s="282"/>
      <c r="J447" s="282"/>
      <c r="K447" s="282">
        <f t="shared" si="276"/>
        <v>314</v>
      </c>
      <c r="L447" s="278">
        <f t="shared" si="277"/>
        <v>0.86027397260273974</v>
      </c>
      <c r="M447" s="331">
        <v>11855.53</v>
      </c>
      <c r="N447" s="279">
        <f t="shared" si="278"/>
        <v>31644.47</v>
      </c>
      <c r="O447" s="278">
        <f t="shared" si="279"/>
        <v>2.13972602739726</v>
      </c>
      <c r="P447" s="278">
        <f t="shared" si="280"/>
        <v>29469.47</v>
      </c>
      <c r="Q447" s="279">
        <f t="shared" si="281"/>
        <v>13772.543597951346</v>
      </c>
      <c r="R447" s="279">
        <f t="shared" si="282"/>
        <v>17871.926402048655</v>
      </c>
      <c r="S447" s="337">
        <f>+[1]Sheet1!$I$351</f>
        <v>-13775</v>
      </c>
      <c r="T447" s="232">
        <f t="shared" si="252"/>
        <v>2.4564020486541267</v>
      </c>
    </row>
    <row r="448" spans="1:21">
      <c r="A448" s="291" t="s">
        <v>274</v>
      </c>
      <c r="B448" s="292">
        <v>43631</v>
      </c>
      <c r="C448" s="331">
        <v>141357</v>
      </c>
      <c r="D448" s="282"/>
      <c r="E448" s="282"/>
      <c r="F448" s="282"/>
      <c r="G448" s="278">
        <f t="shared" si="275"/>
        <v>7067.85</v>
      </c>
      <c r="H448" s="282"/>
      <c r="I448" s="282"/>
      <c r="J448" s="282"/>
      <c r="K448" s="282">
        <f t="shared" si="276"/>
        <v>290</v>
      </c>
      <c r="L448" s="278">
        <f t="shared" si="277"/>
        <v>0.79452054794520544</v>
      </c>
      <c r="M448" s="331">
        <v>35590.29</v>
      </c>
      <c r="N448" s="279">
        <f t="shared" si="278"/>
        <v>105766.70999999999</v>
      </c>
      <c r="O448" s="278">
        <f t="shared" si="279"/>
        <v>2.2054794520547945</v>
      </c>
      <c r="P448" s="278">
        <f t="shared" si="280"/>
        <v>98698.859999999986</v>
      </c>
      <c r="Q448" s="279">
        <f t="shared" si="281"/>
        <v>44751.657018633538</v>
      </c>
      <c r="R448" s="279">
        <f t="shared" si="282"/>
        <v>61015.052981366454</v>
      </c>
      <c r="S448" s="337">
        <f>+[1]Sheet1!$I$352</f>
        <v>-44763.05</v>
      </c>
      <c r="T448" s="232">
        <f t="shared" si="252"/>
        <v>11.392981366465392</v>
      </c>
    </row>
    <row r="449" spans="1:20">
      <c r="A449" s="291" t="s">
        <v>274</v>
      </c>
      <c r="B449" s="292">
        <v>43643</v>
      </c>
      <c r="C449" s="331">
        <v>114830.58</v>
      </c>
      <c r="D449" s="282"/>
      <c r="E449" s="282"/>
      <c r="F449" s="282"/>
      <c r="G449" s="278">
        <f t="shared" si="275"/>
        <v>5741.5290000000005</v>
      </c>
      <c r="H449" s="282"/>
      <c r="I449" s="282"/>
      <c r="J449" s="282"/>
      <c r="K449" s="282">
        <f t="shared" si="276"/>
        <v>278</v>
      </c>
      <c r="L449" s="278">
        <f t="shared" si="277"/>
        <v>0.76164383561643834</v>
      </c>
      <c r="M449" s="331">
        <v>27719.35</v>
      </c>
      <c r="N449" s="279">
        <f t="shared" si="278"/>
        <v>87111.23000000001</v>
      </c>
      <c r="O449" s="278">
        <f t="shared" si="279"/>
        <v>2.2383561643835614</v>
      </c>
      <c r="P449" s="278">
        <f t="shared" si="280"/>
        <v>81369.701000000015</v>
      </c>
      <c r="Q449" s="279">
        <f t="shared" si="281"/>
        <v>36352.436799265619</v>
      </c>
      <c r="R449" s="279">
        <f t="shared" si="282"/>
        <v>50758.793200734392</v>
      </c>
      <c r="S449" s="337">
        <f>+[1]Sheet1!$I$353</f>
        <v>-36363.019999999997</v>
      </c>
      <c r="T449" s="232">
        <f t="shared" si="252"/>
        <v>10.583200734377897</v>
      </c>
    </row>
    <row r="450" spans="1:20">
      <c r="A450" s="291" t="s">
        <v>275</v>
      </c>
      <c r="B450" s="292">
        <v>43669</v>
      </c>
      <c r="C450" s="331">
        <v>50000</v>
      </c>
      <c r="D450" s="282"/>
      <c r="E450" s="282"/>
      <c r="F450" s="282"/>
      <c r="G450" s="278">
        <f t="shared" si="275"/>
        <v>2500</v>
      </c>
      <c r="H450" s="282"/>
      <c r="I450" s="282"/>
      <c r="J450" s="282"/>
      <c r="K450" s="282">
        <f t="shared" si="276"/>
        <v>252</v>
      </c>
      <c r="L450" s="278">
        <f t="shared" si="277"/>
        <v>0.69041095890410964</v>
      </c>
      <c r="M450" s="331">
        <v>10944.9</v>
      </c>
      <c r="N450" s="279">
        <f t="shared" si="278"/>
        <v>39055.1</v>
      </c>
      <c r="O450" s="278">
        <f t="shared" si="279"/>
        <v>2.3095890410958901</v>
      </c>
      <c r="P450" s="278">
        <f t="shared" si="280"/>
        <v>36555.1</v>
      </c>
      <c r="Q450" s="279">
        <f t="shared" si="281"/>
        <v>15827.534400948993</v>
      </c>
      <c r="R450" s="279">
        <f t="shared" si="282"/>
        <v>23227.565599051006</v>
      </c>
      <c r="S450" s="337">
        <f>+[1]Sheet1!$I$354</f>
        <v>-15833.33</v>
      </c>
      <c r="T450" s="232">
        <f t="shared" si="252"/>
        <v>5.7955990510072297</v>
      </c>
    </row>
    <row r="451" spans="1:20">
      <c r="A451" s="291" t="s">
        <v>276</v>
      </c>
      <c r="B451" s="292">
        <v>43669</v>
      </c>
      <c r="C451" s="331">
        <v>81457.02</v>
      </c>
      <c r="D451" s="282"/>
      <c r="E451" s="282"/>
      <c r="F451" s="282"/>
      <c r="G451" s="278">
        <f t="shared" si="275"/>
        <v>4072.8510000000006</v>
      </c>
      <c r="H451" s="282"/>
      <c r="I451" s="282"/>
      <c r="J451" s="282"/>
      <c r="K451" s="282">
        <f t="shared" si="276"/>
        <v>252</v>
      </c>
      <c r="L451" s="278">
        <f t="shared" si="277"/>
        <v>0.69041095890410964</v>
      </c>
      <c r="M451" s="331">
        <v>17830.78</v>
      </c>
      <c r="N451" s="279">
        <f t="shared" si="278"/>
        <v>63626.240000000005</v>
      </c>
      <c r="O451" s="278">
        <f t="shared" si="279"/>
        <v>2.3095890410958901</v>
      </c>
      <c r="P451" s="278">
        <f t="shared" si="280"/>
        <v>59553.389000000003</v>
      </c>
      <c r="Q451" s="279">
        <f t="shared" si="281"/>
        <v>25785.275189798343</v>
      </c>
      <c r="R451" s="279">
        <f t="shared" si="282"/>
        <v>37840.964810201665</v>
      </c>
      <c r="S451" s="337">
        <f>+[1]Sheet1!$I$355</f>
        <v>-25794.720000000001</v>
      </c>
      <c r="T451" s="232">
        <f t="shared" si="252"/>
        <v>9.444810201657674</v>
      </c>
    </row>
    <row r="452" spans="1:20">
      <c r="A452" s="291" t="s">
        <v>277</v>
      </c>
      <c r="B452" s="292">
        <v>43669</v>
      </c>
      <c r="C452" s="331">
        <v>16101.68</v>
      </c>
      <c r="D452" s="282"/>
      <c r="E452" s="282"/>
      <c r="F452" s="282"/>
      <c r="G452" s="278">
        <f t="shared" si="275"/>
        <v>805.08400000000006</v>
      </c>
      <c r="H452" s="282"/>
      <c r="I452" s="282"/>
      <c r="J452" s="282"/>
      <c r="K452" s="282">
        <f t="shared" si="276"/>
        <v>252</v>
      </c>
      <c r="L452" s="278">
        <f t="shared" si="277"/>
        <v>0.69041095890410964</v>
      </c>
      <c r="M452" s="331">
        <v>3524.63</v>
      </c>
      <c r="N452" s="279">
        <f t="shared" si="278"/>
        <v>12577.05</v>
      </c>
      <c r="O452" s="278">
        <f t="shared" si="279"/>
        <v>2.3095890410958901</v>
      </c>
      <c r="P452" s="278">
        <f t="shared" si="280"/>
        <v>11771.965999999999</v>
      </c>
      <c r="Q452" s="279">
        <f t="shared" si="281"/>
        <v>5096.9959549228943</v>
      </c>
      <c r="R452" s="279">
        <f t="shared" si="282"/>
        <v>7480.054045077105</v>
      </c>
      <c r="S452" s="337">
        <f>+[1]Sheet1!$I$356</f>
        <v>-5098.87</v>
      </c>
      <c r="T452" s="232">
        <f t="shared" si="252"/>
        <v>1.8740450771056203</v>
      </c>
    </row>
    <row r="453" spans="1:20">
      <c r="A453" s="291" t="s">
        <v>278</v>
      </c>
      <c r="B453" s="292">
        <v>43669</v>
      </c>
      <c r="C453" s="331">
        <v>6228.79</v>
      </c>
      <c r="D453" s="282"/>
      <c r="E453" s="282"/>
      <c r="F453" s="282"/>
      <c r="G453" s="278">
        <f t="shared" si="275"/>
        <v>311.43950000000001</v>
      </c>
      <c r="H453" s="282"/>
      <c r="I453" s="282"/>
      <c r="J453" s="282"/>
      <c r="K453" s="282">
        <f t="shared" si="276"/>
        <v>252</v>
      </c>
      <c r="L453" s="278">
        <f t="shared" si="277"/>
        <v>0.69041095890410964</v>
      </c>
      <c r="M453" s="331">
        <v>1363.47</v>
      </c>
      <c r="N453" s="279">
        <f t="shared" si="278"/>
        <v>4865.32</v>
      </c>
      <c r="O453" s="278">
        <f t="shared" si="279"/>
        <v>2.3095890410958901</v>
      </c>
      <c r="P453" s="278">
        <f t="shared" si="280"/>
        <v>4553.8804999999993</v>
      </c>
      <c r="Q453" s="279">
        <f t="shared" si="281"/>
        <v>1971.7276186239619</v>
      </c>
      <c r="R453" s="279">
        <f t="shared" si="282"/>
        <v>2893.5923813760378</v>
      </c>
      <c r="S453" s="337">
        <f>+[1]Sheet1!$I$357</f>
        <v>-1972.45</v>
      </c>
      <c r="T453" s="232">
        <f t="shared" si="252"/>
        <v>0.72238137603812902</v>
      </c>
    </row>
    <row r="454" spans="1:20">
      <c r="A454" s="291" t="s">
        <v>279</v>
      </c>
      <c r="B454" s="292">
        <v>43669</v>
      </c>
      <c r="C454" s="331">
        <v>2372.88</v>
      </c>
      <c r="D454" s="282"/>
      <c r="E454" s="282"/>
      <c r="F454" s="282"/>
      <c r="G454" s="278">
        <f t="shared" si="275"/>
        <v>118.64400000000001</v>
      </c>
      <c r="H454" s="282"/>
      <c r="I454" s="282"/>
      <c r="J454" s="282"/>
      <c r="K454" s="282">
        <f t="shared" si="276"/>
        <v>252</v>
      </c>
      <c r="L454" s="278">
        <f t="shared" si="277"/>
        <v>0.69041095890410964</v>
      </c>
      <c r="M454" s="331">
        <v>519.41999999999996</v>
      </c>
      <c r="N454" s="279">
        <f t="shared" si="278"/>
        <v>1853.46</v>
      </c>
      <c r="O454" s="278">
        <f t="shared" si="279"/>
        <v>2.3095890410958901</v>
      </c>
      <c r="P454" s="278">
        <f t="shared" si="280"/>
        <v>1734.816</v>
      </c>
      <c r="Q454" s="279">
        <f t="shared" si="281"/>
        <v>751.13622775800718</v>
      </c>
      <c r="R454" s="279">
        <f t="shared" si="282"/>
        <v>1102.3237722419929</v>
      </c>
      <c r="S454" s="337">
        <f>+[1]Sheet1!$I$358</f>
        <v>-751.41</v>
      </c>
      <c r="T454" s="232">
        <f t="shared" si="252"/>
        <v>0.27377224199278771</v>
      </c>
    </row>
    <row r="455" spans="1:20">
      <c r="A455" s="291" t="s">
        <v>280</v>
      </c>
      <c r="B455" s="292">
        <v>43700</v>
      </c>
      <c r="C455" s="331">
        <v>38474</v>
      </c>
      <c r="D455" s="282"/>
      <c r="E455" s="282"/>
      <c r="F455" s="282"/>
      <c r="G455" s="278">
        <f t="shared" si="275"/>
        <v>1923.7</v>
      </c>
      <c r="H455" s="282"/>
      <c r="I455" s="282"/>
      <c r="J455" s="282"/>
      <c r="K455" s="282">
        <f t="shared" si="276"/>
        <v>221</v>
      </c>
      <c r="L455" s="278">
        <f t="shared" si="277"/>
        <v>0.60547945205479448</v>
      </c>
      <c r="M455" s="331">
        <v>7389.95</v>
      </c>
      <c r="N455" s="279">
        <f t="shared" si="278"/>
        <v>31084.05</v>
      </c>
      <c r="O455" s="278">
        <f t="shared" si="279"/>
        <v>2.3945205479452056</v>
      </c>
      <c r="P455" s="278">
        <f t="shared" si="280"/>
        <v>29160.35</v>
      </c>
      <c r="Q455" s="279">
        <f t="shared" si="281"/>
        <v>12177.949370709381</v>
      </c>
      <c r="R455" s="279">
        <f t="shared" si="282"/>
        <v>18906.100629290617</v>
      </c>
      <c r="S455" s="337">
        <f>+[1]Sheet1!$I$359</f>
        <v>-12183.43</v>
      </c>
      <c r="T455" s="232">
        <f t="shared" si="252"/>
        <v>5.4806292906196177</v>
      </c>
    </row>
    <row r="456" spans="1:20">
      <c r="A456" s="291" t="s">
        <v>284</v>
      </c>
      <c r="B456" s="292">
        <v>43783</v>
      </c>
      <c r="C456" s="331">
        <v>72750</v>
      </c>
      <c r="D456" s="282"/>
      <c r="E456" s="282"/>
      <c r="F456" s="282"/>
      <c r="G456" s="278">
        <f t="shared" si="275"/>
        <v>3637.5</v>
      </c>
      <c r="H456" s="282"/>
      <c r="I456" s="282"/>
      <c r="J456" s="282"/>
      <c r="K456" s="282">
        <f t="shared" si="276"/>
        <v>138</v>
      </c>
      <c r="L456" s="278">
        <f t="shared" si="277"/>
        <v>0.37808219178082192</v>
      </c>
      <c r="M456" s="331">
        <v>8749.2099999999991</v>
      </c>
      <c r="N456" s="279">
        <f t="shared" si="278"/>
        <v>64000.79</v>
      </c>
      <c r="O456" s="278">
        <f t="shared" si="279"/>
        <v>2.6219178082191781</v>
      </c>
      <c r="P456" s="278">
        <f t="shared" si="280"/>
        <v>60363.29</v>
      </c>
      <c r="Q456" s="279">
        <f t="shared" si="281"/>
        <v>23022.57142110763</v>
      </c>
      <c r="R456" s="279">
        <f t="shared" si="282"/>
        <v>40978.218578892367</v>
      </c>
      <c r="S456" s="337">
        <f>+[1]Sheet1!$I$360</f>
        <v>-23037.5</v>
      </c>
      <c r="T456" s="232">
        <f t="shared" si="252"/>
        <v>14.928578892369842</v>
      </c>
    </row>
    <row r="457" spans="1:20">
      <c r="A457" s="291" t="s">
        <v>289</v>
      </c>
      <c r="B457" s="292">
        <v>43816</v>
      </c>
      <c r="C457" s="331">
        <v>0</v>
      </c>
      <c r="D457" s="282"/>
      <c r="E457" s="282"/>
      <c r="F457" s="282"/>
      <c r="G457" s="278">
        <f t="shared" si="275"/>
        <v>0</v>
      </c>
      <c r="H457" s="282"/>
      <c r="I457" s="282"/>
      <c r="J457" s="282"/>
      <c r="K457" s="282">
        <f t="shared" si="276"/>
        <v>105</v>
      </c>
      <c r="L457" s="278">
        <f t="shared" si="277"/>
        <v>0.28767123287671231</v>
      </c>
      <c r="M457" s="331">
        <v>0</v>
      </c>
      <c r="N457" s="279">
        <f t="shared" si="278"/>
        <v>0</v>
      </c>
      <c r="O457" s="278">
        <f t="shared" si="279"/>
        <v>2.7123287671232879</v>
      </c>
      <c r="P457" s="278">
        <f t="shared" si="280"/>
        <v>0</v>
      </c>
      <c r="Q457" s="279">
        <f t="shared" si="281"/>
        <v>0</v>
      </c>
      <c r="R457" s="279">
        <f t="shared" si="282"/>
        <v>0</v>
      </c>
      <c r="S457" s="337">
        <f>+[1]Sheet1!$I$361</f>
        <v>0</v>
      </c>
      <c r="T457" s="232">
        <f t="shared" ref="T457:T469" si="283">-(Q457+S457)</f>
        <v>0</v>
      </c>
    </row>
    <row r="458" spans="1:20">
      <c r="A458" s="291" t="s">
        <v>286</v>
      </c>
      <c r="B458" s="292">
        <v>43857</v>
      </c>
      <c r="C458" s="331">
        <v>9100</v>
      </c>
      <c r="D458" s="282"/>
      <c r="E458" s="282"/>
      <c r="F458" s="282"/>
      <c r="G458" s="278">
        <f t="shared" si="275"/>
        <v>455</v>
      </c>
      <c r="H458" s="282"/>
      <c r="I458" s="282"/>
      <c r="J458" s="282"/>
      <c r="K458" s="282">
        <f t="shared" si="276"/>
        <v>64</v>
      </c>
      <c r="L458" s="278">
        <f t="shared" si="277"/>
        <v>0.17534246575342466</v>
      </c>
      <c r="M458" s="331">
        <v>511.77</v>
      </c>
      <c r="N458" s="279">
        <f t="shared" si="278"/>
        <v>8588.23</v>
      </c>
      <c r="O458" s="278">
        <f t="shared" si="279"/>
        <v>2.8246575342465752</v>
      </c>
      <c r="P458" s="278">
        <f t="shared" si="280"/>
        <v>8133.23</v>
      </c>
      <c r="Q458" s="279">
        <f t="shared" si="281"/>
        <v>2879.3685257032007</v>
      </c>
      <c r="R458" s="279">
        <f t="shared" si="282"/>
        <v>5708.8614742967984</v>
      </c>
      <c r="S458" s="337">
        <f>+[1]Sheet1!$I$362</f>
        <v>-2881.67</v>
      </c>
      <c r="T458" s="232">
        <f t="shared" si="283"/>
        <v>2.3014742967993698</v>
      </c>
    </row>
    <row r="459" spans="1:20">
      <c r="A459" s="291" t="s">
        <v>287</v>
      </c>
      <c r="B459" s="292">
        <v>43857</v>
      </c>
      <c r="C459" s="331">
        <v>19067.79</v>
      </c>
      <c r="D459" s="282"/>
      <c r="E459" s="282"/>
      <c r="F459" s="282"/>
      <c r="G459" s="278">
        <f t="shared" si="275"/>
        <v>953.38950000000011</v>
      </c>
      <c r="H459" s="282"/>
      <c r="I459" s="282"/>
      <c r="J459" s="282"/>
      <c r="K459" s="282">
        <f t="shared" si="276"/>
        <v>64</v>
      </c>
      <c r="L459" s="278">
        <f t="shared" si="277"/>
        <v>0.17534246575342466</v>
      </c>
      <c r="M459" s="331">
        <v>1072.3499999999999</v>
      </c>
      <c r="N459" s="279">
        <f t="shared" si="278"/>
        <v>17995.440000000002</v>
      </c>
      <c r="O459" s="278">
        <f t="shared" si="279"/>
        <v>2.8246575342465752</v>
      </c>
      <c r="P459" s="278">
        <f t="shared" si="280"/>
        <v>17042.050500000001</v>
      </c>
      <c r="Q459" s="279">
        <f t="shared" si="281"/>
        <v>6033.3156474296811</v>
      </c>
      <c r="R459" s="279">
        <f t="shared" si="282"/>
        <v>11962.124352570321</v>
      </c>
      <c r="S459" s="337">
        <f>+[1]Sheet1!$I$363</f>
        <v>-6038.13</v>
      </c>
      <c r="T459" s="232">
        <f t="shared" si="283"/>
        <v>4.814352570318988</v>
      </c>
    </row>
    <row r="460" spans="1:20">
      <c r="A460" s="291" t="s">
        <v>288</v>
      </c>
      <c r="B460" s="292">
        <v>43861</v>
      </c>
      <c r="C460" s="331">
        <v>3474</v>
      </c>
      <c r="D460" s="282"/>
      <c r="E460" s="282"/>
      <c r="F460" s="282"/>
      <c r="G460" s="278">
        <f t="shared" si="275"/>
        <v>173.70000000000002</v>
      </c>
      <c r="H460" s="282"/>
      <c r="I460" s="282"/>
      <c r="J460" s="282"/>
      <c r="K460" s="282">
        <f t="shared" si="276"/>
        <v>60</v>
      </c>
      <c r="L460" s="278">
        <f t="shared" si="277"/>
        <v>0.16438356164383561</v>
      </c>
      <c r="M460" s="331">
        <v>183.35</v>
      </c>
      <c r="N460" s="279">
        <f t="shared" si="278"/>
        <v>3290.65</v>
      </c>
      <c r="O460" s="278">
        <f t="shared" si="279"/>
        <v>2.8356164383561646</v>
      </c>
      <c r="P460" s="278">
        <f t="shared" si="280"/>
        <v>3116.9500000000003</v>
      </c>
      <c r="Q460" s="279">
        <f t="shared" si="281"/>
        <v>1099.2142512077294</v>
      </c>
      <c r="R460" s="279">
        <f t="shared" si="282"/>
        <v>2191.4357487922707</v>
      </c>
      <c r="S460" s="337">
        <f>+[1]Sheet1!$I$364</f>
        <v>-1100.0999999999999</v>
      </c>
      <c r="T460" s="232">
        <f t="shared" si="283"/>
        <v>0.88574879227053316</v>
      </c>
    </row>
    <row r="461" spans="1:20">
      <c r="A461" s="291" t="s">
        <v>289</v>
      </c>
      <c r="B461" s="292">
        <v>43861</v>
      </c>
      <c r="C461" s="331">
        <v>11016</v>
      </c>
      <c r="D461" s="282"/>
      <c r="E461" s="282"/>
      <c r="F461" s="282"/>
      <c r="G461" s="278">
        <f t="shared" si="275"/>
        <v>550.80000000000007</v>
      </c>
      <c r="H461" s="282"/>
      <c r="I461" s="282"/>
      <c r="J461" s="282"/>
      <c r="K461" s="282">
        <f t="shared" si="276"/>
        <v>60</v>
      </c>
      <c r="L461" s="278">
        <f t="shared" si="277"/>
        <v>0.16438356164383561</v>
      </c>
      <c r="M461" s="331">
        <v>581.4</v>
      </c>
      <c r="N461" s="279">
        <f t="shared" si="278"/>
        <v>10434.6</v>
      </c>
      <c r="O461" s="278">
        <f t="shared" si="279"/>
        <v>2.8356164383561646</v>
      </c>
      <c r="P461" s="278">
        <f t="shared" si="280"/>
        <v>9883.8000000000011</v>
      </c>
      <c r="Q461" s="279">
        <f t="shared" si="281"/>
        <v>3485.5913043478263</v>
      </c>
      <c r="R461" s="279">
        <f t="shared" si="282"/>
        <v>6949.0086956521736</v>
      </c>
      <c r="S461" s="337">
        <f>+[1]Sheet1!$I$365</f>
        <v>-3488.4</v>
      </c>
      <c r="T461" s="232">
        <f t="shared" si="283"/>
        <v>2.8086956521738102</v>
      </c>
    </row>
    <row r="462" spans="1:20">
      <c r="A462" s="291" t="s">
        <v>290</v>
      </c>
      <c r="B462" s="292">
        <v>43861</v>
      </c>
      <c r="C462" s="331">
        <v>38700</v>
      </c>
      <c r="D462" s="282"/>
      <c r="E462" s="282"/>
      <c r="F462" s="282"/>
      <c r="G462" s="278">
        <f t="shared" si="275"/>
        <v>1935</v>
      </c>
      <c r="H462" s="282"/>
      <c r="I462" s="282"/>
      <c r="J462" s="282"/>
      <c r="K462" s="282">
        <f t="shared" si="276"/>
        <v>60</v>
      </c>
      <c r="L462" s="278">
        <f t="shared" si="277"/>
        <v>0.16438356164383561</v>
      </c>
      <c r="M462" s="331">
        <v>2042.5</v>
      </c>
      <c r="N462" s="279">
        <f t="shared" si="278"/>
        <v>36657.5</v>
      </c>
      <c r="O462" s="278">
        <f t="shared" si="279"/>
        <v>2.8356164383561646</v>
      </c>
      <c r="P462" s="278">
        <f t="shared" si="280"/>
        <v>34722.5</v>
      </c>
      <c r="Q462" s="279">
        <f t="shared" si="281"/>
        <v>12245.132850241545</v>
      </c>
      <c r="R462" s="279">
        <f t="shared" si="282"/>
        <v>24412.367149758455</v>
      </c>
      <c r="S462" s="337">
        <f>+[1]Sheet1!$I$366</f>
        <v>-12255</v>
      </c>
      <c r="T462" s="232">
        <f t="shared" si="283"/>
        <v>9.8671497584546159</v>
      </c>
    </row>
    <row r="463" spans="1:20">
      <c r="A463" s="291" t="s">
        <v>285</v>
      </c>
      <c r="B463" s="292">
        <v>43868</v>
      </c>
      <c r="C463" s="331">
        <v>9495</v>
      </c>
      <c r="D463" s="282"/>
      <c r="E463" s="282"/>
      <c r="F463" s="282"/>
      <c r="G463" s="278">
        <f t="shared" si="275"/>
        <v>474.75</v>
      </c>
      <c r="H463" s="282"/>
      <c r="I463" s="282"/>
      <c r="J463" s="282"/>
      <c r="K463" s="282">
        <f t="shared" si="276"/>
        <v>53</v>
      </c>
      <c r="L463" s="278">
        <f t="shared" si="277"/>
        <v>0.14520547945205478</v>
      </c>
      <c r="M463" s="331">
        <v>443.62</v>
      </c>
      <c r="N463" s="279">
        <f t="shared" si="278"/>
        <v>9051.3799999999992</v>
      </c>
      <c r="O463" s="278">
        <f t="shared" si="279"/>
        <v>2.8547945205479452</v>
      </c>
      <c r="P463" s="278">
        <f t="shared" si="280"/>
        <v>8576.6299999999992</v>
      </c>
      <c r="Q463" s="279">
        <f t="shared" si="281"/>
        <v>3004.2897792706331</v>
      </c>
      <c r="R463" s="279">
        <f t="shared" si="282"/>
        <v>6047.0902207293657</v>
      </c>
      <c r="S463" s="337">
        <f>+[1]Sheet1!$I$367</f>
        <v>-3006.75</v>
      </c>
      <c r="T463" s="232">
        <f t="shared" si="283"/>
        <v>2.460220729366938</v>
      </c>
    </row>
    <row r="464" spans="1:20">
      <c r="A464" s="291" t="s">
        <v>291</v>
      </c>
      <c r="B464" s="292">
        <v>43873</v>
      </c>
      <c r="C464" s="331">
        <v>16750</v>
      </c>
      <c r="D464" s="282"/>
      <c r="E464" s="282"/>
      <c r="F464" s="282"/>
      <c r="G464" s="278">
        <f t="shared" si="275"/>
        <v>837.5</v>
      </c>
      <c r="H464" s="282"/>
      <c r="I464" s="282"/>
      <c r="J464" s="282"/>
      <c r="K464" s="282">
        <f t="shared" si="276"/>
        <v>48</v>
      </c>
      <c r="L464" s="278">
        <f t="shared" si="277"/>
        <v>0.13150684931506848</v>
      </c>
      <c r="M464" s="331">
        <v>710.12</v>
      </c>
      <c r="N464" s="279">
        <f t="shared" si="278"/>
        <v>16039.88</v>
      </c>
      <c r="O464" s="278">
        <f t="shared" si="279"/>
        <v>2.8684931506849316</v>
      </c>
      <c r="P464" s="278">
        <f t="shared" si="280"/>
        <v>15202.38</v>
      </c>
      <c r="Q464" s="279">
        <f t="shared" si="281"/>
        <v>5299.7790830945551</v>
      </c>
      <c r="R464" s="279">
        <f t="shared" si="282"/>
        <v>10740.100916905445</v>
      </c>
      <c r="S464" s="337">
        <f>+[1]Sheet1!$I$368</f>
        <v>-5304.17</v>
      </c>
      <c r="T464" s="232">
        <f t="shared" si="283"/>
        <v>4.3909169054450103</v>
      </c>
    </row>
    <row r="465" spans="1:21">
      <c r="A465" s="291" t="s">
        <v>273</v>
      </c>
      <c r="B465" s="292">
        <v>43873</v>
      </c>
      <c r="C465" s="331">
        <v>1525</v>
      </c>
      <c r="D465" s="282"/>
      <c r="E465" s="282"/>
      <c r="F465" s="282"/>
      <c r="G465" s="278">
        <f t="shared" si="275"/>
        <v>76.25</v>
      </c>
      <c r="H465" s="282"/>
      <c r="I465" s="282"/>
      <c r="J465" s="282"/>
      <c r="K465" s="282">
        <f t="shared" si="276"/>
        <v>48</v>
      </c>
      <c r="L465" s="278">
        <f t="shared" si="277"/>
        <v>0.13150684931506848</v>
      </c>
      <c r="M465" s="331">
        <v>64.650000000000006</v>
      </c>
      <c r="N465" s="279">
        <f t="shared" si="278"/>
        <v>1460.35</v>
      </c>
      <c r="O465" s="278">
        <f t="shared" si="279"/>
        <v>2.8684931506849316</v>
      </c>
      <c r="P465" s="278">
        <f t="shared" si="280"/>
        <v>1384.1</v>
      </c>
      <c r="Q465" s="279">
        <f t="shared" si="281"/>
        <v>482.51814708691495</v>
      </c>
      <c r="R465" s="279">
        <f t="shared" si="282"/>
        <v>977.83185291308496</v>
      </c>
      <c r="S465" s="337">
        <f>+[1]Sheet1!$I$369</f>
        <v>-482.92</v>
      </c>
      <c r="T465" s="232">
        <f t="shared" si="283"/>
        <v>0.40185291308506521</v>
      </c>
    </row>
    <row r="466" spans="1:21">
      <c r="A466" s="291" t="s">
        <v>345</v>
      </c>
      <c r="B466" s="292">
        <v>43887</v>
      </c>
      <c r="C466" s="331">
        <v>31800</v>
      </c>
      <c r="D466" s="282"/>
      <c r="E466" s="282"/>
      <c r="F466" s="282"/>
      <c r="G466" s="278">
        <f t="shared" si="275"/>
        <v>1590</v>
      </c>
      <c r="H466" s="282"/>
      <c r="I466" s="282"/>
      <c r="J466" s="282"/>
      <c r="K466" s="282">
        <f t="shared" si="276"/>
        <v>34</v>
      </c>
      <c r="L466" s="278">
        <f t="shared" si="277"/>
        <v>9.3150684931506855E-2</v>
      </c>
      <c r="M466" s="331">
        <v>962.98</v>
      </c>
      <c r="N466" s="279">
        <f t="shared" si="278"/>
        <v>30837.02</v>
      </c>
      <c r="O466" s="278">
        <f t="shared" si="279"/>
        <v>2.9068493150684933</v>
      </c>
      <c r="P466" s="278">
        <f t="shared" si="280"/>
        <v>29247.02</v>
      </c>
      <c r="Q466" s="279">
        <f t="shared" si="281"/>
        <v>10061.415928369463</v>
      </c>
      <c r="R466" s="279">
        <f t="shared" si="282"/>
        <v>20775.604071630536</v>
      </c>
      <c r="S466" s="337">
        <f>+[1]Sheet1!$I$370</f>
        <v>-10070</v>
      </c>
      <c r="T466" s="232">
        <f t="shared" si="283"/>
        <v>8.5840716305374372</v>
      </c>
    </row>
    <row r="467" spans="1:21">
      <c r="A467" s="291" t="s">
        <v>292</v>
      </c>
      <c r="B467" s="292">
        <v>43891</v>
      </c>
      <c r="C467" s="331">
        <v>38844.080000000002</v>
      </c>
      <c r="D467" s="282"/>
      <c r="E467" s="282"/>
      <c r="F467" s="282"/>
      <c r="G467" s="278">
        <f t="shared" si="275"/>
        <v>1942.2040000000002</v>
      </c>
      <c r="H467" s="282"/>
      <c r="I467" s="282"/>
      <c r="J467" s="282"/>
      <c r="K467" s="282">
        <f t="shared" si="276"/>
        <v>30</v>
      </c>
      <c r="L467" s="278">
        <f t="shared" si="277"/>
        <v>8.2191780821917804E-2</v>
      </c>
      <c r="M467" s="331">
        <v>1041.8599999999999</v>
      </c>
      <c r="N467" s="279">
        <f t="shared" si="278"/>
        <v>37802.22</v>
      </c>
      <c r="O467" s="278">
        <f t="shared" si="279"/>
        <v>2.9178082191780823</v>
      </c>
      <c r="P467" s="278">
        <f t="shared" si="280"/>
        <v>35860.016000000003</v>
      </c>
      <c r="Q467" s="279">
        <f t="shared" si="281"/>
        <v>12290.052431924883</v>
      </c>
      <c r="R467" s="279">
        <f t="shared" si="282"/>
        <v>25512.167568075118</v>
      </c>
      <c r="S467" s="337">
        <f>+[1]Sheet1!$I$371</f>
        <v>-12300.63</v>
      </c>
      <c r="T467" s="232">
        <f t="shared" si="283"/>
        <v>10.577568075115778</v>
      </c>
    </row>
    <row r="468" spans="1:21">
      <c r="A468" s="291" t="s">
        <v>293</v>
      </c>
      <c r="B468" s="292">
        <v>43891</v>
      </c>
      <c r="C468" s="331">
        <v>5212</v>
      </c>
      <c r="D468" s="282"/>
      <c r="E468" s="282"/>
      <c r="F468" s="282"/>
      <c r="G468" s="278">
        <f t="shared" si="275"/>
        <v>260.60000000000002</v>
      </c>
      <c r="H468" s="282"/>
      <c r="I468" s="282"/>
      <c r="J468" s="282"/>
      <c r="K468" s="282">
        <f t="shared" si="276"/>
        <v>30</v>
      </c>
      <c r="L468" s="278">
        <f t="shared" si="277"/>
        <v>8.2191780821917804E-2</v>
      </c>
      <c r="M468" s="331">
        <v>139.79</v>
      </c>
      <c r="N468" s="279">
        <f t="shared" si="278"/>
        <v>5072.21</v>
      </c>
      <c r="O468" s="278">
        <f t="shared" si="279"/>
        <v>2.9178082191780823</v>
      </c>
      <c r="P468" s="278">
        <f t="shared" si="280"/>
        <v>4811.6099999999997</v>
      </c>
      <c r="Q468" s="279">
        <f t="shared" si="281"/>
        <v>1649.0494366197181</v>
      </c>
      <c r="R468" s="279">
        <f t="shared" si="282"/>
        <v>3423.1605633802819</v>
      </c>
      <c r="S468" s="337">
        <f>+[1]Sheet1!$I$372</f>
        <v>-1650.47</v>
      </c>
      <c r="T468" s="232">
        <f t="shared" si="283"/>
        <v>1.4205633802819193</v>
      </c>
    </row>
    <row r="469" spans="1:21">
      <c r="A469" s="291" t="s">
        <v>294</v>
      </c>
      <c r="B469" s="292">
        <v>43891</v>
      </c>
      <c r="C469" s="331">
        <v>8050.84</v>
      </c>
      <c r="D469" s="282"/>
      <c r="E469" s="282"/>
      <c r="F469" s="282"/>
      <c r="G469" s="278">
        <f t="shared" si="275"/>
        <v>402.54200000000003</v>
      </c>
      <c r="H469" s="282"/>
      <c r="I469" s="282"/>
      <c r="J469" s="282"/>
      <c r="K469" s="282">
        <f t="shared" si="276"/>
        <v>30</v>
      </c>
      <c r="L469" s="278">
        <f t="shared" si="277"/>
        <v>8.2191780821917804E-2</v>
      </c>
      <c r="M469" s="331">
        <v>215.94</v>
      </c>
      <c r="N469" s="279">
        <f t="shared" si="278"/>
        <v>7834.9000000000005</v>
      </c>
      <c r="O469" s="278">
        <f t="shared" si="279"/>
        <v>2.9178082191780823</v>
      </c>
      <c r="P469" s="278">
        <f t="shared" si="280"/>
        <v>7432.3580000000002</v>
      </c>
      <c r="Q469" s="279">
        <f t="shared" si="281"/>
        <v>2547.2400657276994</v>
      </c>
      <c r="R469" s="279">
        <f t="shared" si="282"/>
        <v>5287.6599342723011</v>
      </c>
      <c r="S469" s="337">
        <f>+[1]Sheet1!$I$373</f>
        <v>-2549.4299999999998</v>
      </c>
      <c r="T469" s="232">
        <f t="shared" si="283"/>
        <v>2.1899342723004338</v>
      </c>
    </row>
    <row r="470" spans="1:21" ht="15">
      <c r="A470" s="101" t="s">
        <v>140</v>
      </c>
      <c r="B470" s="111"/>
      <c r="C470" s="119">
        <f>SUM(C392:C469)</f>
        <v>2360593.6399999997</v>
      </c>
      <c r="D470" s="111"/>
      <c r="E470" s="111"/>
      <c r="F470" s="111"/>
      <c r="G470" s="119">
        <f>SUM(G392:G469)</f>
        <v>118029.682</v>
      </c>
      <c r="H470" s="111"/>
      <c r="I470" s="111"/>
      <c r="J470" s="111"/>
      <c r="K470" s="111"/>
      <c r="L470" s="114"/>
      <c r="M470" s="119">
        <f>SUM(M392:M469)</f>
        <v>1504579.7558370754</v>
      </c>
      <c r="N470" s="119">
        <f>SUM(N392:N469)</f>
        <v>856013.88416292472</v>
      </c>
      <c r="O470" s="114"/>
      <c r="P470" s="119">
        <f>SUM(P392:P469)</f>
        <v>745213.5780000001</v>
      </c>
      <c r="Q470" s="119">
        <f>SUM(Q392:Q469)</f>
        <v>323551.90507195273</v>
      </c>
      <c r="R470" s="119">
        <f>SUM(R392:R469)</f>
        <v>532461.97909097199</v>
      </c>
      <c r="S470" s="232"/>
      <c r="T470" s="232"/>
      <c r="U470" s="255">
        <f>-SUM(S392:S469)</f>
        <v>323555.60999999993</v>
      </c>
    </row>
    <row r="471" spans="1:21" ht="15">
      <c r="A471" s="101"/>
      <c r="B471" s="111"/>
      <c r="C471" s="111" t="s">
        <v>358</v>
      </c>
      <c r="D471" s="111"/>
      <c r="E471" s="111"/>
      <c r="F471" s="111"/>
      <c r="G471" s="114"/>
      <c r="H471" s="111"/>
      <c r="I471" s="111"/>
      <c r="J471" s="111"/>
      <c r="K471" s="111"/>
      <c r="L471" s="114"/>
      <c r="M471" s="114"/>
      <c r="N471" s="118"/>
      <c r="O471" s="114">
        <v>10</v>
      </c>
      <c r="P471" s="114"/>
      <c r="Q471" s="118"/>
      <c r="R471" s="118"/>
      <c r="S471" s="232"/>
      <c r="T471" s="232">
        <f t="shared" si="249"/>
        <v>0</v>
      </c>
    </row>
    <row r="472" spans="1:21" s="242" customFormat="1">
      <c r="A472" s="282" t="s">
        <v>141</v>
      </c>
      <c r="B472" s="277">
        <v>41723</v>
      </c>
      <c r="C472" s="282">
        <v>28000</v>
      </c>
      <c r="D472" s="282"/>
      <c r="E472" s="282"/>
      <c r="F472" s="282"/>
      <c r="G472" s="278">
        <v>0</v>
      </c>
      <c r="H472" s="282"/>
      <c r="I472" s="282"/>
      <c r="J472" s="282"/>
      <c r="K472" s="282">
        <f>$K$2-B472</f>
        <v>2198</v>
      </c>
      <c r="L472" s="278">
        <f>K472/365</f>
        <v>6.021917808219178</v>
      </c>
      <c r="M472" s="281">
        <f>-[1]Sheet1!$G$521</f>
        <v>16870</v>
      </c>
      <c r="N472" s="279">
        <f>C472-M472</f>
        <v>11130</v>
      </c>
      <c r="O472" s="278">
        <f>+$O$471-L472</f>
        <v>3.978082191780822</v>
      </c>
      <c r="P472" s="278">
        <f t="shared" ref="P472" si="284">N472-G472</f>
        <v>11130</v>
      </c>
      <c r="Q472" s="279">
        <f>P472/O472</f>
        <v>2797.8305785123966</v>
      </c>
      <c r="R472" s="279">
        <f t="shared" ref="R472" si="285">N472-Q472</f>
        <v>8332.1694214876043</v>
      </c>
      <c r="S472" s="250">
        <f>+[1]Sheet1!$I$521</f>
        <v>-2800</v>
      </c>
      <c r="T472" s="232">
        <f>-(Q472+S472)</f>
        <v>2.1694214876033584</v>
      </c>
      <c r="U472" s="221">
        <f>+SUM(S472:T472)+Q472</f>
        <v>0</v>
      </c>
    </row>
    <row r="473" spans="1:21">
      <c r="A473" s="314" t="s">
        <v>210</v>
      </c>
      <c r="B473" s="315">
        <v>43435</v>
      </c>
      <c r="C473" s="286">
        <v>3800000</v>
      </c>
      <c r="D473" s="282"/>
      <c r="E473" s="282"/>
      <c r="F473" s="282"/>
      <c r="G473" s="278">
        <v>0</v>
      </c>
      <c r="H473" s="282"/>
      <c r="I473" s="282"/>
      <c r="J473" s="282"/>
      <c r="K473" s="282">
        <f>$K$2-B473</f>
        <v>486</v>
      </c>
      <c r="L473" s="278">
        <f>K473/365</f>
        <v>1.3315068493150686</v>
      </c>
      <c r="M473" s="281">
        <f>-[1]Sheet1!$G$511</f>
        <v>504932</v>
      </c>
      <c r="N473" s="279">
        <f>C473-M473</f>
        <v>3295068</v>
      </c>
      <c r="O473" s="278">
        <f>+$O$471-L473</f>
        <v>8.668493150684931</v>
      </c>
      <c r="P473" s="278">
        <f t="shared" ref="P473" si="286">N473-G473</f>
        <v>3295068</v>
      </c>
      <c r="Q473" s="279">
        <f>P473/O473</f>
        <v>380120.04424778762</v>
      </c>
      <c r="R473" s="279">
        <f t="shared" ref="R473" si="287">N473-Q473</f>
        <v>2914947.9557522126</v>
      </c>
      <c r="S473" s="250">
        <f>+[1]Sheet1!$I$511</f>
        <v>-380000</v>
      </c>
      <c r="T473" s="232">
        <f>-(Q473+S473)</f>
        <v>-120.04424778762041</v>
      </c>
      <c r="U473" s="221"/>
    </row>
    <row r="474" spans="1:21">
      <c r="A474" s="296" t="s">
        <v>302</v>
      </c>
      <c r="B474" s="297">
        <v>43698</v>
      </c>
      <c r="C474" s="295">
        <v>93775</v>
      </c>
      <c r="D474" s="282"/>
      <c r="E474" s="282"/>
      <c r="F474" s="282"/>
      <c r="G474" s="278">
        <v>0</v>
      </c>
      <c r="H474" s="282"/>
      <c r="I474" s="282"/>
      <c r="J474" s="282"/>
      <c r="K474" s="282">
        <f t="shared" ref="K474:K478" si="288">$K$2-B474</f>
        <v>223</v>
      </c>
      <c r="L474" s="278">
        <f t="shared" ref="L474:L478" si="289">K474/365</f>
        <v>0.61095890410958908</v>
      </c>
      <c r="M474" s="295">
        <v>5739.23</v>
      </c>
      <c r="N474" s="279">
        <f t="shared" ref="N474:N478" si="290">C474-M474</f>
        <v>88035.77</v>
      </c>
      <c r="O474" s="278">
        <f t="shared" ref="O474:O478" si="291">+$O$471-L474</f>
        <v>9.3890410958904109</v>
      </c>
      <c r="P474" s="278">
        <f t="shared" ref="P474:P478" si="292">N474-G474</f>
        <v>88035.77</v>
      </c>
      <c r="Q474" s="279">
        <f t="shared" ref="Q474:Q478" si="293">P474/O474</f>
        <v>9376.4388824044363</v>
      </c>
      <c r="R474" s="279">
        <f t="shared" ref="R474:R478" si="294">N474-Q474</f>
        <v>78659.331117595575</v>
      </c>
      <c r="S474" s="250">
        <f>+[1]Sheet1!$I$512</f>
        <v>-9377.5</v>
      </c>
      <c r="T474" s="232">
        <f t="shared" ref="T474:T479" si="295">-(Q474+S474)</f>
        <v>1.0611175955637009</v>
      </c>
      <c r="U474" s="221"/>
    </row>
    <row r="475" spans="1:21">
      <c r="A475" s="296" t="s">
        <v>303</v>
      </c>
      <c r="B475" s="297">
        <v>43698</v>
      </c>
      <c r="C475" s="295">
        <v>48600</v>
      </c>
      <c r="D475" s="282"/>
      <c r="E475" s="282"/>
      <c r="F475" s="282"/>
      <c r="G475" s="278">
        <v>0</v>
      </c>
      <c r="H475" s="282"/>
      <c r="I475" s="282"/>
      <c r="J475" s="282"/>
      <c r="K475" s="282">
        <f t="shared" si="288"/>
        <v>223</v>
      </c>
      <c r="L475" s="278">
        <f t="shared" si="289"/>
        <v>0.61095890410958908</v>
      </c>
      <c r="M475" s="295">
        <v>2974.43</v>
      </c>
      <c r="N475" s="279">
        <f t="shared" si="290"/>
        <v>45625.57</v>
      </c>
      <c r="O475" s="278">
        <f t="shared" si="291"/>
        <v>9.3890410958904109</v>
      </c>
      <c r="P475" s="278">
        <f t="shared" si="292"/>
        <v>45625.57</v>
      </c>
      <c r="Q475" s="279">
        <f t="shared" si="293"/>
        <v>4859.4493872191424</v>
      </c>
      <c r="R475" s="279">
        <f t="shared" si="294"/>
        <v>40766.120612780855</v>
      </c>
      <c r="S475" s="250">
        <f>+[1]Sheet1!$I$513</f>
        <v>-4860</v>
      </c>
      <c r="T475" s="232">
        <f t="shared" si="295"/>
        <v>0.55061278085759113</v>
      </c>
      <c r="U475" s="221"/>
    </row>
    <row r="476" spans="1:21">
      <c r="A476" s="296" t="s">
        <v>304</v>
      </c>
      <c r="B476" s="297">
        <v>43705</v>
      </c>
      <c r="C476" s="295">
        <v>94090</v>
      </c>
      <c r="D476" s="282"/>
      <c r="E476" s="282"/>
      <c r="F476" s="282"/>
      <c r="G476" s="278">
        <v>0</v>
      </c>
      <c r="H476" s="282"/>
      <c r="I476" s="282"/>
      <c r="J476" s="282"/>
      <c r="K476" s="282">
        <f t="shared" si="288"/>
        <v>216</v>
      </c>
      <c r="L476" s="278">
        <f t="shared" si="289"/>
        <v>0.59178082191780823</v>
      </c>
      <c r="M476" s="295">
        <v>5578.56</v>
      </c>
      <c r="N476" s="279">
        <f t="shared" si="290"/>
        <v>88511.44</v>
      </c>
      <c r="O476" s="278">
        <f t="shared" si="291"/>
        <v>9.4082191780821915</v>
      </c>
      <c r="P476" s="278">
        <f t="shared" si="292"/>
        <v>88511.44</v>
      </c>
      <c r="Q476" s="279">
        <f t="shared" si="293"/>
        <v>9407.8845661036703</v>
      </c>
      <c r="R476" s="279">
        <f t="shared" si="294"/>
        <v>79103.555433896327</v>
      </c>
      <c r="S476" s="250">
        <f>+[1]Sheet1!$I$514</f>
        <v>-9409</v>
      </c>
      <c r="T476" s="232">
        <f t="shared" si="295"/>
        <v>1.115433896329705</v>
      </c>
      <c r="U476" s="221"/>
    </row>
    <row r="477" spans="1:21">
      <c r="A477" s="296" t="s">
        <v>305</v>
      </c>
      <c r="B477" s="297">
        <v>43734</v>
      </c>
      <c r="C477" s="295">
        <v>2125300.54</v>
      </c>
      <c r="D477" s="282"/>
      <c r="E477" s="282"/>
      <c r="F477" s="282"/>
      <c r="G477" s="278">
        <v>0</v>
      </c>
      <c r="H477" s="282"/>
      <c r="I477" s="282"/>
      <c r="J477" s="282"/>
      <c r="K477" s="282">
        <f t="shared" si="288"/>
        <v>187</v>
      </c>
      <c r="L477" s="278">
        <f t="shared" si="289"/>
        <v>0.51232876712328768</v>
      </c>
      <c r="M477" s="295">
        <v>109168.44</v>
      </c>
      <c r="N477" s="279">
        <f t="shared" si="290"/>
        <v>2016132.1</v>
      </c>
      <c r="O477" s="278">
        <f t="shared" si="291"/>
        <v>9.4876712328767123</v>
      </c>
      <c r="P477" s="278">
        <f t="shared" si="292"/>
        <v>2016132.1</v>
      </c>
      <c r="Q477" s="279">
        <f t="shared" si="293"/>
        <v>212500.20690153047</v>
      </c>
      <c r="R477" s="279">
        <f t="shared" si="294"/>
        <v>1803631.8930984696</v>
      </c>
      <c r="S477" s="250">
        <f>+[1]Sheet1!$I$515</f>
        <v>-212530.05</v>
      </c>
      <c r="T477" s="232">
        <f t="shared" si="295"/>
        <v>29.843098469515098</v>
      </c>
      <c r="U477" s="221"/>
    </row>
    <row r="478" spans="1:21">
      <c r="A478" s="296" t="s">
        <v>306</v>
      </c>
      <c r="B478" s="297">
        <v>43844</v>
      </c>
      <c r="C478" s="295">
        <v>1000000.06</v>
      </c>
      <c r="D478" s="282"/>
      <c r="E478" s="282"/>
      <c r="F478" s="282"/>
      <c r="G478" s="278">
        <v>0</v>
      </c>
      <c r="H478" s="282"/>
      <c r="I478" s="282"/>
      <c r="J478" s="282"/>
      <c r="K478" s="282">
        <f t="shared" si="288"/>
        <v>77</v>
      </c>
      <c r="L478" s="278">
        <f t="shared" si="289"/>
        <v>0.21095890410958903</v>
      </c>
      <c r="M478" s="295">
        <v>21311.48</v>
      </c>
      <c r="N478" s="279">
        <f t="shared" si="290"/>
        <v>978688.58000000007</v>
      </c>
      <c r="O478" s="278">
        <f t="shared" si="291"/>
        <v>9.7890410958904113</v>
      </c>
      <c r="P478" s="278">
        <f t="shared" si="292"/>
        <v>978688.58000000007</v>
      </c>
      <c r="Q478" s="279">
        <f t="shared" si="293"/>
        <v>99977.982563671991</v>
      </c>
      <c r="R478" s="279">
        <f t="shared" si="294"/>
        <v>878710.59743632807</v>
      </c>
      <c r="S478" s="250">
        <f>+[1]Sheet1!$I$516</f>
        <v>-100000.01</v>
      </c>
      <c r="T478" s="232">
        <f t="shared" si="295"/>
        <v>22.027436328004114</v>
      </c>
      <c r="U478" s="221"/>
    </row>
    <row r="479" spans="1:21">
      <c r="A479" s="314"/>
      <c r="B479" s="315"/>
      <c r="C479" s="286"/>
      <c r="D479" s="282"/>
      <c r="E479" s="282"/>
      <c r="F479" s="282"/>
      <c r="G479" s="278"/>
      <c r="H479" s="282"/>
      <c r="I479" s="282"/>
      <c r="J479" s="282"/>
      <c r="K479" s="282"/>
      <c r="L479" s="278"/>
      <c r="M479" s="281"/>
      <c r="N479" s="279"/>
      <c r="O479" s="278"/>
      <c r="P479" s="278"/>
      <c r="Q479" s="279"/>
      <c r="R479" s="279"/>
      <c r="S479" s="250"/>
      <c r="T479" s="232">
        <f t="shared" si="295"/>
        <v>0</v>
      </c>
      <c r="U479" s="221"/>
    </row>
    <row r="480" spans="1:21" ht="15">
      <c r="A480" s="101" t="s">
        <v>142</v>
      </c>
      <c r="B480" s="111"/>
      <c r="C480" s="117">
        <f>+SUM(C472:C478)</f>
        <v>7189765.5999999996</v>
      </c>
      <c r="D480" s="111"/>
      <c r="E480" s="111"/>
      <c r="F480" s="111"/>
      <c r="G480" s="114"/>
      <c r="H480" s="111"/>
      <c r="I480" s="111"/>
      <c r="J480" s="111"/>
      <c r="K480" s="111"/>
      <c r="L480" s="114"/>
      <c r="M480" s="117">
        <f>+SUM(M472:M478)</f>
        <v>666574.14000000013</v>
      </c>
      <c r="N480" s="117">
        <f>+SUM(N472:N478)</f>
        <v>6523191.46</v>
      </c>
      <c r="O480" s="114"/>
      <c r="P480" s="117">
        <f t="shared" ref="P480:R480" si="296">+SUM(P472:P478)</f>
        <v>6523191.46</v>
      </c>
      <c r="Q480" s="117">
        <f t="shared" si="296"/>
        <v>719039.83712722978</v>
      </c>
      <c r="R480" s="117">
        <f t="shared" si="296"/>
        <v>5804151.6228727708</v>
      </c>
      <c r="S480" s="232"/>
      <c r="T480" s="232"/>
      <c r="U480" s="252">
        <f>-SUM(S472:S478)</f>
        <v>718976.56</v>
      </c>
    </row>
    <row r="481" spans="1:21">
      <c r="S481" s="232"/>
      <c r="T481" s="232"/>
    </row>
    <row r="482" spans="1:21">
      <c r="A482" s="120" t="s">
        <v>323</v>
      </c>
      <c r="C482" s="215">
        <f>+C12+C259+C290+C351+C358+C366+C389+C470+C480</f>
        <v>651888242.49999988</v>
      </c>
      <c r="M482" s="215">
        <f>+M12+M259+M290+M351+M358+M366+M389+M470+M480</f>
        <v>294407003.77220047</v>
      </c>
      <c r="N482" s="215">
        <f>+N12+N259+N290+N351+N358+N366+N389+N470+N480</f>
        <v>357481238.72779936</v>
      </c>
      <c r="P482" s="215">
        <f>+P12+P259+P290+P351+P358+P366+P389+P470+P480</f>
        <v>136133772.67699999</v>
      </c>
      <c r="Q482" s="215">
        <f>+Q12+Q259+Q290+Q351+Q358+Q366+Q389+Q470+Q480</f>
        <v>29503311.952307992</v>
      </c>
      <c r="R482" s="215">
        <f>+R12+R259+R290+R351+R358+R366+R389+R470+R480</f>
        <v>327977926.77549124</v>
      </c>
      <c r="S482" s="232">
        <f>+SUM(S3:S480)</f>
        <v>-27710673.650000013</v>
      </c>
      <c r="T482" s="232">
        <f>+SUM(T3:T480)</f>
        <v>-1792674.9588129194</v>
      </c>
      <c r="U482" s="221">
        <f>+SUM(U4:U480)</f>
        <v>27710673.650000006</v>
      </c>
    </row>
    <row r="483" spans="1:21">
      <c r="C483" s="215"/>
      <c r="S483" s="232"/>
      <c r="T483" s="232"/>
    </row>
    <row r="484" spans="1:21" hidden="1">
      <c r="C484" s="215"/>
      <c r="Q484" s="118" t="s">
        <v>336</v>
      </c>
      <c r="R484" s="118"/>
      <c r="S484" s="243">
        <f>+SUM(S4:S479)</f>
        <v>-27710673.650000013</v>
      </c>
      <c r="T484" s="232"/>
    </row>
    <row r="485" spans="1:21" hidden="1">
      <c r="C485" s="215"/>
      <c r="N485" s="246"/>
      <c r="Q485" s="118" t="s">
        <v>337</v>
      </c>
      <c r="R485" s="119"/>
      <c r="S485" s="249">
        <f>+'DEP ADD 2020-21'!K83</f>
        <v>-176294.02000000005</v>
      </c>
      <c r="T485" s="232"/>
    </row>
    <row r="486" spans="1:21" hidden="1">
      <c r="Q486" s="118"/>
      <c r="R486" s="118"/>
      <c r="S486" s="243"/>
      <c r="T486" s="232">
        <f t="shared" si="249"/>
        <v>0</v>
      </c>
    </row>
    <row r="487" spans="1:21" hidden="1">
      <c r="Q487" s="118" t="s">
        <v>338</v>
      </c>
      <c r="R487" s="118"/>
      <c r="S487" s="243">
        <f>+S484+S485</f>
        <v>-27886967.670000013</v>
      </c>
      <c r="T487" s="232">
        <f>+S487-[1]Sheet1!$I$611</f>
        <v>0</v>
      </c>
    </row>
    <row r="488" spans="1:21" hidden="1">
      <c r="S488" s="232"/>
      <c r="T488" s="232"/>
    </row>
    <row r="489" spans="1:21" hidden="1">
      <c r="Q489" s="215" t="s">
        <v>339</v>
      </c>
      <c r="S489" s="222">
        <f>-[1]Sheet1!$I$611</f>
        <v>27886967.670000002</v>
      </c>
      <c r="T489" s="232"/>
    </row>
    <row r="490" spans="1:21" hidden="1">
      <c r="S490" s="232"/>
      <c r="T490" s="232"/>
    </row>
    <row r="491" spans="1:21" hidden="1">
      <c r="Q491" s="251" t="s">
        <v>340</v>
      </c>
      <c r="S491" s="232"/>
      <c r="T491" s="232"/>
    </row>
    <row r="492" spans="1:21" hidden="1">
      <c r="S492" s="232"/>
      <c r="T492" s="232"/>
    </row>
    <row r="493" spans="1:21" hidden="1">
      <c r="Q493" s="215" t="s">
        <v>341</v>
      </c>
      <c r="R493" s="232">
        <f>+Q482</f>
        <v>29503311.952307992</v>
      </c>
      <c r="T493" s="232"/>
    </row>
    <row r="494" spans="1:21" hidden="1">
      <c r="Q494" s="215" t="s">
        <v>342</v>
      </c>
      <c r="R494" s="232">
        <f>+'DEP ADD 2020-21'!I83</f>
        <v>176293.99853936073</v>
      </c>
      <c r="S494" s="252">
        <f>+R494+R493</f>
        <v>29679605.950847354</v>
      </c>
      <c r="T494" s="232"/>
    </row>
    <row r="495" spans="1:21" hidden="1">
      <c r="S495" s="232"/>
      <c r="T495" s="232"/>
    </row>
    <row r="496" spans="1:21" hidden="1">
      <c r="Q496" s="246" t="s">
        <v>333</v>
      </c>
      <c r="R496" s="246"/>
      <c r="S496" s="253">
        <f>+S489-SUM(R493:R494)</f>
        <v>-1792638.280847352</v>
      </c>
      <c r="T496" s="232">
        <f>+S496-T482</f>
        <v>36.677965567447245</v>
      </c>
    </row>
    <row r="497" spans="17:20" hidden="1">
      <c r="Q497" s="215" t="s">
        <v>343</v>
      </c>
      <c r="R497" s="215">
        <f>+T482</f>
        <v>-1792674.9588129194</v>
      </c>
      <c r="S497" s="232"/>
      <c r="T497" s="232"/>
    </row>
    <row r="498" spans="17:20" hidden="1">
      <c r="Q498" s="215" t="s">
        <v>344</v>
      </c>
      <c r="R498" s="215">
        <f>+'DEP ADD 2020-21'!L83</f>
        <v>0</v>
      </c>
      <c r="S498" s="232"/>
      <c r="T498" s="232"/>
    </row>
    <row r="499" spans="17:20" hidden="1">
      <c r="S499" s="232"/>
      <c r="T499" s="232"/>
    </row>
    <row r="500" spans="17:20" hidden="1">
      <c r="S500" s="232"/>
      <c r="T500" s="232"/>
    </row>
    <row r="501" spans="17:20" hidden="1">
      <c r="S501" s="232"/>
      <c r="T501" s="232"/>
    </row>
    <row r="502" spans="17:20" hidden="1"/>
    <row r="503" spans="17:20" hidden="1"/>
    <row r="504" spans="17:20" hidden="1"/>
    <row r="505" spans="17:20" hidden="1"/>
    <row r="506" spans="17:20" hidden="1"/>
    <row r="507" spans="17:20" hidden="1"/>
    <row r="508" spans="17:20" hidden="1"/>
    <row r="509" spans="17:20" hidden="1"/>
    <row r="510" spans="17:20" hidden="1"/>
    <row r="511" spans="17:20" hidden="1"/>
    <row r="512" spans="17:20" hidden="1"/>
    <row r="513" hidden="1"/>
    <row r="514" hidden="1"/>
    <row r="515" hidden="1"/>
    <row r="516" hidden="1"/>
    <row r="517" hidden="1"/>
    <row r="518" hidden="1"/>
    <row r="519" hidden="1"/>
    <row r="520" hidden="1"/>
  </sheetData>
  <sortState ref="B26:U119">
    <sortCondition ref="B25"/>
  </sortState>
  <mergeCells count="2">
    <mergeCell ref="S120:S232"/>
    <mergeCell ref="T120:T232"/>
  </mergeCells>
  <printOptions horizontalCentered="1"/>
  <pageMargins left="0" right="0" top="0" bottom="0" header="0" footer="0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3"/>
  <sheetViews>
    <sheetView tabSelected="1" workbookViewId="0">
      <selection activeCell="J1" sqref="J1"/>
    </sheetView>
  </sheetViews>
  <sheetFormatPr defaultRowHeight="14.4"/>
  <cols>
    <col min="1" max="1" width="46.33203125" bestFit="1" customWidth="1"/>
    <col min="2" max="2" width="12.6640625" bestFit="1" customWidth="1"/>
    <col min="3" max="3" width="10.109375" bestFit="1" customWidth="1"/>
    <col min="4" max="4" width="7" bestFit="1" customWidth="1"/>
    <col min="5" max="5" width="6.88671875" bestFit="1" customWidth="1"/>
    <col min="6" max="6" width="10.109375" bestFit="1" customWidth="1"/>
    <col min="9" max="9" width="9.5546875" bestFit="1" customWidth="1"/>
    <col min="10" max="10" width="12.5546875" bestFit="1" customWidth="1"/>
    <col min="11" max="11" width="15" hidden="1" customWidth="1"/>
    <col min="12" max="12" width="12.33203125" hidden="1" customWidth="1"/>
    <col min="13" max="13" width="11.33203125" hidden="1" customWidth="1"/>
    <col min="14" max="15" width="0" hidden="1" customWidth="1"/>
  </cols>
  <sheetData>
    <row r="1" spans="1:14" ht="40.200000000000003">
      <c r="A1" s="168" t="s">
        <v>143</v>
      </c>
      <c r="B1" s="184" t="s">
        <v>144</v>
      </c>
      <c r="C1" s="168" t="s">
        <v>145</v>
      </c>
      <c r="D1" s="168" t="s">
        <v>146</v>
      </c>
      <c r="E1" s="168" t="s">
        <v>147</v>
      </c>
      <c r="F1" s="168" t="s">
        <v>148</v>
      </c>
      <c r="G1" s="168" t="s">
        <v>149</v>
      </c>
      <c r="H1" s="168" t="s">
        <v>150</v>
      </c>
      <c r="I1" s="173" t="s">
        <v>362</v>
      </c>
      <c r="J1" s="169" t="s">
        <v>361</v>
      </c>
      <c r="K1" s="223" t="s">
        <v>334</v>
      </c>
      <c r="L1" s="223" t="s">
        <v>335</v>
      </c>
    </row>
    <row r="2" spans="1:14">
      <c r="A2" s="151" t="s">
        <v>223</v>
      </c>
      <c r="B2" s="174"/>
      <c r="C2" s="153"/>
      <c r="D2" s="153"/>
      <c r="E2" s="153"/>
      <c r="F2" s="154">
        <v>44286</v>
      </c>
      <c r="G2" s="153"/>
      <c r="H2" s="153"/>
      <c r="I2" s="174"/>
      <c r="J2" s="152"/>
    </row>
    <row r="3" spans="1:14">
      <c r="A3" s="101" t="s">
        <v>10</v>
      </c>
      <c r="B3" s="185"/>
      <c r="C3" s="144"/>
      <c r="D3" s="144"/>
      <c r="E3" s="144"/>
      <c r="F3" s="144"/>
      <c r="G3" s="144"/>
      <c r="H3" s="144"/>
      <c r="I3" s="175"/>
      <c r="J3" s="150"/>
    </row>
    <row r="4" spans="1:14">
      <c r="A4" s="340" t="s">
        <v>359</v>
      </c>
      <c r="B4" s="342">
        <v>1057000</v>
      </c>
      <c r="C4" s="341">
        <v>44067</v>
      </c>
      <c r="D4" s="204">
        <f>B4*5%</f>
        <v>52850</v>
      </c>
      <c r="E4" s="203">
        <v>20</v>
      </c>
      <c r="F4" s="203">
        <f>$F$2-C4+1</f>
        <v>220</v>
      </c>
      <c r="G4" s="203">
        <f>F4/365</f>
        <v>0.60273972602739723</v>
      </c>
      <c r="H4" s="203">
        <f>(E4-G4)*365</f>
        <v>7080</v>
      </c>
      <c r="I4" s="200">
        <f>((B4-D4)/(E4))*F4/365</f>
        <v>30262.054794520547</v>
      </c>
      <c r="J4" s="204">
        <f>B4-I4</f>
        <v>1026737.9452054794</v>
      </c>
      <c r="K4" s="226">
        <f>+[1]Sheet1!$I$202</f>
        <v>-30262.05</v>
      </c>
      <c r="L4" s="226">
        <f>-ROUND(K4+I4,0)</f>
        <v>0</v>
      </c>
    </row>
    <row r="5" spans="1:14">
      <c r="A5" s="340" t="s">
        <v>360</v>
      </c>
      <c r="B5" s="342">
        <v>400000</v>
      </c>
      <c r="C5" s="341">
        <v>44250</v>
      </c>
      <c r="D5" s="204">
        <f>B5*5%</f>
        <v>20000</v>
      </c>
      <c r="E5" s="203">
        <v>20</v>
      </c>
      <c r="F5" s="203">
        <f>$F$2-C5+1</f>
        <v>37</v>
      </c>
      <c r="G5" s="203">
        <f>F5/365</f>
        <v>0.10136986301369863</v>
      </c>
      <c r="H5" s="203">
        <f>(E5-G5)*365</f>
        <v>7263</v>
      </c>
      <c r="I5" s="200">
        <f>((B5-D5)/(E5))*F5/365</f>
        <v>1926.027397260274</v>
      </c>
      <c r="J5" s="204">
        <f>B5-I5</f>
        <v>398073.9726027397</v>
      </c>
      <c r="K5" s="226">
        <f>+[1]Sheet1!$I$203</f>
        <v>-1926.03</v>
      </c>
      <c r="L5" s="226">
        <f>-ROUND(K5+I5,0)</f>
        <v>0</v>
      </c>
      <c r="N5">
        <f>400000*95%</f>
        <v>380000</v>
      </c>
    </row>
    <row r="6" spans="1:14">
      <c r="A6" s="140"/>
      <c r="B6" s="261">
        <f>+SUM(B4:B5)</f>
        <v>1457000</v>
      </c>
      <c r="C6" s="157"/>
      <c r="D6" s="144"/>
      <c r="E6" s="144"/>
      <c r="F6" s="144"/>
      <c r="G6" s="144"/>
      <c r="H6" s="144"/>
      <c r="I6" s="261">
        <f t="shared" ref="I6:J6" si="0">+SUM(I4:I5)</f>
        <v>32188.082191780821</v>
      </c>
      <c r="J6" s="261">
        <f t="shared" si="0"/>
        <v>1424811.9178082191</v>
      </c>
      <c r="M6" s="264">
        <f>-SUM(K4:K5)</f>
        <v>32188.079999999998</v>
      </c>
    </row>
    <row r="7" spans="1:14">
      <c r="A7" s="160" t="s">
        <v>8</v>
      </c>
      <c r="B7" s="176"/>
      <c r="C7" s="157"/>
      <c r="D7" s="158"/>
      <c r="E7" s="139"/>
      <c r="F7" s="144"/>
      <c r="G7" s="144"/>
      <c r="H7" s="144"/>
      <c r="I7" s="176"/>
      <c r="J7" s="159"/>
    </row>
    <row r="8" spans="1:14">
      <c r="A8" s="340" t="s">
        <v>386</v>
      </c>
      <c r="B8" s="342">
        <v>25390.62</v>
      </c>
      <c r="C8" s="341">
        <v>44044</v>
      </c>
      <c r="D8" s="158">
        <f>B8*5%</f>
        <v>1269.5309999999999</v>
      </c>
      <c r="E8" s="139">
        <v>5</v>
      </c>
      <c r="F8" s="144">
        <f>$F$2-C8+1</f>
        <v>243</v>
      </c>
      <c r="G8" s="144">
        <f>F8/365</f>
        <v>0.66575342465753429</v>
      </c>
      <c r="H8" s="144">
        <f>(E8-G8)*365</f>
        <v>1582</v>
      </c>
      <c r="I8" s="176">
        <f>((B8-D8)/(E8))*F8/365</f>
        <v>3211.7395216438358</v>
      </c>
      <c r="J8" s="159">
        <f t="shared" ref="J8:J23" si="1">B8-I8</f>
        <v>22178.880478356165</v>
      </c>
      <c r="K8" s="342">
        <v>-3211.74</v>
      </c>
      <c r="L8" s="226">
        <f t="shared" ref="L8:L23" si="2">-ROUND(K8+I8,0)</f>
        <v>0</v>
      </c>
    </row>
    <row r="9" spans="1:14">
      <c r="A9" s="340" t="s">
        <v>387</v>
      </c>
      <c r="B9" s="342">
        <v>45200</v>
      </c>
      <c r="C9" s="341">
        <v>44056</v>
      </c>
      <c r="D9" s="158">
        <f>B9*5%</f>
        <v>2260</v>
      </c>
      <c r="E9" s="139">
        <v>5</v>
      </c>
      <c r="F9" s="144">
        <f t="shared" ref="F9:F23" si="3">$F$2-C9+1</f>
        <v>231</v>
      </c>
      <c r="G9" s="144">
        <f t="shared" ref="G9:G23" si="4">F9/365</f>
        <v>0.63287671232876708</v>
      </c>
      <c r="H9" s="144">
        <f t="shared" ref="H9:H23" si="5">(E9-G9)*365</f>
        <v>1594</v>
      </c>
      <c r="I9" s="176">
        <f t="shared" ref="I9:I23" si="6">((B9-D9)/(E9))*F9/365</f>
        <v>5435.1452054794518</v>
      </c>
      <c r="J9" s="159">
        <f t="shared" si="1"/>
        <v>39764.85479452055</v>
      </c>
      <c r="K9" s="342">
        <v>-5435.15</v>
      </c>
      <c r="L9" s="226">
        <f t="shared" si="2"/>
        <v>0</v>
      </c>
    </row>
    <row r="10" spans="1:14">
      <c r="A10" s="340" t="s">
        <v>388</v>
      </c>
      <c r="B10" s="342">
        <v>26554.69</v>
      </c>
      <c r="C10" s="341">
        <v>44089</v>
      </c>
      <c r="D10" s="158">
        <f t="shared" ref="D10:D23" si="7">B10*5%</f>
        <v>1327.7345</v>
      </c>
      <c r="E10" s="139">
        <v>5</v>
      </c>
      <c r="F10" s="144">
        <f t="shared" si="3"/>
        <v>198</v>
      </c>
      <c r="G10" s="144">
        <f t="shared" si="4"/>
        <v>0.54246575342465753</v>
      </c>
      <c r="H10" s="144">
        <f t="shared" si="5"/>
        <v>1627</v>
      </c>
      <c r="I10" s="176">
        <f t="shared" si="6"/>
        <v>2736.9518843835617</v>
      </c>
      <c r="J10" s="159">
        <f t="shared" si="1"/>
        <v>23817.738115616437</v>
      </c>
      <c r="K10" s="342">
        <v>-2736.95</v>
      </c>
      <c r="L10" s="226">
        <f t="shared" si="2"/>
        <v>0</v>
      </c>
    </row>
    <row r="11" spans="1:14">
      <c r="A11" s="340" t="s">
        <v>389</v>
      </c>
      <c r="B11" s="342">
        <v>103720.34</v>
      </c>
      <c r="C11" s="341">
        <v>44097</v>
      </c>
      <c r="D11" s="158">
        <f t="shared" si="7"/>
        <v>5186.0169999999998</v>
      </c>
      <c r="E11" s="139">
        <v>5</v>
      </c>
      <c r="F11" s="144">
        <f t="shared" si="3"/>
        <v>190</v>
      </c>
      <c r="G11" s="144">
        <f t="shared" si="4"/>
        <v>0.52054794520547942</v>
      </c>
      <c r="H11" s="144">
        <f t="shared" si="5"/>
        <v>1635</v>
      </c>
      <c r="I11" s="176">
        <f t="shared" si="6"/>
        <v>10258.367873972604</v>
      </c>
      <c r="J11" s="159">
        <f t="shared" si="1"/>
        <v>93461.972126027395</v>
      </c>
      <c r="K11" s="342">
        <v>-10258.370000000001</v>
      </c>
      <c r="L11" s="226">
        <f t="shared" si="2"/>
        <v>0</v>
      </c>
    </row>
    <row r="12" spans="1:14">
      <c r="A12" s="340" t="s">
        <v>390</v>
      </c>
      <c r="B12" s="342">
        <v>63906.78</v>
      </c>
      <c r="C12" s="341">
        <v>44097</v>
      </c>
      <c r="D12" s="158">
        <f t="shared" ref="D12" si="8">B12*5%</f>
        <v>3195.3389999999999</v>
      </c>
      <c r="E12" s="139">
        <v>5</v>
      </c>
      <c r="F12" s="144">
        <f t="shared" ref="F12" si="9">$F$2-C12+1</f>
        <v>190</v>
      </c>
      <c r="G12" s="144">
        <f t="shared" si="4"/>
        <v>0.52054794520547942</v>
      </c>
      <c r="H12" s="144">
        <f t="shared" si="5"/>
        <v>1635</v>
      </c>
      <c r="I12" s="176">
        <f t="shared" si="6"/>
        <v>6320.6431726027395</v>
      </c>
      <c r="J12" s="159">
        <f t="shared" ref="J12" si="10">B12-I12</f>
        <v>57586.136827397262</v>
      </c>
      <c r="K12" s="342">
        <v>-6320.64</v>
      </c>
      <c r="L12" s="226">
        <f t="shared" ref="L12" si="11">-ROUND(K12+I12,0)</f>
        <v>0</v>
      </c>
    </row>
    <row r="13" spans="1:14">
      <c r="A13" s="340" t="s">
        <v>391</v>
      </c>
      <c r="B13" s="342">
        <v>24900</v>
      </c>
      <c r="C13" s="341">
        <v>44114</v>
      </c>
      <c r="D13" s="158">
        <f t="shared" si="7"/>
        <v>1245</v>
      </c>
      <c r="E13" s="139">
        <v>5</v>
      </c>
      <c r="F13" s="144">
        <f t="shared" si="3"/>
        <v>173</v>
      </c>
      <c r="G13" s="144">
        <f t="shared" si="4"/>
        <v>0.47397260273972602</v>
      </c>
      <c r="H13" s="144">
        <f t="shared" si="5"/>
        <v>1651.9999999999998</v>
      </c>
      <c r="I13" s="176">
        <f t="shared" si="6"/>
        <v>2242.364383561644</v>
      </c>
      <c r="J13" s="159">
        <f t="shared" si="1"/>
        <v>22657.635616438354</v>
      </c>
      <c r="K13" s="342">
        <v>-2242.36</v>
      </c>
      <c r="L13" s="226">
        <f t="shared" si="2"/>
        <v>0</v>
      </c>
    </row>
    <row r="14" spans="1:14">
      <c r="A14" s="340" t="s">
        <v>392</v>
      </c>
      <c r="B14" s="342">
        <v>20800.330000000002</v>
      </c>
      <c r="C14" s="341">
        <v>44163</v>
      </c>
      <c r="D14" s="158">
        <f t="shared" ref="D14" si="12">B14*5%</f>
        <v>1040.0165000000002</v>
      </c>
      <c r="E14" s="139">
        <v>5</v>
      </c>
      <c r="F14" s="144">
        <f t="shared" ref="F14" si="13">$F$2-C14+1</f>
        <v>124</v>
      </c>
      <c r="G14" s="144">
        <f t="shared" si="4"/>
        <v>0.33972602739726027</v>
      </c>
      <c r="H14" s="144">
        <f t="shared" si="5"/>
        <v>1701</v>
      </c>
      <c r="I14" s="176">
        <f t="shared" si="6"/>
        <v>1342.6185610958905</v>
      </c>
      <c r="J14" s="159">
        <f t="shared" ref="J14" si="14">B14-I14</f>
        <v>19457.711438904113</v>
      </c>
      <c r="K14" s="342">
        <v>-1342.62</v>
      </c>
      <c r="L14" s="226">
        <f t="shared" ref="L14" si="15">-ROUND(K14+I14,0)</f>
        <v>0</v>
      </c>
    </row>
    <row r="15" spans="1:14">
      <c r="A15" s="340" t="s">
        <v>393</v>
      </c>
      <c r="B15" s="342">
        <v>21000</v>
      </c>
      <c r="C15" s="341">
        <v>44192</v>
      </c>
      <c r="D15" s="158">
        <f t="shared" si="7"/>
        <v>1050</v>
      </c>
      <c r="E15" s="139">
        <v>5</v>
      </c>
      <c r="F15" s="144">
        <f t="shared" si="3"/>
        <v>95</v>
      </c>
      <c r="G15" s="144">
        <f t="shared" si="4"/>
        <v>0.26027397260273971</v>
      </c>
      <c r="H15" s="144">
        <f t="shared" si="5"/>
        <v>1730</v>
      </c>
      <c r="I15" s="176">
        <f t="shared" si="6"/>
        <v>1038.4931506849316</v>
      </c>
      <c r="J15" s="159">
        <f t="shared" si="1"/>
        <v>19961.506849315068</v>
      </c>
      <c r="K15" s="342">
        <v>-1038.49</v>
      </c>
      <c r="L15" s="226">
        <f t="shared" si="2"/>
        <v>0</v>
      </c>
    </row>
    <row r="16" spans="1:14">
      <c r="A16" s="340" t="s">
        <v>394</v>
      </c>
      <c r="B16" s="342">
        <v>8898.2999999999993</v>
      </c>
      <c r="C16" s="341">
        <v>44194</v>
      </c>
      <c r="D16" s="158">
        <f t="shared" ref="D16" si="16">B16*5%</f>
        <v>444.91499999999996</v>
      </c>
      <c r="E16" s="139">
        <v>5</v>
      </c>
      <c r="F16" s="144">
        <f t="shared" ref="F16" si="17">$F$2-C16+1</f>
        <v>93</v>
      </c>
      <c r="G16" s="144">
        <f t="shared" si="4"/>
        <v>0.25479452054794521</v>
      </c>
      <c r="H16" s="144">
        <f t="shared" si="5"/>
        <v>1731.9999999999998</v>
      </c>
      <c r="I16" s="176">
        <f t="shared" si="6"/>
        <v>430.77523561643829</v>
      </c>
      <c r="J16" s="159">
        <f t="shared" ref="J16" si="18">B16-I16</f>
        <v>8467.524764383561</v>
      </c>
      <c r="K16" s="342">
        <v>-430.77</v>
      </c>
      <c r="L16" s="226">
        <f t="shared" ref="L16" si="19">-ROUND(K16+I16,0)</f>
        <v>0</v>
      </c>
    </row>
    <row r="17" spans="1:13">
      <c r="A17" s="340" t="s">
        <v>395</v>
      </c>
      <c r="B17" s="342">
        <v>35500</v>
      </c>
      <c r="C17" s="341">
        <v>44249</v>
      </c>
      <c r="D17" s="158">
        <f t="shared" si="7"/>
        <v>1775</v>
      </c>
      <c r="E17" s="139">
        <v>5</v>
      </c>
      <c r="F17" s="144">
        <f t="shared" si="3"/>
        <v>38</v>
      </c>
      <c r="G17" s="144">
        <f t="shared" si="4"/>
        <v>0.10410958904109589</v>
      </c>
      <c r="H17" s="144">
        <f t="shared" si="5"/>
        <v>1787</v>
      </c>
      <c r="I17" s="176">
        <f t="shared" si="6"/>
        <v>702.21917808219177</v>
      </c>
      <c r="J17" s="159">
        <f t="shared" si="1"/>
        <v>34797.780821917811</v>
      </c>
      <c r="K17" s="342">
        <v>-702.22</v>
      </c>
      <c r="L17" s="226">
        <f t="shared" si="2"/>
        <v>0</v>
      </c>
    </row>
    <row r="18" spans="1:13">
      <c r="A18" s="340" t="s">
        <v>396</v>
      </c>
      <c r="B18" s="342">
        <v>10875</v>
      </c>
      <c r="C18" s="341">
        <v>44257</v>
      </c>
      <c r="D18" s="158">
        <f t="shared" ref="D18" si="20">B18*5%</f>
        <v>543.75</v>
      </c>
      <c r="E18" s="139">
        <v>5</v>
      </c>
      <c r="F18" s="144">
        <f t="shared" ref="F18" si="21">$F$2-C18+1</f>
        <v>30</v>
      </c>
      <c r="G18" s="144">
        <f t="shared" si="4"/>
        <v>8.2191780821917804E-2</v>
      </c>
      <c r="H18" s="144">
        <f t="shared" si="5"/>
        <v>1794.9999999999998</v>
      </c>
      <c r="I18" s="176">
        <f t="shared" si="6"/>
        <v>169.82876712328766</v>
      </c>
      <c r="J18" s="159">
        <f t="shared" ref="J18" si="22">B18-I18</f>
        <v>10705.171232876712</v>
      </c>
      <c r="K18" s="342">
        <v>-169.83</v>
      </c>
      <c r="L18" s="226">
        <f t="shared" ref="L18" si="23">-ROUND(K18+I18,0)</f>
        <v>0</v>
      </c>
    </row>
    <row r="19" spans="1:13">
      <c r="A19" s="340" t="s">
        <v>397</v>
      </c>
      <c r="B19" s="342">
        <v>10875</v>
      </c>
      <c r="C19" s="341">
        <v>44257</v>
      </c>
      <c r="D19" s="158">
        <f t="shared" si="7"/>
        <v>543.75</v>
      </c>
      <c r="E19" s="139">
        <v>5</v>
      </c>
      <c r="F19" s="144">
        <f t="shared" si="3"/>
        <v>30</v>
      </c>
      <c r="G19" s="144">
        <f t="shared" si="4"/>
        <v>8.2191780821917804E-2</v>
      </c>
      <c r="H19" s="144">
        <f t="shared" si="5"/>
        <v>1794.9999999999998</v>
      </c>
      <c r="I19" s="176">
        <f t="shared" si="6"/>
        <v>169.82876712328766</v>
      </c>
      <c r="J19" s="159">
        <f t="shared" si="1"/>
        <v>10705.171232876712</v>
      </c>
      <c r="K19" s="342">
        <v>-169.83</v>
      </c>
      <c r="L19" s="226">
        <f t="shared" si="2"/>
        <v>0</v>
      </c>
    </row>
    <row r="20" spans="1:13">
      <c r="A20" s="340" t="s">
        <v>398</v>
      </c>
      <c r="B20" s="342">
        <v>10875</v>
      </c>
      <c r="C20" s="341">
        <v>44257</v>
      </c>
      <c r="D20" s="224">
        <f t="shared" ref="D20" si="24">B20*5%</f>
        <v>543.75</v>
      </c>
      <c r="E20" s="225">
        <v>5</v>
      </c>
      <c r="F20" s="127">
        <f t="shared" si="3"/>
        <v>30</v>
      </c>
      <c r="G20" s="144">
        <f t="shared" si="4"/>
        <v>8.2191780821917804E-2</v>
      </c>
      <c r="H20" s="144">
        <f t="shared" si="5"/>
        <v>1794.9999999999998</v>
      </c>
      <c r="I20" s="176">
        <f t="shared" si="6"/>
        <v>169.82876712328766</v>
      </c>
      <c r="J20" s="159">
        <f t="shared" ref="J20" si="25">B20-I20</f>
        <v>10705.171232876712</v>
      </c>
      <c r="K20" s="342">
        <v>-169.83</v>
      </c>
      <c r="L20" s="226">
        <f t="shared" si="2"/>
        <v>0</v>
      </c>
    </row>
    <row r="21" spans="1:13">
      <c r="A21" s="340" t="s">
        <v>399</v>
      </c>
      <c r="B21" s="342">
        <v>7990</v>
      </c>
      <c r="C21" s="341">
        <v>44261</v>
      </c>
      <c r="D21" s="224">
        <f t="shared" si="7"/>
        <v>399.5</v>
      </c>
      <c r="E21" s="225">
        <v>5</v>
      </c>
      <c r="F21" s="127">
        <f t="shared" si="3"/>
        <v>26</v>
      </c>
      <c r="G21" s="144">
        <f t="shared" si="4"/>
        <v>7.1232876712328766E-2</v>
      </c>
      <c r="H21" s="144">
        <f t="shared" si="5"/>
        <v>1799</v>
      </c>
      <c r="I21" s="176">
        <f t="shared" si="6"/>
        <v>108.13863013698629</v>
      </c>
      <c r="J21" s="159">
        <f t="shared" si="1"/>
        <v>7881.8613698630134</v>
      </c>
      <c r="K21" s="342">
        <v>-108.14</v>
      </c>
      <c r="L21" s="226">
        <f t="shared" si="2"/>
        <v>0</v>
      </c>
    </row>
    <row r="22" spans="1:13">
      <c r="A22" s="340" t="s">
        <v>400</v>
      </c>
      <c r="B22" s="342">
        <v>18515.63</v>
      </c>
      <c r="C22" s="341">
        <v>44266</v>
      </c>
      <c r="D22" s="224">
        <f t="shared" ref="D22" si="26">B22*5%</f>
        <v>925.78150000000005</v>
      </c>
      <c r="E22" s="225">
        <v>5</v>
      </c>
      <c r="F22" s="127">
        <f t="shared" si="3"/>
        <v>21</v>
      </c>
      <c r="G22" s="144">
        <f t="shared" si="4"/>
        <v>5.7534246575342465E-2</v>
      </c>
      <c r="H22" s="144">
        <f t="shared" si="5"/>
        <v>1803.9999999999998</v>
      </c>
      <c r="I22" s="176">
        <f t="shared" si="6"/>
        <v>202.40373616438356</v>
      </c>
      <c r="J22" s="159">
        <f t="shared" ref="J22" si="27">B22-I22</f>
        <v>18313.226263835619</v>
      </c>
      <c r="K22" s="342">
        <v>-202.4</v>
      </c>
      <c r="L22" s="226">
        <f t="shared" si="2"/>
        <v>0</v>
      </c>
    </row>
    <row r="23" spans="1:13">
      <c r="A23" s="340" t="s">
        <v>401</v>
      </c>
      <c r="B23" s="342">
        <v>20338.98</v>
      </c>
      <c r="C23" s="341">
        <v>44272</v>
      </c>
      <c r="D23" s="224">
        <f t="shared" si="7"/>
        <v>1016.9490000000001</v>
      </c>
      <c r="E23" s="225">
        <v>5</v>
      </c>
      <c r="F23" s="127">
        <f t="shared" si="3"/>
        <v>15</v>
      </c>
      <c r="G23" s="144">
        <f t="shared" si="4"/>
        <v>4.1095890410958902E-2</v>
      </c>
      <c r="H23" s="144">
        <f t="shared" si="5"/>
        <v>1810</v>
      </c>
      <c r="I23" s="176">
        <f t="shared" si="6"/>
        <v>158.81121369863013</v>
      </c>
      <c r="J23" s="159">
        <f t="shared" si="1"/>
        <v>20180.168786301369</v>
      </c>
      <c r="K23" s="342">
        <v>-158.81</v>
      </c>
      <c r="L23" s="226">
        <f t="shared" si="2"/>
        <v>0</v>
      </c>
    </row>
    <row r="24" spans="1:13">
      <c r="A24" s="144"/>
      <c r="B24" s="261">
        <f>SUM(B8:B23)</f>
        <v>455340.67</v>
      </c>
      <c r="C24" s="157"/>
      <c r="D24" s="158"/>
      <c r="E24" s="139"/>
      <c r="F24" s="144"/>
      <c r="G24" s="144"/>
      <c r="H24" s="144"/>
      <c r="I24" s="178">
        <f>SUM(I8:I23)</f>
        <v>34698.158048493155</v>
      </c>
      <c r="J24" s="178">
        <f>SUM(J8:J23)</f>
        <v>420642.51195150689</v>
      </c>
      <c r="M24" s="263">
        <f>-SUM(K8:K23)</f>
        <v>34698.15</v>
      </c>
    </row>
    <row r="25" spans="1:13">
      <c r="A25" s="160" t="s">
        <v>9</v>
      </c>
      <c r="B25" s="176"/>
      <c r="C25" s="157"/>
      <c r="D25" s="158"/>
      <c r="E25" s="139"/>
      <c r="F25" s="144"/>
      <c r="G25" s="144"/>
      <c r="H25" s="144"/>
      <c r="I25" s="176"/>
      <c r="J25" s="159"/>
    </row>
    <row r="26" spans="1:13">
      <c r="A26" s="340" t="s">
        <v>363</v>
      </c>
      <c r="B26" s="342">
        <v>80000</v>
      </c>
      <c r="C26" s="341">
        <v>43987</v>
      </c>
      <c r="D26" s="224">
        <f t="shared" ref="D26" si="28">B26*5%</f>
        <v>4000</v>
      </c>
      <c r="E26" s="225">
        <v>10</v>
      </c>
      <c r="F26" s="127">
        <f t="shared" ref="F26:F27" si="29">$F$2-C26+1</f>
        <v>300</v>
      </c>
      <c r="G26" s="127">
        <f>F26/365</f>
        <v>0.82191780821917804</v>
      </c>
      <c r="H26" s="127">
        <f>(E26-G26)*365</f>
        <v>3350</v>
      </c>
      <c r="I26" s="176">
        <f>((B26-D26)/(E26))*F26/365</f>
        <v>6246.5753424657532</v>
      </c>
      <c r="J26" s="159">
        <f t="shared" ref="J26" si="30">B26-I26</f>
        <v>73753.42465753424</v>
      </c>
      <c r="K26" s="230">
        <f>+[1]Sheet1!$I$274</f>
        <v>-6246.58</v>
      </c>
      <c r="L26" s="226">
        <f t="shared" ref="L26:L27" si="31">-ROUND(K26+I26,0)</f>
        <v>0</v>
      </c>
    </row>
    <row r="27" spans="1:13">
      <c r="A27" s="340" t="s">
        <v>364</v>
      </c>
      <c r="B27" s="342">
        <v>613850</v>
      </c>
      <c r="C27" s="341">
        <v>44145</v>
      </c>
      <c r="D27" s="224">
        <f t="shared" ref="D27" si="32">B27*5%</f>
        <v>30692.5</v>
      </c>
      <c r="E27" s="225">
        <v>10</v>
      </c>
      <c r="F27" s="127">
        <f t="shared" si="29"/>
        <v>142</v>
      </c>
      <c r="G27" s="127">
        <f>F27/365</f>
        <v>0.38904109589041097</v>
      </c>
      <c r="H27" s="127">
        <f>(E27-G27)*365</f>
        <v>3508</v>
      </c>
      <c r="I27" s="176">
        <f>((B27-D27)/(E27))*F27/365</f>
        <v>22687.223287671233</v>
      </c>
      <c r="J27" s="159">
        <f t="shared" ref="J27" si="33">B27-I27</f>
        <v>591162.77671232878</v>
      </c>
      <c r="K27" s="230">
        <f>+[1]Sheet1!$I$275</f>
        <v>-22687.22</v>
      </c>
      <c r="L27" s="226">
        <f t="shared" si="31"/>
        <v>0</v>
      </c>
    </row>
    <row r="28" spans="1:13">
      <c r="A28" s="140"/>
      <c r="B28" s="261">
        <f>+SUM(B26:B27)</f>
        <v>693850</v>
      </c>
      <c r="C28" s="157"/>
      <c r="D28" s="162"/>
      <c r="E28" s="144"/>
      <c r="F28" s="144"/>
      <c r="G28" s="144"/>
      <c r="H28" s="144"/>
      <c r="I28" s="175">
        <f>SUM(I26:I27)</f>
        <v>28933.798630136986</v>
      </c>
      <c r="J28" s="175">
        <f>SUM(J26:J27)</f>
        <v>664916.201369863</v>
      </c>
      <c r="M28" s="265">
        <f>-SUM(K26:K27)</f>
        <v>28933.800000000003</v>
      </c>
    </row>
    <row r="29" spans="1:13">
      <c r="A29" s="132"/>
      <c r="B29" s="186"/>
      <c r="C29" s="157"/>
      <c r="D29" s="144"/>
      <c r="E29" s="144"/>
      <c r="F29" s="144"/>
      <c r="G29" s="144"/>
      <c r="H29" s="144"/>
      <c r="I29" s="176"/>
      <c r="J29" s="159"/>
    </row>
    <row r="30" spans="1:13">
      <c r="A30" s="160" t="s">
        <v>295</v>
      </c>
      <c r="B30" s="176"/>
      <c r="C30" s="157"/>
      <c r="D30" s="158"/>
      <c r="E30" s="139"/>
      <c r="F30" s="144"/>
      <c r="G30" s="144"/>
      <c r="H30" s="144"/>
      <c r="I30" s="176"/>
      <c r="J30" s="159"/>
    </row>
    <row r="31" spans="1:13">
      <c r="A31" s="144"/>
      <c r="B31" s="176"/>
      <c r="C31" s="157"/>
      <c r="D31" s="158"/>
      <c r="E31" s="139"/>
      <c r="F31" s="144"/>
      <c r="G31" s="144"/>
      <c r="H31" s="144"/>
      <c r="I31" s="176"/>
      <c r="J31" s="159"/>
      <c r="K31" s="230"/>
      <c r="L31" s="226">
        <f t="shared" ref="L31:L32" si="34">-ROUND(K31+I31,0)</f>
        <v>0</v>
      </c>
    </row>
    <row r="32" spans="1:13">
      <c r="A32" s="144"/>
      <c r="B32" s="176"/>
      <c r="C32" s="157"/>
      <c r="D32" s="158"/>
      <c r="E32" s="139"/>
      <c r="F32" s="144"/>
      <c r="G32" s="144"/>
      <c r="H32" s="144"/>
      <c r="I32" s="176"/>
      <c r="J32" s="159"/>
      <c r="K32" s="230"/>
      <c r="L32" s="226">
        <f t="shared" si="34"/>
        <v>0</v>
      </c>
    </row>
    <row r="33" spans="1:13">
      <c r="A33" s="140"/>
      <c r="B33" s="261">
        <f>+SUM(B31:B32)</f>
        <v>0</v>
      </c>
      <c r="C33" s="157"/>
      <c r="D33" s="162"/>
      <c r="E33" s="144"/>
      <c r="F33" s="144"/>
      <c r="G33" s="144"/>
      <c r="H33" s="144"/>
      <c r="I33" s="175">
        <f>SUM(I31:I32)</f>
        <v>0</v>
      </c>
      <c r="J33" s="175">
        <f>SUM(J31:J32)</f>
        <v>0</v>
      </c>
      <c r="M33" s="265">
        <f>-SUM(K31:K32)</f>
        <v>0</v>
      </c>
    </row>
    <row r="34" spans="1:13">
      <c r="A34" s="132"/>
      <c r="B34" s="186"/>
      <c r="C34" s="157"/>
      <c r="D34" s="144"/>
      <c r="E34" s="144"/>
      <c r="F34" s="144"/>
      <c r="G34" s="144"/>
      <c r="H34" s="144"/>
      <c r="I34" s="176"/>
      <c r="J34" s="159"/>
    </row>
    <row r="35" spans="1:13">
      <c r="A35" s="160" t="s">
        <v>298</v>
      </c>
      <c r="B35" s="176"/>
      <c r="C35" s="157"/>
      <c r="D35" s="158"/>
      <c r="E35" s="139"/>
      <c r="F35" s="144"/>
      <c r="G35" s="144"/>
      <c r="H35" s="144"/>
      <c r="I35" s="176"/>
      <c r="J35" s="159"/>
    </row>
    <row r="36" spans="1:13">
      <c r="A36" s="144"/>
      <c r="B36" s="176"/>
      <c r="C36" s="157"/>
      <c r="D36" s="158"/>
      <c r="E36" s="139"/>
      <c r="F36" s="144"/>
      <c r="G36" s="144"/>
      <c r="H36" s="144"/>
      <c r="I36" s="176"/>
      <c r="J36" s="159"/>
      <c r="K36" s="227"/>
      <c r="L36" s="226">
        <f t="shared" ref="L36:L38" si="35">-ROUND(K36+I36,0)</f>
        <v>0</v>
      </c>
    </row>
    <row r="37" spans="1:13">
      <c r="A37" s="144"/>
      <c r="B37" s="176"/>
      <c r="C37" s="157"/>
      <c r="D37" s="158"/>
      <c r="E37" s="139"/>
      <c r="F37" s="144"/>
      <c r="G37" s="144"/>
      <c r="H37" s="144"/>
      <c r="I37" s="176"/>
      <c r="J37" s="159"/>
      <c r="K37" s="227"/>
      <c r="L37" s="226">
        <f t="shared" si="35"/>
        <v>0</v>
      </c>
    </row>
    <row r="38" spans="1:13">
      <c r="A38" s="144"/>
      <c r="B38" s="176"/>
      <c r="C38" s="157"/>
      <c r="D38" s="158"/>
      <c r="E38" s="139"/>
      <c r="F38" s="144"/>
      <c r="G38" s="144"/>
      <c r="H38" s="144"/>
      <c r="I38" s="176"/>
      <c r="J38" s="159"/>
      <c r="K38" s="227"/>
      <c r="L38" s="226">
        <f t="shared" si="35"/>
        <v>0</v>
      </c>
    </row>
    <row r="39" spans="1:13">
      <c r="A39" s="140"/>
      <c r="B39" s="261">
        <f>+SUM(B36:B38)</f>
        <v>0</v>
      </c>
      <c r="C39" s="157"/>
      <c r="D39" s="162"/>
      <c r="E39" s="144"/>
      <c r="F39" s="144"/>
      <c r="G39" s="144"/>
      <c r="H39" s="144"/>
      <c r="I39" s="178">
        <f>+SUM(I36:I38)</f>
        <v>0</v>
      </c>
      <c r="J39" s="178">
        <f>+SUM(J36:J38)</f>
        <v>0</v>
      </c>
      <c r="M39" s="263">
        <f>-SUM(K36:K38)</f>
        <v>0</v>
      </c>
    </row>
    <row r="40" spans="1:13">
      <c r="A40" s="132"/>
      <c r="B40" s="186"/>
      <c r="C40" s="157"/>
      <c r="D40" s="144"/>
      <c r="E40" s="144"/>
      <c r="F40" s="144"/>
      <c r="G40" s="144"/>
      <c r="H40" s="144"/>
      <c r="I40" s="176"/>
      <c r="J40" s="159"/>
    </row>
    <row r="41" spans="1:13">
      <c r="A41" s="347" t="s">
        <v>160</v>
      </c>
      <c r="B41" s="348"/>
      <c r="C41" s="349"/>
      <c r="D41" s="350"/>
      <c r="E41" s="351"/>
      <c r="F41" s="352"/>
      <c r="G41" s="352"/>
      <c r="H41" s="352"/>
      <c r="I41" s="353"/>
      <c r="J41" s="354"/>
    </row>
    <row r="42" spans="1:13">
      <c r="A42" s="361" t="s">
        <v>366</v>
      </c>
      <c r="B42" s="362">
        <v>25500</v>
      </c>
      <c r="C42" s="363">
        <v>43983</v>
      </c>
      <c r="D42" s="158">
        <f t="shared" ref="D42:D49" si="36">B42*5%</f>
        <v>1275</v>
      </c>
      <c r="E42" s="139">
        <v>3</v>
      </c>
      <c r="F42" s="144">
        <f t="shared" ref="F42:F61" si="37">$F$2-C42+1</f>
        <v>304</v>
      </c>
      <c r="G42" s="144">
        <f t="shared" ref="G42:G61" si="38">F42/366</f>
        <v>0.8306010928961749</v>
      </c>
      <c r="H42" s="162">
        <f>(E42-G42)*365</f>
        <v>791.83060109289613</v>
      </c>
      <c r="I42" s="176">
        <f>((B42-D42)/(E42))*F42/365</f>
        <v>6725.4794520547948</v>
      </c>
      <c r="J42" s="159">
        <f t="shared" ref="J42:J49" si="39">B42-I42</f>
        <v>18774.520547945205</v>
      </c>
      <c r="K42" s="364">
        <f>+[1]Sheet1!$I$374</f>
        <v>-6725.48</v>
      </c>
      <c r="L42" s="226">
        <f t="shared" ref="L42:L61" si="40">-ROUND(K42+I42,0)</f>
        <v>0</v>
      </c>
    </row>
    <row r="43" spans="1:13">
      <c r="A43" s="361" t="s">
        <v>367</v>
      </c>
      <c r="B43" s="362">
        <v>25500</v>
      </c>
      <c r="C43" s="363">
        <v>43983</v>
      </c>
      <c r="D43" s="158">
        <f t="shared" si="36"/>
        <v>1275</v>
      </c>
      <c r="E43" s="139">
        <v>3</v>
      </c>
      <c r="F43" s="144">
        <f t="shared" si="37"/>
        <v>304</v>
      </c>
      <c r="G43" s="144">
        <f t="shared" si="38"/>
        <v>0.8306010928961749</v>
      </c>
      <c r="H43" s="162">
        <f t="shared" ref="H43:H61" si="41">(E43-G43)*365</f>
        <v>791.83060109289613</v>
      </c>
      <c r="I43" s="176">
        <f t="shared" ref="I43:I61" si="42">((B43-D43)/(E43))*F43/365</f>
        <v>6725.4794520547948</v>
      </c>
      <c r="J43" s="159">
        <f t="shared" si="39"/>
        <v>18774.520547945205</v>
      </c>
      <c r="K43" s="364">
        <f>+[1]Sheet1!$I$375</f>
        <v>-6725.48</v>
      </c>
      <c r="L43" s="226">
        <f t="shared" si="40"/>
        <v>0</v>
      </c>
    </row>
    <row r="44" spans="1:13">
      <c r="A44" s="361" t="s">
        <v>368</v>
      </c>
      <c r="B44" s="362">
        <v>19491.52</v>
      </c>
      <c r="C44" s="363">
        <v>43997</v>
      </c>
      <c r="D44" s="158">
        <f t="shared" si="36"/>
        <v>974.57600000000002</v>
      </c>
      <c r="E44" s="139">
        <v>3</v>
      </c>
      <c r="F44" s="144">
        <f t="shared" si="37"/>
        <v>290</v>
      </c>
      <c r="G44" s="144">
        <f t="shared" si="38"/>
        <v>0.79234972677595628</v>
      </c>
      <c r="H44" s="162">
        <f t="shared" si="41"/>
        <v>805.79234972677591</v>
      </c>
      <c r="I44" s="176">
        <f t="shared" si="42"/>
        <v>4904.0308310502278</v>
      </c>
      <c r="J44" s="159">
        <f t="shared" si="39"/>
        <v>14587.489168949773</v>
      </c>
      <c r="K44" s="364">
        <f>+[1]Sheet1!$I$376</f>
        <v>-4904.03</v>
      </c>
      <c r="L44" s="226">
        <f t="shared" si="40"/>
        <v>0</v>
      </c>
    </row>
    <row r="45" spans="1:13">
      <c r="A45" s="361" t="s">
        <v>369</v>
      </c>
      <c r="B45" s="362">
        <v>49152.54</v>
      </c>
      <c r="C45" s="363">
        <v>44095</v>
      </c>
      <c r="D45" s="158">
        <f t="shared" si="36"/>
        <v>2457.6270000000004</v>
      </c>
      <c r="E45" s="139">
        <v>3</v>
      </c>
      <c r="F45" s="144">
        <f t="shared" si="37"/>
        <v>192</v>
      </c>
      <c r="G45" s="144">
        <f t="shared" si="38"/>
        <v>0.52459016393442626</v>
      </c>
      <c r="H45" s="162">
        <f t="shared" si="41"/>
        <v>903.52459016393436</v>
      </c>
      <c r="I45" s="176">
        <f t="shared" si="42"/>
        <v>8187.6011835616437</v>
      </c>
      <c r="J45" s="159">
        <f t="shared" si="39"/>
        <v>40964.938816438356</v>
      </c>
      <c r="K45" s="364">
        <f>+[1]Sheet1!$I$377</f>
        <v>-8187.6</v>
      </c>
      <c r="L45" s="226">
        <f t="shared" si="40"/>
        <v>0</v>
      </c>
    </row>
    <row r="46" spans="1:13">
      <c r="A46" s="361" t="s">
        <v>370</v>
      </c>
      <c r="B46" s="362">
        <v>215000</v>
      </c>
      <c r="C46" s="363">
        <v>44147</v>
      </c>
      <c r="D46" s="158">
        <f t="shared" si="36"/>
        <v>10750</v>
      </c>
      <c r="E46" s="139">
        <v>3</v>
      </c>
      <c r="F46" s="144">
        <f t="shared" si="37"/>
        <v>140</v>
      </c>
      <c r="G46" s="144">
        <f t="shared" si="38"/>
        <v>0.38251366120218577</v>
      </c>
      <c r="H46" s="162">
        <f t="shared" si="41"/>
        <v>955.38251366120221</v>
      </c>
      <c r="I46" s="176">
        <f t="shared" si="42"/>
        <v>26114.15525114155</v>
      </c>
      <c r="J46" s="159">
        <f t="shared" si="39"/>
        <v>188885.84474885845</v>
      </c>
      <c r="K46" s="364">
        <f>+[1]Sheet1!$I$378</f>
        <v>-26114.16</v>
      </c>
      <c r="L46" s="226">
        <f t="shared" si="40"/>
        <v>0</v>
      </c>
    </row>
    <row r="47" spans="1:13">
      <c r="A47" s="361" t="s">
        <v>371</v>
      </c>
      <c r="B47" s="362">
        <v>100000</v>
      </c>
      <c r="C47" s="363">
        <v>44147</v>
      </c>
      <c r="D47" s="158">
        <f t="shared" si="36"/>
        <v>5000</v>
      </c>
      <c r="E47" s="139">
        <v>3</v>
      </c>
      <c r="F47" s="144">
        <f t="shared" si="37"/>
        <v>140</v>
      </c>
      <c r="G47" s="144">
        <f t="shared" si="38"/>
        <v>0.38251366120218577</v>
      </c>
      <c r="H47" s="162">
        <f t="shared" si="41"/>
        <v>955.38251366120221</v>
      </c>
      <c r="I47" s="176">
        <f t="shared" si="42"/>
        <v>12146.118721461189</v>
      </c>
      <c r="J47" s="159">
        <f t="shared" si="39"/>
        <v>87853.881278538815</v>
      </c>
      <c r="K47" s="364">
        <f>+[1]Sheet1!$I$379</f>
        <v>-12146.12</v>
      </c>
      <c r="L47" s="226">
        <f t="shared" si="40"/>
        <v>0</v>
      </c>
    </row>
    <row r="48" spans="1:13">
      <c r="A48" s="361" t="s">
        <v>372</v>
      </c>
      <c r="B48" s="362">
        <v>3500</v>
      </c>
      <c r="C48" s="363">
        <v>44200</v>
      </c>
      <c r="D48" s="158">
        <f t="shared" si="36"/>
        <v>175</v>
      </c>
      <c r="E48" s="139">
        <v>3</v>
      </c>
      <c r="F48" s="144">
        <f t="shared" si="37"/>
        <v>87</v>
      </c>
      <c r="G48" s="144">
        <f t="shared" si="38"/>
        <v>0.23770491803278687</v>
      </c>
      <c r="H48" s="162">
        <f t="shared" si="41"/>
        <v>1008.2377049180327</v>
      </c>
      <c r="I48" s="176">
        <f t="shared" si="42"/>
        <v>264.17808219178085</v>
      </c>
      <c r="J48" s="159">
        <f t="shared" si="39"/>
        <v>3235.821917808219</v>
      </c>
      <c r="K48" s="364">
        <f>+[1]Sheet1!$I$380</f>
        <v>-264.18</v>
      </c>
      <c r="L48" s="226">
        <f t="shared" si="40"/>
        <v>0</v>
      </c>
    </row>
    <row r="49" spans="1:13">
      <c r="A49" s="361" t="s">
        <v>373</v>
      </c>
      <c r="B49" s="362">
        <v>21610.17</v>
      </c>
      <c r="C49" s="363">
        <v>44201</v>
      </c>
      <c r="D49" s="158">
        <f t="shared" si="36"/>
        <v>1080.5084999999999</v>
      </c>
      <c r="E49" s="139">
        <v>3</v>
      </c>
      <c r="F49" s="144">
        <f t="shared" si="37"/>
        <v>86</v>
      </c>
      <c r="G49" s="144">
        <f t="shared" si="38"/>
        <v>0.23497267759562843</v>
      </c>
      <c r="H49" s="162">
        <f t="shared" si="41"/>
        <v>1009.2349726775956</v>
      </c>
      <c r="I49" s="176">
        <f t="shared" si="42"/>
        <v>1612.3752410958905</v>
      </c>
      <c r="J49" s="159">
        <f t="shared" si="39"/>
        <v>19997.794758904107</v>
      </c>
      <c r="K49" s="364">
        <f>+[1]Sheet1!$I$381</f>
        <v>-1612.38</v>
      </c>
      <c r="L49" s="226">
        <f t="shared" si="40"/>
        <v>0</v>
      </c>
    </row>
    <row r="50" spans="1:13">
      <c r="A50" s="361" t="s">
        <v>374</v>
      </c>
      <c r="B50" s="362">
        <v>50400</v>
      </c>
      <c r="C50" s="363">
        <v>44212</v>
      </c>
      <c r="D50" s="158">
        <f t="shared" ref="D50:D57" si="43">B50*5%</f>
        <v>2520</v>
      </c>
      <c r="E50" s="139">
        <v>3</v>
      </c>
      <c r="F50" s="144">
        <f t="shared" si="37"/>
        <v>75</v>
      </c>
      <c r="G50" s="144">
        <f t="shared" si="38"/>
        <v>0.20491803278688525</v>
      </c>
      <c r="H50" s="162">
        <f t="shared" si="41"/>
        <v>1020.2049180327868</v>
      </c>
      <c r="I50" s="176">
        <f t="shared" si="42"/>
        <v>3279.4520547945203</v>
      </c>
      <c r="J50" s="159">
        <f t="shared" ref="J50:J57" si="44">B50-I50</f>
        <v>47120.547945205479</v>
      </c>
      <c r="K50" s="364">
        <f>+[1]Sheet1!$I$382</f>
        <v>-3279.45</v>
      </c>
      <c r="L50" s="226">
        <f t="shared" si="40"/>
        <v>0</v>
      </c>
    </row>
    <row r="51" spans="1:13">
      <c r="A51" s="361" t="s">
        <v>375</v>
      </c>
      <c r="B51" s="362">
        <v>25200</v>
      </c>
      <c r="C51" s="363">
        <v>44212</v>
      </c>
      <c r="D51" s="158">
        <f t="shared" si="43"/>
        <v>1260</v>
      </c>
      <c r="E51" s="139">
        <v>3</v>
      </c>
      <c r="F51" s="144">
        <f t="shared" si="37"/>
        <v>75</v>
      </c>
      <c r="G51" s="144">
        <f t="shared" si="38"/>
        <v>0.20491803278688525</v>
      </c>
      <c r="H51" s="162">
        <f t="shared" si="41"/>
        <v>1020.2049180327868</v>
      </c>
      <c r="I51" s="176">
        <f t="shared" si="42"/>
        <v>1639.7260273972602</v>
      </c>
      <c r="J51" s="159">
        <f t="shared" si="44"/>
        <v>23560.273972602739</v>
      </c>
      <c r="K51" s="364">
        <f>+[1]Sheet1!$I$383</f>
        <v>-1639.73</v>
      </c>
      <c r="L51" s="226">
        <f t="shared" si="40"/>
        <v>0</v>
      </c>
    </row>
    <row r="52" spans="1:13">
      <c r="A52" s="361" t="s">
        <v>376</v>
      </c>
      <c r="B52" s="362">
        <v>25200</v>
      </c>
      <c r="C52" s="363">
        <v>44212</v>
      </c>
      <c r="D52" s="158">
        <f t="shared" si="43"/>
        <v>1260</v>
      </c>
      <c r="E52" s="139">
        <v>3</v>
      </c>
      <c r="F52" s="144">
        <f t="shared" si="37"/>
        <v>75</v>
      </c>
      <c r="G52" s="144">
        <f t="shared" si="38"/>
        <v>0.20491803278688525</v>
      </c>
      <c r="H52" s="162">
        <f t="shared" si="41"/>
        <v>1020.2049180327868</v>
      </c>
      <c r="I52" s="176">
        <f t="shared" si="42"/>
        <v>1639.7260273972602</v>
      </c>
      <c r="J52" s="159">
        <f t="shared" si="44"/>
        <v>23560.273972602739</v>
      </c>
      <c r="K52" s="364">
        <f>+[1]Sheet1!$I$384</f>
        <v>-1639.73</v>
      </c>
      <c r="L52" s="226">
        <f t="shared" si="40"/>
        <v>0</v>
      </c>
    </row>
    <row r="53" spans="1:13">
      <c r="A53" s="361" t="s">
        <v>377</v>
      </c>
      <c r="B53" s="362">
        <v>25200</v>
      </c>
      <c r="C53" s="363">
        <v>44212</v>
      </c>
      <c r="D53" s="158">
        <f t="shared" si="43"/>
        <v>1260</v>
      </c>
      <c r="E53" s="139">
        <v>3</v>
      </c>
      <c r="F53" s="144">
        <f t="shared" si="37"/>
        <v>75</v>
      </c>
      <c r="G53" s="144">
        <f t="shared" si="38"/>
        <v>0.20491803278688525</v>
      </c>
      <c r="H53" s="162">
        <f t="shared" si="41"/>
        <v>1020.2049180327868</v>
      </c>
      <c r="I53" s="176">
        <f t="shared" si="42"/>
        <v>1639.7260273972602</v>
      </c>
      <c r="J53" s="159">
        <f t="shared" si="44"/>
        <v>23560.273972602739</v>
      </c>
      <c r="K53" s="364">
        <f>+[1]Sheet1!$I$385</f>
        <v>-1639.73</v>
      </c>
      <c r="L53" s="226">
        <f t="shared" si="40"/>
        <v>0</v>
      </c>
    </row>
    <row r="54" spans="1:13">
      <c r="A54" s="361" t="s">
        <v>378</v>
      </c>
      <c r="B54" s="362">
        <v>25200</v>
      </c>
      <c r="C54" s="363">
        <v>44212</v>
      </c>
      <c r="D54" s="201">
        <f t="shared" si="43"/>
        <v>1260</v>
      </c>
      <c r="E54" s="202">
        <v>3</v>
      </c>
      <c r="F54" s="203">
        <f t="shared" si="37"/>
        <v>75</v>
      </c>
      <c r="G54" s="203">
        <f t="shared" si="38"/>
        <v>0.20491803278688525</v>
      </c>
      <c r="H54" s="162">
        <f t="shared" si="41"/>
        <v>1020.2049180327868</v>
      </c>
      <c r="I54" s="176">
        <f t="shared" si="42"/>
        <v>1639.7260273972602</v>
      </c>
      <c r="J54" s="204">
        <f t="shared" si="44"/>
        <v>23560.273972602739</v>
      </c>
      <c r="K54" s="364">
        <f>+[1]Sheet1!$I$386</f>
        <v>-1639.73</v>
      </c>
      <c r="L54" s="229">
        <f t="shared" si="40"/>
        <v>0</v>
      </c>
    </row>
    <row r="55" spans="1:13">
      <c r="A55" s="361" t="s">
        <v>379</v>
      </c>
      <c r="B55" s="362">
        <v>27543</v>
      </c>
      <c r="C55" s="363">
        <v>44249</v>
      </c>
      <c r="D55" s="201">
        <f t="shared" si="43"/>
        <v>1377.15</v>
      </c>
      <c r="E55" s="202">
        <v>3</v>
      </c>
      <c r="F55" s="203">
        <f>$F$2-C55+1</f>
        <v>38</v>
      </c>
      <c r="G55" s="203">
        <f t="shared" si="38"/>
        <v>0.10382513661202186</v>
      </c>
      <c r="H55" s="162">
        <f t="shared" si="41"/>
        <v>1057.1038251366122</v>
      </c>
      <c r="I55" s="176">
        <f t="shared" si="42"/>
        <v>908.03863013698628</v>
      </c>
      <c r="J55" s="204">
        <f t="shared" si="44"/>
        <v>26634.961369863013</v>
      </c>
      <c r="K55" s="364">
        <f>+[1]Sheet1!$I$387</f>
        <v>-908.04</v>
      </c>
      <c r="L55" s="229">
        <f t="shared" si="40"/>
        <v>0</v>
      </c>
    </row>
    <row r="56" spans="1:13">
      <c r="A56" s="361" t="s">
        <v>380</v>
      </c>
      <c r="B56" s="362">
        <v>25200</v>
      </c>
      <c r="C56" s="363">
        <v>44259</v>
      </c>
      <c r="D56" s="158">
        <f t="shared" si="43"/>
        <v>1260</v>
      </c>
      <c r="E56" s="139">
        <v>3</v>
      </c>
      <c r="F56" s="144">
        <f t="shared" si="37"/>
        <v>28</v>
      </c>
      <c r="G56" s="144">
        <f t="shared" si="38"/>
        <v>7.650273224043716E-2</v>
      </c>
      <c r="H56" s="162">
        <f t="shared" si="41"/>
        <v>1067.0765027322404</v>
      </c>
      <c r="I56" s="176">
        <f t="shared" si="42"/>
        <v>612.16438356164383</v>
      </c>
      <c r="J56" s="159">
        <f t="shared" si="44"/>
        <v>24587.835616438355</v>
      </c>
      <c r="K56" s="364">
        <f>+[1]Sheet1!$I$388</f>
        <v>-612.16</v>
      </c>
      <c r="L56" s="226">
        <f t="shared" si="40"/>
        <v>0</v>
      </c>
    </row>
    <row r="57" spans="1:13">
      <c r="A57" s="361" t="s">
        <v>381</v>
      </c>
      <c r="B57" s="362">
        <v>25200</v>
      </c>
      <c r="C57" s="363">
        <v>44270</v>
      </c>
      <c r="D57" s="158">
        <f t="shared" si="43"/>
        <v>1260</v>
      </c>
      <c r="E57" s="139">
        <v>3</v>
      </c>
      <c r="F57" s="144">
        <f t="shared" si="37"/>
        <v>17</v>
      </c>
      <c r="G57" s="144">
        <f t="shared" si="38"/>
        <v>4.6448087431693992E-2</v>
      </c>
      <c r="H57" s="162">
        <f t="shared" si="41"/>
        <v>1078.0464480874316</v>
      </c>
      <c r="I57" s="176">
        <f t="shared" si="42"/>
        <v>371.67123287671234</v>
      </c>
      <c r="J57" s="159">
        <f t="shared" si="44"/>
        <v>24828.328767123287</v>
      </c>
      <c r="K57" s="364">
        <f>+[1]Sheet1!$I$389</f>
        <v>-371.67</v>
      </c>
      <c r="L57" s="226">
        <f t="shared" si="40"/>
        <v>0</v>
      </c>
    </row>
    <row r="58" spans="1:13">
      <c r="A58" s="361" t="s">
        <v>382</v>
      </c>
      <c r="B58" s="362">
        <v>25200</v>
      </c>
      <c r="C58" s="363">
        <v>44278</v>
      </c>
      <c r="D58" s="158">
        <f t="shared" ref="D58:D61" si="45">B58*5%</f>
        <v>1260</v>
      </c>
      <c r="E58" s="139">
        <v>3</v>
      </c>
      <c r="F58" s="144">
        <f t="shared" si="37"/>
        <v>9</v>
      </c>
      <c r="G58" s="144">
        <f t="shared" si="38"/>
        <v>2.4590163934426229E-2</v>
      </c>
      <c r="H58" s="162">
        <f t="shared" si="41"/>
        <v>1086.0245901639344</v>
      </c>
      <c r="I58" s="176">
        <f t="shared" si="42"/>
        <v>196.76712328767124</v>
      </c>
      <c r="J58" s="159">
        <f t="shared" ref="J58:J61" si="46">B58-I58</f>
        <v>25003.232876712329</v>
      </c>
      <c r="K58" s="364">
        <f>+[1]Sheet1!$I$390</f>
        <v>-196.77</v>
      </c>
      <c r="L58" s="226">
        <f t="shared" si="40"/>
        <v>0</v>
      </c>
    </row>
    <row r="59" spans="1:13">
      <c r="A59" s="361" t="s">
        <v>383</v>
      </c>
      <c r="B59" s="362">
        <v>25200</v>
      </c>
      <c r="C59" s="363">
        <v>44278</v>
      </c>
      <c r="D59" s="158">
        <f t="shared" si="45"/>
        <v>1260</v>
      </c>
      <c r="E59" s="139">
        <v>3</v>
      </c>
      <c r="F59" s="144">
        <f t="shared" si="37"/>
        <v>9</v>
      </c>
      <c r="G59" s="144">
        <f t="shared" si="38"/>
        <v>2.4590163934426229E-2</v>
      </c>
      <c r="H59" s="162">
        <f t="shared" si="41"/>
        <v>1086.0245901639344</v>
      </c>
      <c r="I59" s="176">
        <f t="shared" si="42"/>
        <v>196.76712328767124</v>
      </c>
      <c r="J59" s="159">
        <f t="shared" si="46"/>
        <v>25003.232876712329</v>
      </c>
      <c r="K59" s="364">
        <f>+[1]Sheet1!$I$391</f>
        <v>-196.77</v>
      </c>
      <c r="L59" s="226">
        <f t="shared" si="40"/>
        <v>0</v>
      </c>
    </row>
    <row r="60" spans="1:13">
      <c r="A60" s="361" t="s">
        <v>384</v>
      </c>
      <c r="B60" s="362">
        <v>35170</v>
      </c>
      <c r="C60" s="363">
        <v>44286</v>
      </c>
      <c r="D60" s="158">
        <f t="shared" si="45"/>
        <v>1758.5</v>
      </c>
      <c r="E60" s="139">
        <v>3</v>
      </c>
      <c r="F60" s="144">
        <f t="shared" si="37"/>
        <v>1</v>
      </c>
      <c r="G60" s="144">
        <f t="shared" si="38"/>
        <v>2.7322404371584699E-3</v>
      </c>
      <c r="H60" s="162">
        <f t="shared" si="41"/>
        <v>1094.0027322404371</v>
      </c>
      <c r="I60" s="176">
        <f t="shared" si="42"/>
        <v>30.512785388127853</v>
      </c>
      <c r="J60" s="159">
        <f t="shared" si="46"/>
        <v>35139.487214611872</v>
      </c>
      <c r="K60" s="364">
        <f>+[1]Sheet1!$I$392</f>
        <v>-30.51</v>
      </c>
      <c r="L60" s="226">
        <f t="shared" si="40"/>
        <v>0</v>
      </c>
    </row>
    <row r="61" spans="1:13">
      <c r="A61" s="361" t="s">
        <v>385</v>
      </c>
      <c r="B61" s="362">
        <v>14830.51</v>
      </c>
      <c r="C61" s="363">
        <v>44286</v>
      </c>
      <c r="D61" s="158">
        <f t="shared" si="45"/>
        <v>741.52550000000008</v>
      </c>
      <c r="E61" s="139">
        <v>3</v>
      </c>
      <c r="F61" s="144">
        <f t="shared" si="37"/>
        <v>1</v>
      </c>
      <c r="G61" s="144">
        <f t="shared" si="38"/>
        <v>2.7322404371584699E-3</v>
      </c>
      <c r="H61" s="162">
        <f t="shared" si="41"/>
        <v>1094.0027322404371</v>
      </c>
      <c r="I61" s="176">
        <f t="shared" si="42"/>
        <v>12.866652511415527</v>
      </c>
      <c r="J61" s="159">
        <f t="shared" si="46"/>
        <v>14817.643347488585</v>
      </c>
      <c r="K61" s="364">
        <f>+[1]Sheet1!$I$393</f>
        <v>-12.87</v>
      </c>
      <c r="L61" s="226">
        <f t="shared" si="40"/>
        <v>0</v>
      </c>
    </row>
    <row r="62" spans="1:13">
      <c r="A62" s="355"/>
      <c r="B62" s="356"/>
      <c r="C62" s="298"/>
      <c r="D62" s="357"/>
      <c r="E62" s="358"/>
      <c r="F62" s="359"/>
      <c r="G62" s="359"/>
      <c r="H62" s="359"/>
      <c r="I62" s="299"/>
      <c r="J62" s="360"/>
    </row>
    <row r="63" spans="1:13">
      <c r="A63" s="140"/>
      <c r="B63" s="261">
        <f>+SUM(B42:B61)</f>
        <v>789297.74</v>
      </c>
      <c r="C63" s="157"/>
      <c r="D63" s="162"/>
      <c r="E63" s="144"/>
      <c r="F63" s="144"/>
      <c r="G63" s="144"/>
      <c r="H63" s="144"/>
      <c r="I63" s="178">
        <f>+SUM(I42:I61)</f>
        <v>78846.562310045672</v>
      </c>
      <c r="J63" s="178">
        <f>+SUM(J42:J61)</f>
        <v>710451.17768995429</v>
      </c>
      <c r="M63" s="263">
        <f>-SUM(K42:K62)</f>
        <v>78846.589999999982</v>
      </c>
    </row>
    <row r="64" spans="1:13">
      <c r="A64" s="160"/>
      <c r="B64" s="178"/>
      <c r="C64" s="157"/>
      <c r="D64" s="158"/>
      <c r="E64" s="139"/>
      <c r="F64" s="144"/>
      <c r="G64" s="144"/>
      <c r="H64" s="144"/>
      <c r="I64" s="176"/>
      <c r="J64" s="159"/>
    </row>
    <row r="65" spans="1:13">
      <c r="A65" s="160" t="s">
        <v>2</v>
      </c>
      <c r="B65" s="176"/>
      <c r="C65" s="157"/>
      <c r="D65" s="144"/>
      <c r="E65" s="144"/>
      <c r="F65" s="157"/>
      <c r="G65" s="144"/>
      <c r="H65" s="144"/>
      <c r="I65" s="176"/>
      <c r="J65" s="144"/>
    </row>
    <row r="66" spans="1:13">
      <c r="A66" s="340" t="s">
        <v>402</v>
      </c>
      <c r="B66" s="342">
        <v>990000.06</v>
      </c>
      <c r="C66" s="341">
        <v>44281</v>
      </c>
      <c r="D66" s="158">
        <v>0</v>
      </c>
      <c r="E66" s="139">
        <v>10</v>
      </c>
      <c r="F66" s="144">
        <f t="shared" ref="F66" si="47">$F$2-C66+1</f>
        <v>6</v>
      </c>
      <c r="G66" s="144">
        <f>F66/365</f>
        <v>1.643835616438356E-2</v>
      </c>
      <c r="H66" s="144">
        <f>(E66-G66)*365</f>
        <v>3644</v>
      </c>
      <c r="I66" s="176">
        <f>((B66-D66)/(E66))*F66/365</f>
        <v>1627.3973589041098</v>
      </c>
      <c r="J66" s="159">
        <f t="shared" ref="J66" si="48">B66-I66</f>
        <v>988372.66264109593</v>
      </c>
      <c r="K66" s="227">
        <f>+[1]Sheet1!$I$517</f>
        <v>-1627.4</v>
      </c>
      <c r="L66" s="226">
        <f t="shared" ref="L66" si="49">-ROUND(K66+I66,0)</f>
        <v>0</v>
      </c>
    </row>
    <row r="67" spans="1:13">
      <c r="A67" s="144"/>
      <c r="B67" s="176"/>
      <c r="C67" s="166"/>
      <c r="D67" s="158"/>
      <c r="E67" s="139"/>
      <c r="F67" s="144"/>
      <c r="G67" s="144"/>
      <c r="H67" s="144"/>
      <c r="I67" s="176"/>
      <c r="J67" s="159"/>
    </row>
    <row r="68" spans="1:13">
      <c r="A68" s="144"/>
      <c r="B68" s="261">
        <f>+SUM(B66:B66)</f>
        <v>990000.06</v>
      </c>
      <c r="C68" s="157"/>
      <c r="D68" s="162"/>
      <c r="E68" s="144"/>
      <c r="F68" s="144"/>
      <c r="G68" s="144"/>
      <c r="H68" s="144"/>
      <c r="I68" s="178">
        <f>+SUM(I66:I66)</f>
        <v>1627.3973589041098</v>
      </c>
      <c r="J68" s="178">
        <f>+SUM(J66:J66)</f>
        <v>988372.66264109593</v>
      </c>
      <c r="M68" s="263">
        <f>-SUM(K66:K66)</f>
        <v>1627.4</v>
      </c>
    </row>
    <row r="69" spans="1:13">
      <c r="A69" s="160" t="s">
        <v>6</v>
      </c>
      <c r="B69" s="176"/>
      <c r="C69" s="166"/>
      <c r="D69" s="144"/>
      <c r="E69" s="144"/>
      <c r="F69" s="157"/>
      <c r="G69" s="144"/>
      <c r="H69" s="144"/>
      <c r="I69" s="176"/>
      <c r="J69" s="144"/>
    </row>
    <row r="70" spans="1:13">
      <c r="A70" s="144" t="s">
        <v>311</v>
      </c>
      <c r="B70" s="176"/>
      <c r="C70" s="166"/>
      <c r="D70" s="158"/>
      <c r="E70" s="139"/>
      <c r="F70" s="144"/>
      <c r="G70" s="144"/>
      <c r="H70" s="144"/>
      <c r="I70" s="176"/>
      <c r="J70" s="159"/>
      <c r="K70" s="227"/>
      <c r="L70" s="226">
        <f t="shared" ref="L70" si="50">-ROUND(K70+I70,0)</f>
        <v>0</v>
      </c>
    </row>
    <row r="71" spans="1:13">
      <c r="A71" s="144"/>
      <c r="B71" s="176"/>
      <c r="C71" s="166"/>
      <c r="D71" s="144"/>
      <c r="E71" s="144"/>
      <c r="F71" s="157"/>
      <c r="G71" s="144"/>
      <c r="H71" s="144"/>
      <c r="I71" s="176"/>
      <c r="J71" s="144"/>
    </row>
    <row r="72" spans="1:13">
      <c r="A72" s="144"/>
      <c r="B72" s="261">
        <f>SUM(B69:B71)</f>
        <v>0</v>
      </c>
      <c r="C72" s="157"/>
      <c r="D72" s="162"/>
      <c r="E72" s="144"/>
      <c r="F72" s="144"/>
      <c r="G72" s="144"/>
      <c r="H72" s="144"/>
      <c r="I72" s="178">
        <f>SUM(I69:I71)</f>
        <v>0</v>
      </c>
      <c r="J72" s="160">
        <f>SUM(J69:J71)</f>
        <v>0</v>
      </c>
      <c r="M72" s="263">
        <f>-SUM(K70:K70)</f>
        <v>0</v>
      </c>
    </row>
    <row r="73" spans="1:13">
      <c r="A73" s="144"/>
      <c r="B73" s="176"/>
      <c r="C73" s="157"/>
      <c r="D73" s="144"/>
      <c r="E73" s="144"/>
      <c r="F73" s="157"/>
      <c r="G73" s="144"/>
      <c r="H73" s="144"/>
      <c r="I73" s="176"/>
      <c r="J73" s="144"/>
    </row>
    <row r="74" spans="1:13" ht="15.6">
      <c r="A74" s="683" t="s">
        <v>165</v>
      </c>
      <c r="B74" s="683"/>
      <c r="C74" s="683"/>
      <c r="D74" s="148"/>
      <c r="E74" s="148"/>
      <c r="F74" s="148"/>
      <c r="G74" s="148"/>
      <c r="H74" s="148"/>
      <c r="I74" s="172"/>
      <c r="J74" s="148"/>
    </row>
    <row r="75" spans="1:13">
      <c r="A75" s="144"/>
      <c r="B75" s="176"/>
      <c r="C75" s="157"/>
      <c r="D75" s="179"/>
      <c r="E75" s="180"/>
      <c r="F75" s="180"/>
      <c r="G75" s="180"/>
      <c r="H75" s="180"/>
      <c r="I75" s="181"/>
      <c r="J75" s="176"/>
      <c r="L75" s="226">
        <f t="shared" ref="L75:L79" si="51">-ROUND(K75+I75,0)</f>
        <v>0</v>
      </c>
    </row>
    <row r="76" spans="1:13">
      <c r="A76" s="144"/>
      <c r="B76" s="176"/>
      <c r="C76" s="157"/>
      <c r="D76" s="179"/>
      <c r="E76" s="180"/>
      <c r="F76" s="180"/>
      <c r="G76" s="180"/>
      <c r="H76" s="180"/>
      <c r="I76" s="181"/>
      <c r="J76" s="176"/>
      <c r="L76" s="226">
        <f t="shared" si="51"/>
        <v>0</v>
      </c>
    </row>
    <row r="77" spans="1:13">
      <c r="A77" s="144"/>
      <c r="B77" s="176"/>
      <c r="C77" s="157"/>
      <c r="D77" s="179"/>
      <c r="E77" s="180"/>
      <c r="F77" s="180"/>
      <c r="G77" s="180"/>
      <c r="H77" s="180"/>
      <c r="I77" s="181"/>
      <c r="J77" s="176"/>
      <c r="L77" s="226">
        <f t="shared" si="51"/>
        <v>0</v>
      </c>
    </row>
    <row r="78" spans="1:13">
      <c r="A78" s="144"/>
      <c r="B78" s="176"/>
      <c r="C78" s="157"/>
      <c r="D78" s="179"/>
      <c r="E78" s="180"/>
      <c r="F78" s="180"/>
      <c r="G78" s="180"/>
      <c r="H78" s="180"/>
      <c r="I78" s="181"/>
      <c r="J78" s="176"/>
      <c r="L78" s="226">
        <f t="shared" si="51"/>
        <v>0</v>
      </c>
    </row>
    <row r="79" spans="1:13">
      <c r="B79" s="176"/>
      <c r="C79" s="157"/>
      <c r="D79" s="179"/>
      <c r="E79" s="180"/>
      <c r="F79" s="180"/>
      <c r="G79" s="180"/>
      <c r="H79" s="180"/>
      <c r="I79" s="181"/>
      <c r="J79" s="176"/>
      <c r="L79" s="226">
        <f t="shared" si="51"/>
        <v>0</v>
      </c>
    </row>
    <row r="80" spans="1:13">
      <c r="A80" s="160"/>
      <c r="B80" s="188"/>
      <c r="C80" s="157"/>
      <c r="D80" s="158"/>
      <c r="E80" s="139"/>
      <c r="F80" s="144"/>
      <c r="G80" s="144"/>
      <c r="H80" s="144"/>
      <c r="I80" s="176"/>
      <c r="J80" s="188"/>
      <c r="K80" s="228"/>
      <c r="L80" s="226"/>
      <c r="M80">
        <f>-SUM(K75:K79)</f>
        <v>0</v>
      </c>
    </row>
    <row r="81" spans="1:12">
      <c r="A81" s="144"/>
      <c r="B81" s="176"/>
      <c r="C81" s="157"/>
      <c r="D81" s="144"/>
      <c r="E81" s="144"/>
      <c r="F81" s="157"/>
      <c r="G81" s="144"/>
      <c r="H81" s="144"/>
      <c r="I81" s="176"/>
      <c r="J81" s="144"/>
    </row>
    <row r="83" spans="1:12">
      <c r="B83" s="220">
        <f>+B72+B68+B63+B39+B33+B28+B24+B6+B80</f>
        <v>4385488.47</v>
      </c>
      <c r="I83" s="220">
        <f>+I72+I68+I63+I39+I33+I28+I24+I6</f>
        <v>176293.99853936073</v>
      </c>
      <c r="J83" s="220">
        <f>+J72+J68+J63+J39+J33+J28+J24+J6+J80</f>
        <v>4209194.4714606395</v>
      </c>
      <c r="K83" s="247">
        <f>+SUM(K4:K79)</f>
        <v>-176294.02000000005</v>
      </c>
      <c r="L83" s="247">
        <f>+SUM(L5:L79)</f>
        <v>0</v>
      </c>
    </row>
    <row r="84" spans="1:12">
      <c r="J84" s="220"/>
    </row>
    <row r="87" spans="1:12">
      <c r="K87" s="228"/>
    </row>
    <row r="90" spans="1:12">
      <c r="K90" s="220"/>
    </row>
    <row r="93" spans="1:12">
      <c r="K93" s="220"/>
    </row>
  </sheetData>
  <mergeCells count="1">
    <mergeCell ref="A74:C7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34"/>
  <sheetViews>
    <sheetView zoomScale="115" zoomScaleNormal="115" workbookViewId="0">
      <pane ySplit="5" topLeftCell="A244" activePane="bottomLeft" state="frozen"/>
      <selection pane="bottomLeft" activeCell="F255" sqref="F255"/>
    </sheetView>
  </sheetViews>
  <sheetFormatPr defaultColWidth="9" defaultRowHeight="14.4"/>
  <cols>
    <col min="1" max="1" width="6.44140625" style="415" customWidth="1"/>
    <col min="2" max="2" width="13.109375" style="415" customWidth="1"/>
    <col min="3" max="3" width="23.33203125" style="415" customWidth="1"/>
    <col min="4" max="4" width="32.33203125" style="415" customWidth="1"/>
    <col min="5" max="6" width="15.33203125" style="416" customWidth="1"/>
    <col min="7" max="7" width="14.33203125" style="416" customWidth="1"/>
    <col min="8" max="8" width="14.6640625" style="416" customWidth="1"/>
    <col min="9" max="9" width="13.6640625" style="416" bestFit="1" customWidth="1"/>
    <col min="10" max="10" width="32.109375" style="415" customWidth="1"/>
    <col min="11" max="11" width="21.33203125" style="415" customWidth="1"/>
    <col min="12" max="12" width="12.5546875" style="415" customWidth="1"/>
    <col min="13" max="16384" width="9" style="415"/>
  </cols>
  <sheetData>
    <row r="1" spans="1:14" ht="15.6">
      <c r="A1" s="413" t="s">
        <v>404</v>
      </c>
      <c r="B1" s="414"/>
      <c r="E1" s="415"/>
      <c r="F1" s="415"/>
    </row>
    <row r="2" spans="1:14" ht="15.6">
      <c r="A2" s="413" t="s">
        <v>405</v>
      </c>
      <c r="B2" s="414"/>
      <c r="E2" s="415"/>
      <c r="F2" s="415"/>
    </row>
    <row r="3" spans="1:14" ht="15.6">
      <c r="A3" s="413"/>
      <c r="B3" s="414"/>
      <c r="E3" s="415"/>
      <c r="F3" s="415"/>
    </row>
    <row r="4" spans="1:14" ht="18">
      <c r="A4" s="417" t="s">
        <v>406</v>
      </c>
      <c r="B4" s="414"/>
      <c r="E4" s="684" t="s">
        <v>407</v>
      </c>
      <c r="F4" s="685"/>
      <c r="G4" s="418" t="s">
        <v>408</v>
      </c>
      <c r="H4" s="418" t="s">
        <v>409</v>
      </c>
      <c r="I4" s="419" t="s">
        <v>410</v>
      </c>
    </row>
    <row r="5" spans="1:14" ht="19.2" customHeight="1">
      <c r="A5" s="420" t="s">
        <v>411</v>
      </c>
      <c r="B5" s="420" t="s">
        <v>412</v>
      </c>
      <c r="C5" s="420" t="s">
        <v>413</v>
      </c>
      <c r="D5" s="420" t="s">
        <v>414</v>
      </c>
      <c r="E5" s="421" t="s">
        <v>415</v>
      </c>
      <c r="F5" s="421" t="s">
        <v>416</v>
      </c>
      <c r="G5" s="421" t="s">
        <v>408</v>
      </c>
      <c r="H5" s="421" t="s">
        <v>409</v>
      </c>
      <c r="I5" s="421" t="s">
        <v>417</v>
      </c>
      <c r="J5" s="420" t="s">
        <v>418</v>
      </c>
    </row>
    <row r="6" spans="1:14">
      <c r="A6" s="422">
        <v>1</v>
      </c>
      <c r="B6" s="423">
        <v>1000001497</v>
      </c>
      <c r="C6" s="424" t="s">
        <v>419</v>
      </c>
      <c r="D6" s="424" t="s">
        <v>420</v>
      </c>
      <c r="E6" s="425">
        <v>0</v>
      </c>
      <c r="F6" s="425">
        <f t="shared" ref="F6:F65" si="0">+H6-E6</f>
        <v>32760000</v>
      </c>
      <c r="G6" s="425">
        <f>+H6*18%</f>
        <v>5896800</v>
      </c>
      <c r="H6" s="425">
        <v>32760000</v>
      </c>
      <c r="I6" s="426">
        <f t="shared" ref="I6:I66" si="1">+G6/H6%</f>
        <v>18</v>
      </c>
      <c r="J6" s="422" t="s">
        <v>421</v>
      </c>
      <c r="N6" s="415" t="s">
        <v>422</v>
      </c>
    </row>
    <row r="7" spans="1:14">
      <c r="A7" s="422">
        <f t="shared" ref="A7:A65" si="2">+A6+1</f>
        <v>2</v>
      </c>
      <c r="B7" s="422">
        <v>1000001492</v>
      </c>
      <c r="C7" s="424" t="s">
        <v>423</v>
      </c>
      <c r="D7" s="424" t="s">
        <v>424</v>
      </c>
      <c r="E7" s="425">
        <v>2701669</v>
      </c>
      <c r="F7" s="425">
        <f t="shared" si="0"/>
        <v>14077095</v>
      </c>
      <c r="G7" s="425">
        <v>2984177.52</v>
      </c>
      <c r="H7" s="425">
        <f>16578764+200000</f>
        <v>16778764</v>
      </c>
      <c r="I7" s="426">
        <f t="shared" si="1"/>
        <v>17.785443075544777</v>
      </c>
      <c r="J7" s="422" t="s">
        <v>421</v>
      </c>
      <c r="N7" s="415" t="s">
        <v>422</v>
      </c>
    </row>
    <row r="8" spans="1:14">
      <c r="A8" s="422">
        <f t="shared" si="2"/>
        <v>3</v>
      </c>
      <c r="B8" s="423">
        <v>1000000147</v>
      </c>
      <c r="C8" s="424" t="s">
        <v>425</v>
      </c>
      <c r="D8" s="424" t="s">
        <v>426</v>
      </c>
      <c r="E8" s="425">
        <v>0</v>
      </c>
      <c r="F8" s="425">
        <f t="shared" si="0"/>
        <v>16236000</v>
      </c>
      <c r="G8" s="425">
        <f t="shared" ref="G8:G13" si="3">+H8*18%</f>
        <v>2922480</v>
      </c>
      <c r="H8" s="425">
        <f>16236000</f>
        <v>16236000</v>
      </c>
      <c r="I8" s="426">
        <f t="shared" si="1"/>
        <v>18</v>
      </c>
      <c r="J8" s="422" t="s">
        <v>421</v>
      </c>
      <c r="N8" s="415" t="s">
        <v>422</v>
      </c>
    </row>
    <row r="9" spans="1:14">
      <c r="A9" s="422">
        <f t="shared" si="2"/>
        <v>4</v>
      </c>
      <c r="B9" s="423">
        <v>1000001468</v>
      </c>
      <c r="C9" s="422" t="s">
        <v>427</v>
      </c>
      <c r="D9" s="427" t="s">
        <v>428</v>
      </c>
      <c r="E9" s="425">
        <v>0</v>
      </c>
      <c r="F9" s="425">
        <f t="shared" si="0"/>
        <v>14692000</v>
      </c>
      <c r="G9" s="428">
        <f t="shared" si="3"/>
        <v>2644560</v>
      </c>
      <c r="H9" s="428">
        <v>14692000</v>
      </c>
      <c r="I9" s="426">
        <f t="shared" si="1"/>
        <v>18</v>
      </c>
      <c r="J9" s="422" t="s">
        <v>421</v>
      </c>
      <c r="N9" s="415" t="s">
        <v>422</v>
      </c>
    </row>
    <row r="10" spans="1:14">
      <c r="A10" s="422">
        <f t="shared" si="2"/>
        <v>5</v>
      </c>
      <c r="B10" s="423">
        <v>1000001669</v>
      </c>
      <c r="C10" s="424" t="s">
        <v>429</v>
      </c>
      <c r="D10" s="424" t="s">
        <v>68</v>
      </c>
      <c r="E10" s="425">
        <v>0</v>
      </c>
      <c r="F10" s="425">
        <f t="shared" si="0"/>
        <v>4475000</v>
      </c>
      <c r="G10" s="425">
        <f t="shared" si="3"/>
        <v>805500</v>
      </c>
      <c r="H10" s="425">
        <v>4475000</v>
      </c>
      <c r="I10" s="426">
        <f t="shared" si="1"/>
        <v>18</v>
      </c>
      <c r="J10" s="422" t="s">
        <v>421</v>
      </c>
      <c r="N10" s="415" t="s">
        <v>422</v>
      </c>
    </row>
    <row r="11" spans="1:14">
      <c r="A11" s="422">
        <f t="shared" si="2"/>
        <v>6</v>
      </c>
      <c r="B11" s="423">
        <v>1000001467</v>
      </c>
      <c r="C11" s="422" t="s">
        <v>430</v>
      </c>
      <c r="D11" s="422" t="s">
        <v>431</v>
      </c>
      <c r="E11" s="425">
        <v>0</v>
      </c>
      <c r="F11" s="425">
        <f t="shared" si="0"/>
        <v>3167697</v>
      </c>
      <c r="G11" s="425">
        <f t="shared" si="3"/>
        <v>570185.46</v>
      </c>
      <c r="H11" s="425">
        <f>3112697+55000</f>
        <v>3167697</v>
      </c>
      <c r="I11" s="426">
        <f t="shared" si="1"/>
        <v>17.999999999999996</v>
      </c>
      <c r="J11" s="422" t="s">
        <v>421</v>
      </c>
      <c r="N11" s="415" t="s">
        <v>422</v>
      </c>
    </row>
    <row r="12" spans="1:14">
      <c r="A12" s="422">
        <f t="shared" si="2"/>
        <v>7</v>
      </c>
      <c r="B12" s="422">
        <v>1000001748</v>
      </c>
      <c r="C12" s="422" t="s">
        <v>432</v>
      </c>
      <c r="D12" s="422" t="s">
        <v>433</v>
      </c>
      <c r="E12" s="425">
        <v>0</v>
      </c>
      <c r="F12" s="425">
        <f t="shared" si="0"/>
        <v>2340000</v>
      </c>
      <c r="G12" s="425">
        <f t="shared" si="3"/>
        <v>421200</v>
      </c>
      <c r="H12" s="425">
        <v>2340000</v>
      </c>
      <c r="I12" s="426">
        <f t="shared" si="1"/>
        <v>18</v>
      </c>
      <c r="J12" s="422" t="s">
        <v>421</v>
      </c>
      <c r="N12" s="415" t="s">
        <v>422</v>
      </c>
    </row>
    <row r="13" spans="1:14">
      <c r="A13" s="422">
        <f t="shared" si="2"/>
        <v>8</v>
      </c>
      <c r="B13" s="423">
        <v>1000002216</v>
      </c>
      <c r="C13" s="429" t="s">
        <v>434</v>
      </c>
      <c r="D13" s="422" t="s">
        <v>435</v>
      </c>
      <c r="E13" s="425">
        <v>0</v>
      </c>
      <c r="F13" s="425">
        <f t="shared" si="0"/>
        <v>1949944</v>
      </c>
      <c r="G13" s="425">
        <f t="shared" si="3"/>
        <v>350989.92</v>
      </c>
      <c r="H13" s="430">
        <v>1949944</v>
      </c>
      <c r="I13" s="426">
        <f t="shared" si="1"/>
        <v>18</v>
      </c>
      <c r="J13" s="422" t="s">
        <v>421</v>
      </c>
      <c r="N13" s="415" t="s">
        <v>422</v>
      </c>
    </row>
    <row r="14" spans="1:14">
      <c r="A14" s="422">
        <f t="shared" si="2"/>
        <v>9</v>
      </c>
      <c r="B14" s="423">
        <v>1000001738</v>
      </c>
      <c r="C14" s="422" t="s">
        <v>436</v>
      </c>
      <c r="D14" s="422" t="s">
        <v>437</v>
      </c>
      <c r="E14" s="425">
        <v>0</v>
      </c>
      <c r="F14" s="425">
        <f t="shared" si="0"/>
        <v>1850000</v>
      </c>
      <c r="G14" s="425">
        <f>153199+153199</f>
        <v>306398</v>
      </c>
      <c r="H14" s="425">
        <v>1850000</v>
      </c>
      <c r="I14" s="426">
        <f t="shared" si="1"/>
        <v>16.562054054054055</v>
      </c>
      <c r="J14" s="422" t="s">
        <v>421</v>
      </c>
      <c r="N14" s="415" t="s">
        <v>422</v>
      </c>
    </row>
    <row r="15" spans="1:14">
      <c r="A15" s="422">
        <f t="shared" si="2"/>
        <v>10</v>
      </c>
      <c r="B15" s="423">
        <v>1000002299</v>
      </c>
      <c r="C15" s="422" t="s">
        <v>438</v>
      </c>
      <c r="D15" s="422" t="s">
        <v>439</v>
      </c>
      <c r="E15" s="425">
        <v>0</v>
      </c>
      <c r="F15" s="425">
        <f t="shared" si="0"/>
        <v>1598000</v>
      </c>
      <c r="G15" s="425">
        <f>+H15*18%</f>
        <v>287640</v>
      </c>
      <c r="H15" s="425">
        <v>1598000</v>
      </c>
      <c r="I15" s="426">
        <f t="shared" si="1"/>
        <v>18</v>
      </c>
      <c r="J15" s="422" t="s">
        <v>421</v>
      </c>
      <c r="N15" s="415" t="s">
        <v>422</v>
      </c>
    </row>
    <row r="16" spans="1:14">
      <c r="A16" s="422">
        <f t="shared" si="2"/>
        <v>11</v>
      </c>
      <c r="B16" s="423">
        <v>1000000474</v>
      </c>
      <c r="C16" s="422" t="s">
        <v>440</v>
      </c>
      <c r="D16" s="422" t="s">
        <v>441</v>
      </c>
      <c r="E16" s="425">
        <v>0</v>
      </c>
      <c r="F16" s="425">
        <f t="shared" si="0"/>
        <v>1328000</v>
      </c>
      <c r="G16" s="425">
        <f>+H16*18%</f>
        <v>239040</v>
      </c>
      <c r="H16" s="425">
        <v>1328000</v>
      </c>
      <c r="I16" s="426">
        <f t="shared" si="1"/>
        <v>18</v>
      </c>
      <c r="J16" s="422" t="s">
        <v>421</v>
      </c>
      <c r="N16" s="415" t="s">
        <v>422</v>
      </c>
    </row>
    <row r="17" spans="1:14">
      <c r="A17" s="422">
        <f t="shared" si="2"/>
        <v>12</v>
      </c>
      <c r="B17" s="423">
        <v>1000002267</v>
      </c>
      <c r="C17" s="429" t="s">
        <v>442</v>
      </c>
      <c r="D17" s="422" t="s">
        <v>443</v>
      </c>
      <c r="E17" s="425">
        <v>0</v>
      </c>
      <c r="F17" s="425">
        <f t="shared" si="0"/>
        <v>1290513</v>
      </c>
      <c r="G17" s="425">
        <f>+H17*18%-0.34</f>
        <v>232292</v>
      </c>
      <c r="H17" s="431">
        <v>1290513</v>
      </c>
      <c r="I17" s="426">
        <f t="shared" si="1"/>
        <v>17.999973653888027</v>
      </c>
      <c r="J17" s="422" t="s">
        <v>421</v>
      </c>
      <c r="N17" s="415" t="s">
        <v>422</v>
      </c>
    </row>
    <row r="18" spans="1:14">
      <c r="A18" s="422">
        <f t="shared" si="2"/>
        <v>13</v>
      </c>
      <c r="B18" s="423">
        <v>1000000299</v>
      </c>
      <c r="C18" s="422" t="s">
        <v>444</v>
      </c>
      <c r="D18" s="422" t="s">
        <v>445</v>
      </c>
      <c r="E18" s="425">
        <v>0</v>
      </c>
      <c r="F18" s="425">
        <f t="shared" si="0"/>
        <v>1700000</v>
      </c>
      <c r="G18" s="425">
        <f>+H18*18%</f>
        <v>306000</v>
      </c>
      <c r="H18" s="425">
        <v>1700000</v>
      </c>
      <c r="I18" s="426">
        <f t="shared" si="1"/>
        <v>18</v>
      </c>
      <c r="J18" s="422" t="s">
        <v>421</v>
      </c>
      <c r="N18" s="415" t="s">
        <v>422</v>
      </c>
    </row>
    <row r="19" spans="1:14">
      <c r="A19" s="422">
        <f t="shared" si="2"/>
        <v>14</v>
      </c>
      <c r="B19" s="423">
        <v>1000000021</v>
      </c>
      <c r="C19" s="422" t="s">
        <v>446</v>
      </c>
      <c r="D19" s="422" t="s">
        <v>447</v>
      </c>
      <c r="E19" s="425">
        <v>1314860</v>
      </c>
      <c r="F19" s="425">
        <f t="shared" si="0"/>
        <v>642216.27118644002</v>
      </c>
      <c r="G19" s="425">
        <f>+H19*18%</f>
        <v>352273.72881355917</v>
      </c>
      <c r="H19" s="431">
        <v>1957076.27118644</v>
      </c>
      <c r="I19" s="426">
        <f t="shared" si="1"/>
        <v>17.999999999999996</v>
      </c>
      <c r="J19" s="422" t="s">
        <v>421</v>
      </c>
      <c r="N19" s="415" t="s">
        <v>422</v>
      </c>
    </row>
    <row r="20" spans="1:14">
      <c r="A20" s="422">
        <f t="shared" si="2"/>
        <v>15</v>
      </c>
      <c r="B20" s="423">
        <v>1000000277</v>
      </c>
      <c r="C20" s="429" t="s">
        <v>448</v>
      </c>
      <c r="D20" s="422" t="s">
        <v>449</v>
      </c>
      <c r="E20" s="425">
        <v>40820</v>
      </c>
      <c r="F20" s="425">
        <f t="shared" si="0"/>
        <v>353092</v>
      </c>
      <c r="G20" s="425">
        <f>+H20*18%</f>
        <v>70904.160000000003</v>
      </c>
      <c r="H20" s="431">
        <v>393912</v>
      </c>
      <c r="I20" s="426">
        <f t="shared" si="1"/>
        <v>18</v>
      </c>
      <c r="J20" s="422" t="s">
        <v>421</v>
      </c>
    </row>
    <row r="21" spans="1:14">
      <c r="A21" s="422">
        <f t="shared" si="2"/>
        <v>16</v>
      </c>
      <c r="B21" s="423">
        <v>1000001700</v>
      </c>
      <c r="C21" s="429" t="s">
        <v>450</v>
      </c>
      <c r="D21" s="422" t="s">
        <v>451</v>
      </c>
      <c r="E21" s="425">
        <v>105042.93</v>
      </c>
      <c r="F21" s="425">
        <f t="shared" si="0"/>
        <v>830089.07000000007</v>
      </c>
      <c r="G21" s="425">
        <f>+H21*18%+0.24</f>
        <v>168323.99999999997</v>
      </c>
      <c r="H21" s="431">
        <v>935132</v>
      </c>
      <c r="I21" s="426">
        <f t="shared" si="1"/>
        <v>18.000025664825927</v>
      </c>
      <c r="J21" s="422" t="s">
        <v>421</v>
      </c>
      <c r="N21" s="415" t="s">
        <v>422</v>
      </c>
    </row>
    <row r="22" spans="1:14">
      <c r="A22" s="422">
        <f t="shared" si="2"/>
        <v>17</v>
      </c>
      <c r="B22" s="423">
        <v>1000000194</v>
      </c>
      <c r="C22" s="429" t="s">
        <v>452</v>
      </c>
      <c r="D22" s="422" t="s">
        <v>453</v>
      </c>
      <c r="E22" s="425">
        <v>0</v>
      </c>
      <c r="F22" s="425">
        <f t="shared" si="0"/>
        <v>238053.6</v>
      </c>
      <c r="G22" s="425">
        <f t="shared" ref="G22:G36" si="4">+H22*18%</f>
        <v>42849.648000000001</v>
      </c>
      <c r="H22" s="431">
        <v>238053.6</v>
      </c>
      <c r="I22" s="426">
        <f t="shared" si="1"/>
        <v>18</v>
      </c>
      <c r="J22" s="422" t="s">
        <v>421</v>
      </c>
    </row>
    <row r="23" spans="1:14">
      <c r="A23" s="422">
        <f t="shared" si="2"/>
        <v>18</v>
      </c>
      <c r="B23" s="423">
        <v>1000002407</v>
      </c>
      <c r="C23" s="429" t="s">
        <v>454</v>
      </c>
      <c r="D23" s="422" t="s">
        <v>455</v>
      </c>
      <c r="E23" s="425">
        <v>0</v>
      </c>
      <c r="F23" s="425">
        <f t="shared" si="0"/>
        <v>167040</v>
      </c>
      <c r="G23" s="425">
        <f t="shared" si="4"/>
        <v>30067.199999999997</v>
      </c>
      <c r="H23" s="431">
        <v>167040</v>
      </c>
      <c r="I23" s="426">
        <f t="shared" si="1"/>
        <v>17.999999999999996</v>
      </c>
      <c r="J23" s="422" t="s">
        <v>421</v>
      </c>
    </row>
    <row r="24" spans="1:14">
      <c r="A24" s="422">
        <f t="shared" si="2"/>
        <v>19</v>
      </c>
      <c r="B24" s="423">
        <v>1000002064</v>
      </c>
      <c r="C24" s="429" t="s">
        <v>456</v>
      </c>
      <c r="D24" s="422" t="s">
        <v>457</v>
      </c>
      <c r="E24" s="425">
        <v>197182</v>
      </c>
      <c r="F24" s="425">
        <f t="shared" si="0"/>
        <v>171608</v>
      </c>
      <c r="G24" s="425">
        <f t="shared" si="4"/>
        <v>66382.2</v>
      </c>
      <c r="H24" s="431">
        <v>368790</v>
      </c>
      <c r="I24" s="426">
        <f t="shared" si="1"/>
        <v>18</v>
      </c>
      <c r="J24" s="422" t="s">
        <v>421</v>
      </c>
      <c r="L24" s="415" t="s">
        <v>458</v>
      </c>
    </row>
    <row r="25" spans="1:14">
      <c r="A25" s="422">
        <f t="shared" si="2"/>
        <v>20</v>
      </c>
      <c r="B25" s="423">
        <v>1000000570</v>
      </c>
      <c r="C25" s="429" t="s">
        <v>459</v>
      </c>
      <c r="D25" s="422" t="s">
        <v>460</v>
      </c>
      <c r="E25" s="425">
        <v>19180</v>
      </c>
      <c r="F25" s="425">
        <f t="shared" si="0"/>
        <v>104620</v>
      </c>
      <c r="G25" s="425">
        <f t="shared" si="4"/>
        <v>22284</v>
      </c>
      <c r="H25" s="431">
        <v>123800</v>
      </c>
      <c r="I25" s="426">
        <f t="shared" si="1"/>
        <v>18</v>
      </c>
      <c r="J25" s="422" t="s">
        <v>421</v>
      </c>
    </row>
    <row r="26" spans="1:14">
      <c r="A26" s="422">
        <f t="shared" si="2"/>
        <v>21</v>
      </c>
      <c r="B26" s="423">
        <v>1000000101</v>
      </c>
      <c r="C26" s="429" t="s">
        <v>461</v>
      </c>
      <c r="D26" s="422" t="s">
        <v>462</v>
      </c>
      <c r="E26" s="425">
        <v>0</v>
      </c>
      <c r="F26" s="425">
        <f t="shared" si="0"/>
        <v>123795</v>
      </c>
      <c r="G26" s="425">
        <f t="shared" si="4"/>
        <v>22283.1</v>
      </c>
      <c r="H26" s="431">
        <v>123795</v>
      </c>
      <c r="I26" s="426">
        <f t="shared" si="1"/>
        <v>17.999999999999996</v>
      </c>
      <c r="J26" s="422" t="s">
        <v>421</v>
      </c>
      <c r="L26" s="415" t="s">
        <v>458</v>
      </c>
    </row>
    <row r="27" spans="1:14">
      <c r="A27" s="422">
        <f t="shared" si="2"/>
        <v>22</v>
      </c>
      <c r="B27" s="423">
        <v>1000000504</v>
      </c>
      <c r="C27" s="429" t="s">
        <v>463</v>
      </c>
      <c r="D27" s="422" t="s">
        <v>464</v>
      </c>
      <c r="E27" s="425">
        <v>0</v>
      </c>
      <c r="F27" s="425">
        <f t="shared" si="0"/>
        <v>90200</v>
      </c>
      <c r="G27" s="425">
        <f t="shared" si="4"/>
        <v>16236</v>
      </c>
      <c r="H27" s="431">
        <v>90200</v>
      </c>
      <c r="I27" s="426">
        <f t="shared" si="1"/>
        <v>18</v>
      </c>
      <c r="J27" s="422" t="s">
        <v>421</v>
      </c>
    </row>
    <row r="28" spans="1:14">
      <c r="A28" s="422">
        <f t="shared" si="2"/>
        <v>23</v>
      </c>
      <c r="B28" s="423">
        <v>1000000100</v>
      </c>
      <c r="C28" s="429" t="s">
        <v>465</v>
      </c>
      <c r="D28" s="422" t="s">
        <v>466</v>
      </c>
      <c r="E28" s="425">
        <v>0</v>
      </c>
      <c r="F28" s="425">
        <f t="shared" si="0"/>
        <v>78120</v>
      </c>
      <c r="G28" s="425">
        <f t="shared" si="4"/>
        <v>14061.6</v>
      </c>
      <c r="H28" s="431">
        <v>78120</v>
      </c>
      <c r="I28" s="426">
        <f t="shared" si="1"/>
        <v>18</v>
      </c>
      <c r="J28" s="422" t="s">
        <v>421</v>
      </c>
    </row>
    <row r="29" spans="1:14">
      <c r="A29" s="422">
        <f t="shared" si="2"/>
        <v>24</v>
      </c>
      <c r="B29" s="423">
        <v>1000002213</v>
      </c>
      <c r="C29" s="429" t="s">
        <v>467</v>
      </c>
      <c r="D29" s="422" t="s">
        <v>468</v>
      </c>
      <c r="E29" s="425">
        <v>0</v>
      </c>
      <c r="F29" s="425">
        <f t="shared" si="0"/>
        <v>45275</v>
      </c>
      <c r="G29" s="425">
        <f t="shared" si="4"/>
        <v>8149.5</v>
      </c>
      <c r="H29" s="431">
        <v>45275</v>
      </c>
      <c r="I29" s="426">
        <f t="shared" si="1"/>
        <v>18</v>
      </c>
      <c r="J29" s="422" t="s">
        <v>421</v>
      </c>
    </row>
    <row r="30" spans="1:14">
      <c r="A30" s="422">
        <f t="shared" si="2"/>
        <v>25</v>
      </c>
      <c r="B30" s="423">
        <v>1000000718</v>
      </c>
      <c r="C30" s="429" t="s">
        <v>469</v>
      </c>
      <c r="D30" s="422" t="s">
        <v>470</v>
      </c>
      <c r="E30" s="425">
        <v>0</v>
      </c>
      <c r="F30" s="425">
        <f t="shared" si="0"/>
        <v>73325</v>
      </c>
      <c r="G30" s="425">
        <f t="shared" si="4"/>
        <v>13198.5</v>
      </c>
      <c r="H30" s="431">
        <f>73325</f>
        <v>73325</v>
      </c>
      <c r="I30" s="426">
        <f t="shared" si="1"/>
        <v>18</v>
      </c>
      <c r="J30" s="422" t="s">
        <v>421</v>
      </c>
    </row>
    <row r="31" spans="1:14">
      <c r="A31" s="422">
        <f t="shared" si="2"/>
        <v>26</v>
      </c>
      <c r="B31" s="423">
        <v>1000000289</v>
      </c>
      <c r="C31" s="429" t="s">
        <v>471</v>
      </c>
      <c r="D31" s="422" t="s">
        <v>472</v>
      </c>
      <c r="E31" s="425">
        <v>0</v>
      </c>
      <c r="F31" s="425">
        <f t="shared" si="0"/>
        <v>60263.4</v>
      </c>
      <c r="G31" s="425">
        <f t="shared" si="4"/>
        <v>10847.412</v>
      </c>
      <c r="H31" s="431">
        <f>37745+22518.4</f>
        <v>60263.4</v>
      </c>
      <c r="I31" s="426">
        <f t="shared" si="1"/>
        <v>18</v>
      </c>
      <c r="J31" s="422" t="s">
        <v>421</v>
      </c>
    </row>
    <row r="32" spans="1:14">
      <c r="A32" s="422">
        <f t="shared" si="2"/>
        <v>27</v>
      </c>
      <c r="B32" s="423">
        <v>1000000585</v>
      </c>
      <c r="C32" s="429" t="s">
        <v>473</v>
      </c>
      <c r="D32" s="422" t="s">
        <v>474</v>
      </c>
      <c r="E32" s="425">
        <v>45000</v>
      </c>
      <c r="F32" s="425">
        <f t="shared" si="0"/>
        <v>0</v>
      </c>
      <c r="G32" s="425">
        <f t="shared" si="4"/>
        <v>8100</v>
      </c>
      <c r="H32" s="431">
        <v>45000</v>
      </c>
      <c r="I32" s="426">
        <f t="shared" si="1"/>
        <v>18</v>
      </c>
      <c r="J32" s="422" t="s">
        <v>421</v>
      </c>
    </row>
    <row r="33" spans="1:14">
      <c r="A33" s="422">
        <f t="shared" si="2"/>
        <v>28</v>
      </c>
      <c r="B33" s="423">
        <v>1000001478</v>
      </c>
      <c r="C33" s="429" t="s">
        <v>475</v>
      </c>
      <c r="D33" s="422" t="s">
        <v>476</v>
      </c>
      <c r="E33" s="425">
        <v>6600</v>
      </c>
      <c r="F33" s="425">
        <f t="shared" si="0"/>
        <v>34597</v>
      </c>
      <c r="G33" s="432">
        <f t="shared" si="4"/>
        <v>7415.46</v>
      </c>
      <c r="H33" s="431">
        <v>41197</v>
      </c>
      <c r="I33" s="426">
        <f t="shared" si="1"/>
        <v>18</v>
      </c>
      <c r="J33" s="422" t="s">
        <v>421</v>
      </c>
    </row>
    <row r="34" spans="1:14">
      <c r="A34" s="422">
        <f t="shared" si="2"/>
        <v>29</v>
      </c>
      <c r="B34" s="423">
        <v>1000000509</v>
      </c>
      <c r="C34" s="429" t="s">
        <v>477</v>
      </c>
      <c r="D34" s="422" t="s">
        <v>478</v>
      </c>
      <c r="E34" s="425">
        <v>0</v>
      </c>
      <c r="F34" s="425">
        <f t="shared" si="0"/>
        <v>8515</v>
      </c>
      <c r="G34" s="425">
        <f t="shared" si="4"/>
        <v>1532.7</v>
      </c>
      <c r="H34" s="431">
        <v>8515</v>
      </c>
      <c r="I34" s="426">
        <f t="shared" si="1"/>
        <v>18</v>
      </c>
      <c r="J34" s="422" t="s">
        <v>421</v>
      </c>
    </row>
    <row r="35" spans="1:14">
      <c r="A35" s="422">
        <f t="shared" si="2"/>
        <v>30</v>
      </c>
      <c r="B35" s="423">
        <v>1000000234</v>
      </c>
      <c r="C35" s="429" t="s">
        <v>479</v>
      </c>
      <c r="D35" s="422" t="s">
        <v>480</v>
      </c>
      <c r="E35" s="425">
        <v>16759.8</v>
      </c>
      <c r="F35" s="425">
        <f t="shared" si="0"/>
        <v>22337.200000000001</v>
      </c>
      <c r="G35" s="425">
        <f t="shared" si="4"/>
        <v>7037.46</v>
      </c>
      <c r="H35" s="431">
        <v>39097</v>
      </c>
      <c r="I35" s="426">
        <f t="shared" si="1"/>
        <v>18</v>
      </c>
      <c r="J35" s="422" t="s">
        <v>421</v>
      </c>
    </row>
    <row r="36" spans="1:14">
      <c r="A36" s="433">
        <f t="shared" si="2"/>
        <v>31</v>
      </c>
      <c r="B36" s="429">
        <v>1000000095</v>
      </c>
      <c r="C36" s="429" t="s">
        <v>481</v>
      </c>
      <c r="D36" s="433" t="s">
        <v>482</v>
      </c>
      <c r="E36" s="425">
        <v>8500</v>
      </c>
      <c r="F36" s="425">
        <f t="shared" si="0"/>
        <v>27608</v>
      </c>
      <c r="G36" s="434">
        <f t="shared" si="4"/>
        <v>6499.44</v>
      </c>
      <c r="H36" s="431">
        <v>36108</v>
      </c>
      <c r="I36" s="426">
        <f t="shared" si="1"/>
        <v>18</v>
      </c>
      <c r="J36" s="422" t="s">
        <v>421</v>
      </c>
    </row>
    <row r="37" spans="1:14">
      <c r="A37" s="422">
        <f t="shared" si="2"/>
        <v>32</v>
      </c>
      <c r="B37" s="423">
        <v>1000000620</v>
      </c>
      <c r="C37" s="429" t="s">
        <v>483</v>
      </c>
      <c r="D37" s="422" t="s">
        <v>484</v>
      </c>
      <c r="E37" s="425">
        <v>4520</v>
      </c>
      <c r="F37" s="425">
        <f t="shared" si="0"/>
        <v>63662</v>
      </c>
      <c r="G37" s="425">
        <f>+H37*18%+0.24</f>
        <v>12273</v>
      </c>
      <c r="H37" s="431">
        <v>68182</v>
      </c>
      <c r="I37" s="426">
        <f t="shared" si="1"/>
        <v>18.000351999061333</v>
      </c>
      <c r="J37" s="422" t="s">
        <v>421</v>
      </c>
    </row>
    <row r="38" spans="1:14">
      <c r="A38" s="422">
        <f t="shared" si="2"/>
        <v>33</v>
      </c>
      <c r="B38" s="423">
        <v>1000000325</v>
      </c>
      <c r="C38" s="429" t="s">
        <v>485</v>
      </c>
      <c r="D38" s="422" t="s">
        <v>486</v>
      </c>
      <c r="E38" s="425">
        <v>0</v>
      </c>
      <c r="F38" s="425">
        <f t="shared" si="0"/>
        <v>2879</v>
      </c>
      <c r="G38" s="425">
        <f>+H38*18%</f>
        <v>518.22</v>
      </c>
      <c r="H38" s="431">
        <v>2879</v>
      </c>
      <c r="I38" s="426">
        <f t="shared" si="1"/>
        <v>18</v>
      </c>
      <c r="J38" s="422" t="s">
        <v>421</v>
      </c>
    </row>
    <row r="39" spans="1:14">
      <c r="A39" s="422">
        <f t="shared" si="2"/>
        <v>34</v>
      </c>
      <c r="B39" s="435">
        <v>1000000141</v>
      </c>
      <c r="C39" s="435" t="s">
        <v>487</v>
      </c>
      <c r="D39" s="422" t="s">
        <v>488</v>
      </c>
      <c r="E39" s="425">
        <v>0</v>
      </c>
      <c r="F39" s="425">
        <f t="shared" si="0"/>
        <v>1658300</v>
      </c>
      <c r="G39" s="425">
        <f>+H39*18%</f>
        <v>298494</v>
      </c>
      <c r="H39" s="431">
        <f>1610000+48300</f>
        <v>1658300</v>
      </c>
      <c r="I39" s="426">
        <f t="shared" si="1"/>
        <v>18</v>
      </c>
      <c r="J39" s="422" t="s">
        <v>421</v>
      </c>
      <c r="N39" s="415" t="s">
        <v>422</v>
      </c>
    </row>
    <row r="40" spans="1:14">
      <c r="A40" s="422">
        <f t="shared" si="2"/>
        <v>35</v>
      </c>
      <c r="B40" s="436">
        <v>1000000063</v>
      </c>
      <c r="C40" s="436" t="s">
        <v>489</v>
      </c>
      <c r="D40" s="422" t="s">
        <v>490</v>
      </c>
      <c r="E40" s="425">
        <v>0</v>
      </c>
      <c r="F40" s="425">
        <f t="shared" si="0"/>
        <v>500000</v>
      </c>
      <c r="G40" s="425">
        <f>+H40*18%</f>
        <v>90000</v>
      </c>
      <c r="H40" s="431">
        <v>500000</v>
      </c>
      <c r="I40" s="426">
        <f t="shared" si="1"/>
        <v>18</v>
      </c>
      <c r="J40" s="422" t="s">
        <v>421</v>
      </c>
      <c r="N40" s="415" t="s">
        <v>422</v>
      </c>
    </row>
    <row r="41" spans="1:14">
      <c r="A41" s="422">
        <f t="shared" si="2"/>
        <v>36</v>
      </c>
      <c r="B41" s="436">
        <v>1000000114</v>
      </c>
      <c r="C41" s="436" t="s">
        <v>491</v>
      </c>
      <c r="D41" s="422" t="s">
        <v>492</v>
      </c>
      <c r="E41" s="425">
        <v>51406.26</v>
      </c>
      <c r="F41" s="425">
        <f t="shared" si="0"/>
        <v>127898.73999999999</v>
      </c>
      <c r="G41" s="425">
        <f>+H41*18%</f>
        <v>32274.899999999998</v>
      </c>
      <c r="H41" s="431">
        <v>179305</v>
      </c>
      <c r="I41" s="426">
        <f t="shared" si="1"/>
        <v>18</v>
      </c>
      <c r="J41" s="422" t="s">
        <v>421</v>
      </c>
      <c r="L41" s="415" t="s">
        <v>458</v>
      </c>
      <c r="N41" s="415" t="s">
        <v>422</v>
      </c>
    </row>
    <row r="42" spans="1:14">
      <c r="A42" s="422">
        <f t="shared" si="2"/>
        <v>37</v>
      </c>
      <c r="B42" s="436">
        <v>1000000384</v>
      </c>
      <c r="C42" s="436" t="s">
        <v>493</v>
      </c>
      <c r="D42" s="422" t="s">
        <v>494</v>
      </c>
      <c r="E42" s="425">
        <v>0</v>
      </c>
      <c r="F42" s="425">
        <f t="shared" si="0"/>
        <v>28161</v>
      </c>
      <c r="G42" s="425">
        <f>2614.95*2</f>
        <v>5229.8999999999996</v>
      </c>
      <c r="H42" s="431">
        <v>28161</v>
      </c>
      <c r="I42" s="426">
        <f t="shared" si="1"/>
        <v>18.571428571428569</v>
      </c>
      <c r="J42" s="422" t="s">
        <v>421</v>
      </c>
    </row>
    <row r="43" spans="1:14">
      <c r="A43" s="422">
        <f t="shared" si="2"/>
        <v>38</v>
      </c>
      <c r="B43" s="436">
        <v>1000000392</v>
      </c>
      <c r="C43" s="436" t="s">
        <v>495</v>
      </c>
      <c r="D43" s="422" t="s">
        <v>496</v>
      </c>
      <c r="E43" s="425">
        <v>0</v>
      </c>
      <c r="F43" s="425">
        <f t="shared" si="0"/>
        <v>380000</v>
      </c>
      <c r="G43" s="425">
        <f>+H43*18%</f>
        <v>68400</v>
      </c>
      <c r="H43" s="431">
        <v>380000</v>
      </c>
      <c r="I43" s="426">
        <f t="shared" si="1"/>
        <v>18</v>
      </c>
      <c r="J43" s="422" t="s">
        <v>421</v>
      </c>
      <c r="N43" s="415" t="s">
        <v>422</v>
      </c>
    </row>
    <row r="44" spans="1:14">
      <c r="A44" s="422">
        <f t="shared" si="2"/>
        <v>39</v>
      </c>
      <c r="B44" s="436">
        <v>1000000533</v>
      </c>
      <c r="C44" s="436" t="s">
        <v>497</v>
      </c>
      <c r="D44" s="422" t="s">
        <v>498</v>
      </c>
      <c r="E44" s="425">
        <v>184300</v>
      </c>
      <c r="F44" s="425">
        <f t="shared" si="0"/>
        <v>32250</v>
      </c>
      <c r="G44" s="425">
        <f>+H44*18%</f>
        <v>38979</v>
      </c>
      <c r="H44" s="431">
        <f>26600+189950</f>
        <v>216550</v>
      </c>
      <c r="I44" s="426">
        <f t="shared" si="1"/>
        <v>18</v>
      </c>
      <c r="J44" s="422" t="s">
        <v>421</v>
      </c>
    </row>
    <row r="45" spans="1:14">
      <c r="A45" s="422">
        <f t="shared" si="2"/>
        <v>40</v>
      </c>
      <c r="B45" s="437">
        <v>1000000562</v>
      </c>
      <c r="C45" s="437" t="s">
        <v>499</v>
      </c>
      <c r="D45" s="438" t="s">
        <v>500</v>
      </c>
      <c r="E45" s="425">
        <v>726857.32</v>
      </c>
      <c r="F45" s="425">
        <f t="shared" si="0"/>
        <v>1232152.6800000002</v>
      </c>
      <c r="G45" s="439">
        <f>+H45*18%</f>
        <v>352621.8</v>
      </c>
      <c r="H45" s="440">
        <v>1959010</v>
      </c>
      <c r="I45" s="426">
        <f t="shared" si="1"/>
        <v>18</v>
      </c>
      <c r="J45" s="422" t="s">
        <v>421</v>
      </c>
    </row>
    <row r="46" spans="1:14">
      <c r="A46" s="422">
        <f t="shared" si="2"/>
        <v>41</v>
      </c>
      <c r="B46" s="436">
        <v>1000000568</v>
      </c>
      <c r="C46" s="436" t="s">
        <v>501</v>
      </c>
      <c r="D46" s="424" t="s">
        <v>502</v>
      </c>
      <c r="E46" s="425">
        <v>0</v>
      </c>
      <c r="F46" s="425">
        <f t="shared" si="0"/>
        <v>108330.5</v>
      </c>
      <c r="G46" s="425">
        <f>+H46*18%</f>
        <v>19499.489999999998</v>
      </c>
      <c r="H46" s="431">
        <v>108330.5</v>
      </c>
      <c r="I46" s="426">
        <f t="shared" si="1"/>
        <v>17.999999999999996</v>
      </c>
      <c r="J46" s="422" t="s">
        <v>421</v>
      </c>
    </row>
    <row r="47" spans="1:14">
      <c r="A47" s="422">
        <f t="shared" si="2"/>
        <v>42</v>
      </c>
      <c r="B47" s="436">
        <v>1000000646</v>
      </c>
      <c r="C47" s="436" t="s">
        <v>503</v>
      </c>
      <c r="D47" s="422" t="s">
        <v>504</v>
      </c>
      <c r="E47" s="425">
        <v>0</v>
      </c>
      <c r="F47" s="425">
        <f t="shared" si="0"/>
        <v>216450</v>
      </c>
      <c r="G47" s="425">
        <f>+H47*18%</f>
        <v>38961</v>
      </c>
      <c r="H47" s="431">
        <v>216450</v>
      </c>
      <c r="I47" s="426">
        <f t="shared" si="1"/>
        <v>18</v>
      </c>
      <c r="J47" s="422" t="s">
        <v>421</v>
      </c>
      <c r="K47" s="441" t="s">
        <v>505</v>
      </c>
      <c r="L47" s="442" t="s">
        <v>15</v>
      </c>
    </row>
    <row r="48" spans="1:14">
      <c r="A48" s="422">
        <f t="shared" si="2"/>
        <v>43</v>
      </c>
      <c r="B48" s="436">
        <v>1000000660</v>
      </c>
      <c r="C48" s="436" t="s">
        <v>506</v>
      </c>
      <c r="D48" s="422" t="s">
        <v>507</v>
      </c>
      <c r="E48" s="425">
        <v>0</v>
      </c>
      <c r="F48" s="425">
        <f t="shared" si="0"/>
        <v>5100</v>
      </c>
      <c r="G48" s="425">
        <f>459*2</f>
        <v>918</v>
      </c>
      <c r="H48" s="425">
        <f>85*60</f>
        <v>5100</v>
      </c>
      <c r="I48" s="426">
        <f t="shared" si="1"/>
        <v>18</v>
      </c>
      <c r="J48" s="422" t="s">
        <v>421</v>
      </c>
    </row>
    <row r="49" spans="1:14">
      <c r="A49" s="422">
        <f t="shared" si="2"/>
        <v>44</v>
      </c>
      <c r="B49" s="436">
        <v>1000002646</v>
      </c>
      <c r="C49" s="436" t="s">
        <v>508</v>
      </c>
      <c r="D49" s="422" t="s">
        <v>509</v>
      </c>
      <c r="E49" s="425">
        <v>296700</v>
      </c>
      <c r="F49" s="425">
        <f t="shared" si="0"/>
        <v>3300</v>
      </c>
      <c r="G49" s="425">
        <f>+H49*18%</f>
        <v>54000</v>
      </c>
      <c r="H49" s="431">
        <v>300000</v>
      </c>
      <c r="I49" s="426">
        <f t="shared" si="1"/>
        <v>18</v>
      </c>
      <c r="J49" s="422" t="s">
        <v>421</v>
      </c>
    </row>
    <row r="50" spans="1:14">
      <c r="A50" s="422">
        <f t="shared" si="2"/>
        <v>45</v>
      </c>
      <c r="B50" s="436">
        <v>1000002679</v>
      </c>
      <c r="C50" s="436" t="s">
        <v>510</v>
      </c>
      <c r="D50" s="422" t="s">
        <v>157</v>
      </c>
      <c r="E50" s="425">
        <v>0</v>
      </c>
      <c r="F50" s="425">
        <f t="shared" si="0"/>
        <v>331624</v>
      </c>
      <c r="G50" s="425">
        <f>+H50*18%</f>
        <v>59692.32</v>
      </c>
      <c r="H50" s="425">
        <f>323124+8500</f>
        <v>331624</v>
      </c>
      <c r="I50" s="426">
        <f t="shared" si="1"/>
        <v>18</v>
      </c>
      <c r="J50" s="422" t="s">
        <v>421</v>
      </c>
    </row>
    <row r="51" spans="1:14">
      <c r="A51" s="422">
        <f t="shared" si="2"/>
        <v>46</v>
      </c>
      <c r="B51" s="436">
        <v>1000002685</v>
      </c>
      <c r="C51" s="436" t="s">
        <v>511</v>
      </c>
      <c r="D51" s="422" t="s">
        <v>512</v>
      </c>
      <c r="E51" s="425">
        <v>0</v>
      </c>
      <c r="F51" s="425">
        <f t="shared" si="0"/>
        <v>217300</v>
      </c>
      <c r="G51" s="425">
        <f>+H51*18%</f>
        <v>39114</v>
      </c>
      <c r="H51" s="425">
        <v>217300</v>
      </c>
      <c r="I51" s="426">
        <f t="shared" si="1"/>
        <v>18</v>
      </c>
      <c r="J51" s="422" t="s">
        <v>421</v>
      </c>
    </row>
    <row r="52" spans="1:14">
      <c r="A52" s="422">
        <f t="shared" si="2"/>
        <v>47</v>
      </c>
      <c r="B52" s="436">
        <v>1000002705</v>
      </c>
      <c r="C52" s="436" t="s">
        <v>513</v>
      </c>
      <c r="D52" s="422" t="s">
        <v>514</v>
      </c>
      <c r="E52" s="425">
        <v>0</v>
      </c>
      <c r="F52" s="425">
        <f t="shared" si="0"/>
        <v>465212</v>
      </c>
      <c r="G52" s="425">
        <f>41869*2</f>
        <v>83738</v>
      </c>
      <c r="H52" s="425">
        <v>465212</v>
      </c>
      <c r="I52" s="426">
        <f t="shared" si="1"/>
        <v>17.999965607078064</v>
      </c>
      <c r="J52" s="422" t="s">
        <v>421</v>
      </c>
    </row>
    <row r="53" spans="1:14">
      <c r="A53" s="422">
        <f t="shared" si="2"/>
        <v>48</v>
      </c>
      <c r="B53" s="436">
        <v>1000002752</v>
      </c>
      <c r="C53" s="436" t="s">
        <v>515</v>
      </c>
      <c r="D53" s="422" t="s">
        <v>516</v>
      </c>
      <c r="E53" s="425">
        <v>46000.01</v>
      </c>
      <c r="F53" s="425">
        <f t="shared" si="0"/>
        <v>49463.99</v>
      </c>
      <c r="G53" s="425">
        <f t="shared" ref="G53:G66" si="5">+H53*18%</f>
        <v>17183.52</v>
      </c>
      <c r="H53" s="425">
        <v>95464</v>
      </c>
      <c r="I53" s="426">
        <f t="shared" si="1"/>
        <v>18</v>
      </c>
      <c r="J53" s="422" t="s">
        <v>421</v>
      </c>
    </row>
    <row r="54" spans="1:14">
      <c r="A54" s="422">
        <f t="shared" si="2"/>
        <v>49</v>
      </c>
      <c r="B54" s="443">
        <v>1000000228</v>
      </c>
      <c r="C54" s="443" t="s">
        <v>517</v>
      </c>
      <c r="D54" s="444" t="s">
        <v>518</v>
      </c>
      <c r="E54" s="425">
        <v>6256</v>
      </c>
      <c r="F54" s="425">
        <f t="shared" si="0"/>
        <v>0</v>
      </c>
      <c r="G54" s="425">
        <f t="shared" si="5"/>
        <v>1126.08</v>
      </c>
      <c r="H54" s="425">
        <v>6256</v>
      </c>
      <c r="I54" s="426">
        <f t="shared" si="1"/>
        <v>17.999999999999996</v>
      </c>
      <c r="J54" s="422" t="s">
        <v>421</v>
      </c>
    </row>
    <row r="55" spans="1:14">
      <c r="A55" s="422">
        <f t="shared" si="2"/>
        <v>50</v>
      </c>
      <c r="B55" s="445">
        <v>1000000577</v>
      </c>
      <c r="C55" s="446" t="s">
        <v>519</v>
      </c>
      <c r="D55" s="422" t="s">
        <v>516</v>
      </c>
      <c r="E55" s="425">
        <v>0</v>
      </c>
      <c r="F55" s="425">
        <f t="shared" si="0"/>
        <v>55932</v>
      </c>
      <c r="G55" s="425">
        <f t="shared" si="5"/>
        <v>10067.76</v>
      </c>
      <c r="H55" s="425">
        <v>55932</v>
      </c>
      <c r="I55" s="426">
        <f t="shared" si="1"/>
        <v>18</v>
      </c>
      <c r="J55" s="422" t="s">
        <v>421</v>
      </c>
      <c r="L55" s="415" t="s">
        <v>458</v>
      </c>
      <c r="N55" s="415" t="s">
        <v>422</v>
      </c>
    </row>
    <row r="56" spans="1:14">
      <c r="A56" s="422">
        <f t="shared" si="2"/>
        <v>51</v>
      </c>
      <c r="B56" s="447">
        <v>1000002768</v>
      </c>
      <c r="C56" s="447" t="s">
        <v>520</v>
      </c>
      <c r="D56" s="422" t="s">
        <v>521</v>
      </c>
      <c r="E56" s="425">
        <v>65800</v>
      </c>
      <c r="F56" s="425">
        <f t="shared" si="0"/>
        <v>450159</v>
      </c>
      <c r="G56" s="425">
        <f t="shared" si="5"/>
        <v>92872.62</v>
      </c>
      <c r="H56" s="425">
        <v>515959</v>
      </c>
      <c r="I56" s="426">
        <f t="shared" si="1"/>
        <v>18</v>
      </c>
      <c r="J56" s="422" t="s">
        <v>421</v>
      </c>
      <c r="L56" s="415" t="s">
        <v>458</v>
      </c>
      <c r="N56" s="415" t="s">
        <v>422</v>
      </c>
    </row>
    <row r="57" spans="1:14">
      <c r="A57" s="422">
        <f t="shared" si="2"/>
        <v>52</v>
      </c>
      <c r="B57" s="448">
        <v>1000002771</v>
      </c>
      <c r="C57" s="448" t="s">
        <v>522</v>
      </c>
      <c r="D57" s="422" t="s">
        <v>523</v>
      </c>
      <c r="E57" s="425">
        <v>439070</v>
      </c>
      <c r="F57" s="425">
        <f t="shared" si="0"/>
        <v>0</v>
      </c>
      <c r="G57" s="425">
        <f t="shared" si="5"/>
        <v>79032.599999999991</v>
      </c>
      <c r="H57" s="425">
        <v>439070</v>
      </c>
      <c r="I57" s="426">
        <f t="shared" si="1"/>
        <v>18</v>
      </c>
      <c r="J57" s="422" t="s">
        <v>421</v>
      </c>
    </row>
    <row r="58" spans="1:14">
      <c r="A58" s="422">
        <f t="shared" si="2"/>
        <v>53</v>
      </c>
      <c r="B58" s="449">
        <v>1000002779</v>
      </c>
      <c r="C58" s="449" t="s">
        <v>524</v>
      </c>
      <c r="D58" s="422" t="s">
        <v>525</v>
      </c>
      <c r="E58" s="425">
        <v>0</v>
      </c>
      <c r="F58" s="425">
        <f t="shared" si="0"/>
        <v>241600</v>
      </c>
      <c r="G58" s="425">
        <f t="shared" si="5"/>
        <v>43488</v>
      </c>
      <c r="H58" s="425">
        <v>241600</v>
      </c>
      <c r="I58" s="426">
        <f t="shared" si="1"/>
        <v>18</v>
      </c>
      <c r="J58" s="422" t="s">
        <v>421</v>
      </c>
    </row>
    <row r="59" spans="1:14">
      <c r="A59" s="422">
        <f t="shared" si="2"/>
        <v>54</v>
      </c>
      <c r="B59" s="450">
        <v>1000002796</v>
      </c>
      <c r="C59" s="450" t="s">
        <v>526</v>
      </c>
      <c r="D59" s="422" t="s">
        <v>527</v>
      </c>
      <c r="E59" s="425">
        <v>70000</v>
      </c>
      <c r="F59" s="425">
        <f t="shared" si="0"/>
        <v>0</v>
      </c>
      <c r="G59" s="425">
        <f t="shared" si="5"/>
        <v>12600</v>
      </c>
      <c r="H59" s="425">
        <v>70000</v>
      </c>
      <c r="I59" s="426">
        <f t="shared" si="1"/>
        <v>18</v>
      </c>
      <c r="J59" s="422" t="s">
        <v>421</v>
      </c>
    </row>
    <row r="60" spans="1:14">
      <c r="A60" s="422">
        <f t="shared" si="2"/>
        <v>55</v>
      </c>
      <c r="B60" s="451">
        <v>1000002809</v>
      </c>
      <c r="C60" s="451" t="s">
        <v>528</v>
      </c>
      <c r="D60" s="422" t="s">
        <v>529</v>
      </c>
      <c r="E60" s="425">
        <v>86000</v>
      </c>
      <c r="F60" s="425">
        <f t="shared" si="0"/>
        <v>0</v>
      </c>
      <c r="G60" s="425">
        <f t="shared" si="5"/>
        <v>15480</v>
      </c>
      <c r="H60" s="425">
        <v>86000</v>
      </c>
      <c r="I60" s="426">
        <f t="shared" si="1"/>
        <v>18</v>
      </c>
      <c r="J60" s="422" t="s">
        <v>530</v>
      </c>
      <c r="L60" s="415" t="s">
        <v>458</v>
      </c>
    </row>
    <row r="61" spans="1:14">
      <c r="A61" s="422">
        <f t="shared" si="2"/>
        <v>56</v>
      </c>
      <c r="B61" s="452">
        <v>1000002813</v>
      </c>
      <c r="C61" s="452" t="s">
        <v>531</v>
      </c>
      <c r="D61" s="422" t="s">
        <v>532</v>
      </c>
      <c r="E61" s="425">
        <v>487459.33</v>
      </c>
      <c r="F61" s="425">
        <f t="shared" si="0"/>
        <v>-0.33000000001629815</v>
      </c>
      <c r="G61" s="425">
        <f t="shared" si="5"/>
        <v>87742.62</v>
      </c>
      <c r="H61" s="425">
        <v>487459</v>
      </c>
      <c r="I61" s="426">
        <f t="shared" si="1"/>
        <v>18</v>
      </c>
      <c r="J61" s="422" t="s">
        <v>421</v>
      </c>
      <c r="K61" s="441" t="s">
        <v>505</v>
      </c>
      <c r="L61" s="442" t="s">
        <v>15</v>
      </c>
    </row>
    <row r="62" spans="1:14">
      <c r="A62" s="422">
        <f t="shared" si="2"/>
        <v>57</v>
      </c>
      <c r="B62" s="453">
        <v>1000000158</v>
      </c>
      <c r="C62" s="453" t="s">
        <v>533</v>
      </c>
      <c r="D62" s="454" t="s">
        <v>364</v>
      </c>
      <c r="E62" s="425">
        <v>0</v>
      </c>
      <c r="F62" s="425">
        <f t="shared" si="0"/>
        <v>613850</v>
      </c>
      <c r="G62" s="425">
        <f t="shared" si="5"/>
        <v>110493</v>
      </c>
      <c r="H62" s="455">
        <v>613850</v>
      </c>
      <c r="I62" s="426">
        <f t="shared" si="1"/>
        <v>18</v>
      </c>
      <c r="J62" s="422" t="s">
        <v>421</v>
      </c>
    </row>
    <row r="63" spans="1:14">
      <c r="A63" s="422">
        <f t="shared" si="2"/>
        <v>58</v>
      </c>
      <c r="B63" s="456">
        <v>1000000599</v>
      </c>
      <c r="C63" s="457" t="s">
        <v>534</v>
      </c>
      <c r="D63" s="422" t="s">
        <v>535</v>
      </c>
      <c r="E63" s="425">
        <v>62100.480000000003</v>
      </c>
      <c r="F63" s="425">
        <f t="shared" si="0"/>
        <v>-0.48000000000320142</v>
      </c>
      <c r="G63" s="425">
        <f t="shared" si="5"/>
        <v>11178</v>
      </c>
      <c r="H63" s="425">
        <v>62100</v>
      </c>
      <c r="I63" s="426">
        <f t="shared" si="1"/>
        <v>18</v>
      </c>
      <c r="J63" s="422" t="s">
        <v>421</v>
      </c>
    </row>
    <row r="64" spans="1:14">
      <c r="A64" s="422">
        <f t="shared" si="2"/>
        <v>59</v>
      </c>
      <c r="B64" s="458">
        <v>1000001741</v>
      </c>
      <c r="C64" s="458" t="s">
        <v>536</v>
      </c>
      <c r="D64" s="459" t="s">
        <v>537</v>
      </c>
      <c r="E64" s="425">
        <v>550400.01</v>
      </c>
      <c r="F64" s="425">
        <f t="shared" si="0"/>
        <v>7199.9899999999907</v>
      </c>
      <c r="G64" s="460">
        <f t="shared" si="5"/>
        <v>100368</v>
      </c>
      <c r="H64" s="460">
        <v>557600</v>
      </c>
      <c r="I64" s="426">
        <f t="shared" si="1"/>
        <v>18</v>
      </c>
      <c r="J64" s="422" t="s">
        <v>421</v>
      </c>
    </row>
    <row r="65" spans="1:12">
      <c r="A65" s="422">
        <f t="shared" si="2"/>
        <v>60</v>
      </c>
      <c r="B65" s="461">
        <v>1000000821</v>
      </c>
      <c r="C65" s="461" t="s">
        <v>538</v>
      </c>
      <c r="D65" s="422" t="s">
        <v>539</v>
      </c>
      <c r="E65" s="425">
        <v>0</v>
      </c>
      <c r="F65" s="425">
        <f t="shared" si="0"/>
        <v>3127461</v>
      </c>
      <c r="G65" s="425">
        <f t="shared" si="5"/>
        <v>562942.98</v>
      </c>
      <c r="H65" s="425">
        <v>3127461</v>
      </c>
      <c r="I65" s="426">
        <f t="shared" si="1"/>
        <v>18</v>
      </c>
      <c r="J65" s="422" t="s">
        <v>421</v>
      </c>
      <c r="K65" s="441" t="s">
        <v>505</v>
      </c>
      <c r="L65" s="442" t="s">
        <v>15</v>
      </c>
    </row>
    <row r="66" spans="1:12">
      <c r="A66" s="422"/>
      <c r="B66" s="423">
        <v>1000001013</v>
      </c>
      <c r="C66" s="462" t="s">
        <v>540</v>
      </c>
      <c r="D66" s="424" t="s">
        <v>541</v>
      </c>
      <c r="E66" s="425"/>
      <c r="F66" s="431">
        <v>660875</v>
      </c>
      <c r="G66" s="425">
        <f t="shared" si="5"/>
        <v>118957.5</v>
      </c>
      <c r="H66" s="431">
        <v>660875</v>
      </c>
      <c r="I66" s="426">
        <f t="shared" si="1"/>
        <v>18</v>
      </c>
      <c r="J66" s="422" t="s">
        <v>421</v>
      </c>
    </row>
    <row r="67" spans="1:12">
      <c r="A67" s="422"/>
      <c r="B67" s="461"/>
      <c r="C67" s="463"/>
      <c r="D67" s="424"/>
      <c r="E67" s="464">
        <f>SUM(E6:E66)</f>
        <v>7532483.1399999997</v>
      </c>
      <c r="F67" s="464">
        <f t="shared" ref="F67" si="6">SUM(F6:F66)</f>
        <v>111114163.63118643</v>
      </c>
      <c r="G67" s="464">
        <f>SUM(G6:G66)</f>
        <v>21293955.318813559</v>
      </c>
      <c r="H67" s="464">
        <f>SUM(H6:H66)</f>
        <v>118646646.77118644</v>
      </c>
      <c r="I67" s="426"/>
    </row>
    <row r="68" spans="1:12">
      <c r="A68" s="422">
        <v>61</v>
      </c>
      <c r="B68" s="423">
        <v>1000001013</v>
      </c>
      <c r="C68" s="462" t="s">
        <v>540</v>
      </c>
      <c r="D68" s="424" t="s">
        <v>542</v>
      </c>
      <c r="E68" s="425"/>
      <c r="F68" s="431">
        <f>1052983+1027050-F66</f>
        <v>1419158</v>
      </c>
      <c r="G68" s="425">
        <f t="shared" ref="G68:G74" si="7">+H68*18%</f>
        <v>255448.44</v>
      </c>
      <c r="H68" s="431">
        <f>1052983+1027050-H66</f>
        <v>1419158</v>
      </c>
      <c r="I68" s="426">
        <f t="shared" ref="I68:I74" si="8">+G68/H68%</f>
        <v>18</v>
      </c>
      <c r="J68" s="422" t="s">
        <v>543</v>
      </c>
    </row>
    <row r="69" spans="1:12">
      <c r="A69" s="422">
        <f t="shared" ref="A69:A74" si="9">+A68+1</f>
        <v>62</v>
      </c>
      <c r="B69" s="423">
        <v>1000002004</v>
      </c>
      <c r="C69" s="462" t="s">
        <v>544</v>
      </c>
      <c r="D69" s="424" t="s">
        <v>542</v>
      </c>
      <c r="E69" s="425">
        <v>907753.41</v>
      </c>
      <c r="F69" s="425">
        <f t="shared" ref="F69:F74" si="10">+H69-E69</f>
        <v>6153261.5899999999</v>
      </c>
      <c r="G69" s="425">
        <f t="shared" si="7"/>
        <v>1270982.7</v>
      </c>
      <c r="H69" s="431">
        <f>1988177-232695+5305533</f>
        <v>7061015</v>
      </c>
      <c r="I69" s="426">
        <f t="shared" si="8"/>
        <v>18</v>
      </c>
      <c r="J69" s="422" t="s">
        <v>543</v>
      </c>
      <c r="L69" s="442" t="s">
        <v>3</v>
      </c>
    </row>
    <row r="70" spans="1:12">
      <c r="A70" s="422">
        <f t="shared" si="9"/>
        <v>63</v>
      </c>
      <c r="B70" s="423">
        <v>1000001849</v>
      </c>
      <c r="C70" s="462" t="s">
        <v>545</v>
      </c>
      <c r="D70" s="424" t="s">
        <v>542</v>
      </c>
      <c r="E70" s="425">
        <v>93789</v>
      </c>
      <c r="F70" s="425">
        <f t="shared" si="10"/>
        <v>118159.30508474578</v>
      </c>
      <c r="G70" s="425">
        <f t="shared" si="7"/>
        <v>38150.694915254237</v>
      </c>
      <c r="H70" s="431">
        <f>250099/1.18</f>
        <v>211948.30508474578</v>
      </c>
      <c r="I70" s="426">
        <f t="shared" si="8"/>
        <v>17.999999999999996</v>
      </c>
      <c r="J70" s="422" t="s">
        <v>543</v>
      </c>
    </row>
    <row r="71" spans="1:12">
      <c r="A71" s="422">
        <f t="shared" si="9"/>
        <v>64</v>
      </c>
      <c r="B71" s="423">
        <v>1000000677</v>
      </c>
      <c r="C71" s="462" t="s">
        <v>546</v>
      </c>
      <c r="D71" s="424" t="s">
        <v>542</v>
      </c>
      <c r="E71" s="425">
        <v>201030.51</v>
      </c>
      <c r="F71" s="425">
        <f t="shared" si="10"/>
        <v>289576.49</v>
      </c>
      <c r="G71" s="425">
        <f t="shared" si="7"/>
        <v>88309.26</v>
      </c>
      <c r="H71" s="431">
        <f>151200+339407</f>
        <v>490607</v>
      </c>
      <c r="I71" s="426">
        <f t="shared" si="8"/>
        <v>18</v>
      </c>
      <c r="J71" s="422" t="s">
        <v>543</v>
      </c>
    </row>
    <row r="72" spans="1:12">
      <c r="A72" s="422">
        <f t="shared" si="9"/>
        <v>65</v>
      </c>
      <c r="B72" s="435">
        <v>1000000102</v>
      </c>
      <c r="C72" s="465" t="s">
        <v>547</v>
      </c>
      <c r="D72" s="424" t="s">
        <v>542</v>
      </c>
      <c r="E72" s="425">
        <v>0</v>
      </c>
      <c r="F72" s="425">
        <f t="shared" si="10"/>
        <v>765385</v>
      </c>
      <c r="G72" s="425">
        <f t="shared" si="7"/>
        <v>137769.29999999999</v>
      </c>
      <c r="H72" s="431">
        <v>765385</v>
      </c>
      <c r="I72" s="426">
        <f t="shared" si="8"/>
        <v>17.999999999999996</v>
      </c>
      <c r="J72" s="422" t="s">
        <v>543</v>
      </c>
    </row>
    <row r="73" spans="1:12">
      <c r="A73" s="422">
        <f t="shared" si="9"/>
        <v>66</v>
      </c>
      <c r="B73" s="435">
        <v>1000001496</v>
      </c>
      <c r="C73" s="465" t="s">
        <v>548</v>
      </c>
      <c r="D73" s="424" t="s">
        <v>542</v>
      </c>
      <c r="E73" s="425">
        <v>0</v>
      </c>
      <c r="F73" s="425">
        <f t="shared" si="10"/>
        <v>5913733</v>
      </c>
      <c r="G73" s="425">
        <f t="shared" si="7"/>
        <v>1064471.94</v>
      </c>
      <c r="H73" s="425">
        <f>1948089+3965644</f>
        <v>5913733</v>
      </c>
      <c r="I73" s="426">
        <f t="shared" si="8"/>
        <v>18</v>
      </c>
      <c r="J73" s="422" t="s">
        <v>543</v>
      </c>
    </row>
    <row r="74" spans="1:12">
      <c r="A74" s="422">
        <f t="shared" si="9"/>
        <v>67</v>
      </c>
      <c r="B74" s="436">
        <v>1000002676</v>
      </c>
      <c r="C74" s="466" t="s">
        <v>549</v>
      </c>
      <c r="D74" s="424" t="s">
        <v>542</v>
      </c>
      <c r="E74" s="425">
        <v>1079023</v>
      </c>
      <c r="F74" s="425">
        <f t="shared" si="10"/>
        <v>0</v>
      </c>
      <c r="G74" s="425">
        <f t="shared" si="7"/>
        <v>194224.13999999998</v>
      </c>
      <c r="H74" s="425">
        <v>1079023</v>
      </c>
      <c r="I74" s="426">
        <f t="shared" si="8"/>
        <v>18</v>
      </c>
      <c r="J74" s="422" t="s">
        <v>543</v>
      </c>
      <c r="L74" s="442" t="s">
        <v>3</v>
      </c>
    </row>
    <row r="75" spans="1:12" ht="15" thickBot="1">
      <c r="A75" s="459"/>
      <c r="B75" s="467"/>
      <c r="C75" s="468"/>
      <c r="D75" s="469"/>
      <c r="E75" s="470">
        <f t="shared" ref="E75:F75" si="11">SUM(E68:E74)</f>
        <v>2281595.92</v>
      </c>
      <c r="F75" s="470">
        <f t="shared" si="11"/>
        <v>14659273.385084745</v>
      </c>
      <c r="G75" s="470">
        <f>SUM(G68:G74)</f>
        <v>3049356.4749152544</v>
      </c>
      <c r="H75" s="470">
        <f>SUM(H68:H74)</f>
        <v>16940869.305084746</v>
      </c>
      <c r="I75" s="471"/>
    </row>
    <row r="76" spans="1:12" ht="16.2" thickBot="1">
      <c r="A76" s="472"/>
      <c r="B76" s="473" t="s">
        <v>550</v>
      </c>
      <c r="C76" s="474"/>
      <c r="D76" s="474"/>
      <c r="E76" s="475">
        <f>+E67+E75</f>
        <v>9814079.0599999987</v>
      </c>
      <c r="F76" s="475">
        <f t="shared" ref="F76" si="12">+F67+F75</f>
        <v>125773437.01627117</v>
      </c>
      <c r="G76" s="475">
        <f>+G67+G75</f>
        <v>24343311.793728814</v>
      </c>
      <c r="H76" s="475">
        <f>+H67+H75</f>
        <v>135587516.07627118</v>
      </c>
      <c r="I76" s="476"/>
      <c r="J76" s="477"/>
    </row>
    <row r="77" spans="1:12" ht="15.6">
      <c r="A77" s="478"/>
      <c r="B77" s="479"/>
      <c r="C77" s="478"/>
      <c r="D77" s="478"/>
      <c r="E77" s="480"/>
      <c r="F77" s="480"/>
      <c r="G77" s="480"/>
      <c r="H77" s="480"/>
      <c r="I77" s="481"/>
      <c r="J77" s="478"/>
    </row>
    <row r="78" spans="1:12" ht="18.600000000000001" thickBot="1">
      <c r="A78" s="482" t="s">
        <v>551</v>
      </c>
      <c r="E78" s="439"/>
      <c r="F78" s="439"/>
      <c r="G78" s="439"/>
      <c r="H78" s="439"/>
      <c r="I78" s="483"/>
    </row>
    <row r="79" spans="1:12" ht="22.2" customHeight="1" thickBot="1">
      <c r="A79" s="484" t="s">
        <v>411</v>
      </c>
      <c r="B79" s="485" t="s">
        <v>412</v>
      </c>
      <c r="C79" s="486" t="s">
        <v>413</v>
      </c>
      <c r="D79" s="486" t="s">
        <v>414</v>
      </c>
      <c r="E79" s="421" t="s">
        <v>415</v>
      </c>
      <c r="F79" s="421" t="s">
        <v>416</v>
      </c>
      <c r="G79" s="487" t="s">
        <v>408</v>
      </c>
      <c r="H79" s="487" t="s">
        <v>552</v>
      </c>
      <c r="I79" s="488"/>
      <c r="J79" s="489"/>
    </row>
    <row r="80" spans="1:12">
      <c r="A80" s="490">
        <v>1</v>
      </c>
      <c r="B80" s="491">
        <v>1000000121</v>
      </c>
      <c r="C80" s="492" t="s">
        <v>553</v>
      </c>
      <c r="D80" s="490" t="s">
        <v>554</v>
      </c>
      <c r="E80" s="493">
        <v>0</v>
      </c>
      <c r="F80" s="493">
        <f>+H80-E80</f>
        <v>2991831</v>
      </c>
      <c r="G80" s="493">
        <f>+H80*5%</f>
        <v>149591.55000000002</v>
      </c>
      <c r="H80" s="494">
        <f>2678502+264807+48522</f>
        <v>2991831</v>
      </c>
      <c r="I80" s="495">
        <f>+G80/H80%</f>
        <v>5</v>
      </c>
      <c r="J80" s="490" t="s">
        <v>543</v>
      </c>
    </row>
    <row r="81" spans="1:10">
      <c r="A81" s="422">
        <f t="shared" ref="A81:A85" si="13">+A80+1</f>
        <v>2</v>
      </c>
      <c r="B81" s="496">
        <v>1000002633</v>
      </c>
      <c r="C81" s="429" t="s">
        <v>555</v>
      </c>
      <c r="D81" s="422" t="s">
        <v>554</v>
      </c>
      <c r="E81" s="425">
        <v>209018.63</v>
      </c>
      <c r="F81" s="425">
        <f>+H81-E81</f>
        <v>1128910.3700000001</v>
      </c>
      <c r="G81" s="425">
        <f>+H81*5%</f>
        <v>66896.45</v>
      </c>
      <c r="H81" s="431">
        <f>1249929+88000</f>
        <v>1337929</v>
      </c>
      <c r="I81" s="426">
        <f>+G81/H81%</f>
        <v>4.9999999999999991</v>
      </c>
      <c r="J81" s="422" t="s">
        <v>543</v>
      </c>
    </row>
    <row r="82" spans="1:10">
      <c r="A82" s="422"/>
      <c r="B82" s="496"/>
      <c r="C82" s="429"/>
      <c r="D82" s="497" t="s">
        <v>554</v>
      </c>
      <c r="E82" s="431">
        <f t="shared" ref="E82" si="14">SUM(E80:E81)</f>
        <v>209018.63</v>
      </c>
      <c r="F82" s="498"/>
      <c r="G82" s="498"/>
      <c r="H82" s="498"/>
      <c r="I82" s="499"/>
      <c r="J82" s="422" t="s">
        <v>543</v>
      </c>
    </row>
    <row r="83" spans="1:10">
      <c r="A83" s="422">
        <f>+A81+1</f>
        <v>3</v>
      </c>
      <c r="B83" s="496">
        <v>1000001442</v>
      </c>
      <c r="C83" s="429" t="s">
        <v>556</v>
      </c>
      <c r="D83" s="422" t="s">
        <v>557</v>
      </c>
      <c r="E83" s="425">
        <v>0</v>
      </c>
      <c r="F83" s="425">
        <f>+H83-E83</f>
        <v>1292127</v>
      </c>
      <c r="G83" s="425">
        <f>+H83*5%</f>
        <v>64606.350000000006</v>
      </c>
      <c r="H83" s="500">
        <v>1292127</v>
      </c>
      <c r="I83" s="426">
        <f>+G83/H83%</f>
        <v>5</v>
      </c>
      <c r="J83" s="422" t="s">
        <v>543</v>
      </c>
    </row>
    <row r="84" spans="1:10">
      <c r="A84" s="422">
        <f t="shared" si="13"/>
        <v>4</v>
      </c>
      <c r="B84" s="496">
        <v>1000002432</v>
      </c>
      <c r="C84" s="429" t="s">
        <v>558</v>
      </c>
      <c r="D84" s="422" t="s">
        <v>557</v>
      </c>
      <c r="E84" s="425">
        <v>0</v>
      </c>
      <c r="F84" s="425">
        <f>+H84-E84</f>
        <v>105001</v>
      </c>
      <c r="G84" s="425">
        <f>+H84*5%</f>
        <v>5250.05</v>
      </c>
      <c r="H84" s="500">
        <v>105001</v>
      </c>
      <c r="I84" s="426">
        <f>+G84/H84%</f>
        <v>5</v>
      </c>
      <c r="J84" s="422" t="s">
        <v>543</v>
      </c>
    </row>
    <row r="85" spans="1:10">
      <c r="A85" s="422">
        <f t="shared" si="13"/>
        <v>5</v>
      </c>
      <c r="B85" s="496">
        <v>1000002057</v>
      </c>
      <c r="C85" s="429" t="s">
        <v>559</v>
      </c>
      <c r="D85" s="422" t="s">
        <v>560</v>
      </c>
      <c r="E85" s="425">
        <v>152800</v>
      </c>
      <c r="F85" s="425">
        <f>+H85-E85</f>
        <v>742835</v>
      </c>
      <c r="G85" s="425">
        <f>+H85*5%</f>
        <v>44781.75</v>
      </c>
      <c r="H85" s="500">
        <f>596835+124800+174000</f>
        <v>895635</v>
      </c>
      <c r="I85" s="426">
        <f>+G85/H85%</f>
        <v>5</v>
      </c>
      <c r="J85" s="422" t="s">
        <v>543</v>
      </c>
    </row>
    <row r="86" spans="1:10">
      <c r="A86" s="422"/>
      <c r="B86" s="496"/>
      <c r="C86" s="429"/>
      <c r="D86" s="422" t="s">
        <v>560</v>
      </c>
      <c r="E86" s="431">
        <f t="shared" ref="E86" si="15">SUM(E83:E85)</f>
        <v>152800</v>
      </c>
      <c r="F86" s="498"/>
      <c r="G86" s="498"/>
      <c r="H86" s="498"/>
      <c r="I86" s="499"/>
      <c r="J86" s="422" t="s">
        <v>543</v>
      </c>
    </row>
    <row r="87" spans="1:10">
      <c r="A87" s="422">
        <f>+A85+1</f>
        <v>6</v>
      </c>
      <c r="B87" s="496">
        <v>1000000834</v>
      </c>
      <c r="C87" s="429" t="s">
        <v>561</v>
      </c>
      <c r="D87" s="422" t="s">
        <v>562</v>
      </c>
      <c r="E87" s="425">
        <v>0</v>
      </c>
      <c r="F87" s="425">
        <f t="shared" ref="F87:F92" si="16">+H87-E87</f>
        <v>2152226</v>
      </c>
      <c r="G87" s="425">
        <f>+H87*28%</f>
        <v>602623.28</v>
      </c>
      <c r="H87" s="431">
        <f>1638711+273281+240234</f>
        <v>2152226</v>
      </c>
      <c r="I87" s="426">
        <f t="shared" ref="I87:I92" si="17">+G87/H87%</f>
        <v>28.000000000000004</v>
      </c>
      <c r="J87" s="422" t="s">
        <v>543</v>
      </c>
    </row>
    <row r="88" spans="1:10">
      <c r="A88" s="422">
        <f t="shared" ref="A88:A92" si="18">+A87+1</f>
        <v>7</v>
      </c>
      <c r="B88" s="496">
        <v>1000001737</v>
      </c>
      <c r="C88" s="429" t="s">
        <v>563</v>
      </c>
      <c r="D88" s="422" t="s">
        <v>562</v>
      </c>
      <c r="E88" s="425">
        <v>260542.12</v>
      </c>
      <c r="F88" s="425">
        <f t="shared" si="16"/>
        <v>4584300.88</v>
      </c>
      <c r="G88" s="425">
        <f>+H88*28%</f>
        <v>1356556.04</v>
      </c>
      <c r="H88" s="431">
        <f>4081332+763511</f>
        <v>4844843</v>
      </c>
      <c r="I88" s="426">
        <f t="shared" si="17"/>
        <v>28</v>
      </c>
      <c r="J88" s="422" t="s">
        <v>543</v>
      </c>
    </row>
    <row r="89" spans="1:10">
      <c r="A89" s="422">
        <f t="shared" si="18"/>
        <v>8</v>
      </c>
      <c r="B89" s="496">
        <v>1000000466</v>
      </c>
      <c r="C89" s="429" t="s">
        <v>564</v>
      </c>
      <c r="D89" s="422" t="s">
        <v>562</v>
      </c>
      <c r="E89" s="425">
        <v>0</v>
      </c>
      <c r="F89" s="425">
        <f t="shared" si="16"/>
        <v>815126</v>
      </c>
      <c r="G89" s="425">
        <f>+H89*28%</f>
        <v>228235.28000000003</v>
      </c>
      <c r="H89" s="431">
        <f>735437+79689</f>
        <v>815126</v>
      </c>
      <c r="I89" s="426">
        <f t="shared" si="17"/>
        <v>28.000000000000004</v>
      </c>
      <c r="J89" s="422" t="s">
        <v>543</v>
      </c>
    </row>
    <row r="90" spans="1:10">
      <c r="A90" s="422">
        <f t="shared" si="18"/>
        <v>9</v>
      </c>
      <c r="B90" s="496">
        <v>1000000337</v>
      </c>
      <c r="C90" s="501" t="s">
        <v>565</v>
      </c>
      <c r="D90" s="422" t="s">
        <v>562</v>
      </c>
      <c r="E90" s="425">
        <v>0</v>
      </c>
      <c r="F90" s="425">
        <f t="shared" si="16"/>
        <v>260000</v>
      </c>
      <c r="G90" s="425">
        <f>+H90*28%</f>
        <v>72800</v>
      </c>
      <c r="H90" s="500">
        <v>260000</v>
      </c>
      <c r="I90" s="426">
        <f t="shared" si="17"/>
        <v>28</v>
      </c>
      <c r="J90" s="422" t="s">
        <v>543</v>
      </c>
    </row>
    <row r="91" spans="1:10">
      <c r="A91" s="422">
        <f t="shared" si="18"/>
        <v>10</v>
      </c>
      <c r="B91" s="502">
        <v>1000002643</v>
      </c>
      <c r="C91" s="503" t="s">
        <v>566</v>
      </c>
      <c r="D91" s="459" t="s">
        <v>562</v>
      </c>
      <c r="E91" s="425">
        <v>0</v>
      </c>
      <c r="F91" s="425">
        <f t="shared" si="16"/>
        <v>87968</v>
      </c>
      <c r="G91" s="460">
        <f>+H91*18%</f>
        <v>15834.24</v>
      </c>
      <c r="H91" s="504">
        <v>87968</v>
      </c>
      <c r="I91" s="426">
        <f t="shared" si="17"/>
        <v>18</v>
      </c>
      <c r="J91" s="422" t="s">
        <v>543</v>
      </c>
    </row>
    <row r="92" spans="1:10">
      <c r="A92" s="422">
        <f t="shared" si="18"/>
        <v>11</v>
      </c>
      <c r="B92" s="496"/>
      <c r="C92" s="501" t="s">
        <v>567</v>
      </c>
      <c r="D92" s="422" t="s">
        <v>562</v>
      </c>
      <c r="E92" s="425">
        <v>0</v>
      </c>
      <c r="F92" s="425">
        <f t="shared" si="16"/>
        <v>70312</v>
      </c>
      <c r="G92" s="425">
        <f>+H92*28%</f>
        <v>19687.36</v>
      </c>
      <c r="H92" s="500">
        <v>70312</v>
      </c>
      <c r="I92" s="426">
        <f t="shared" si="17"/>
        <v>28</v>
      </c>
      <c r="J92" s="422" t="s">
        <v>543</v>
      </c>
    </row>
    <row r="93" spans="1:10">
      <c r="A93" s="422"/>
      <c r="B93" s="496"/>
      <c r="C93" s="501"/>
      <c r="D93" s="497" t="s">
        <v>562</v>
      </c>
      <c r="E93" s="431">
        <f t="shared" ref="E93" si="19">SUM(E87:E92)</f>
        <v>260542.12</v>
      </c>
      <c r="F93" s="498"/>
      <c r="G93" s="498"/>
      <c r="H93" s="498"/>
      <c r="I93" s="499"/>
      <c r="J93" s="422" t="s">
        <v>543</v>
      </c>
    </row>
    <row r="94" spans="1:10">
      <c r="A94" s="422">
        <f>+A92+1</f>
        <v>12</v>
      </c>
      <c r="B94" s="496">
        <v>1000001506</v>
      </c>
      <c r="C94" s="429" t="s">
        <v>568</v>
      </c>
      <c r="D94" s="422" t="s">
        <v>569</v>
      </c>
      <c r="E94" s="425">
        <v>15750</v>
      </c>
      <c r="F94" s="425">
        <f>+H94-E94</f>
        <v>3031225</v>
      </c>
      <c r="G94" s="425">
        <f>+H94*18%</f>
        <v>548455.5</v>
      </c>
      <c r="H94" s="431">
        <v>3046975</v>
      </c>
      <c r="I94" s="426">
        <f>+G94/H94%</f>
        <v>18</v>
      </c>
      <c r="J94" s="422" t="s">
        <v>543</v>
      </c>
    </row>
    <row r="95" spans="1:10">
      <c r="A95" s="422"/>
      <c r="B95" s="496"/>
      <c r="C95" s="429"/>
      <c r="D95" s="422" t="s">
        <v>569</v>
      </c>
      <c r="E95" s="431">
        <f t="shared" ref="E95" si="20">SUM(E94)</f>
        <v>15750</v>
      </c>
      <c r="F95" s="498"/>
      <c r="G95" s="498"/>
      <c r="H95" s="498"/>
      <c r="I95" s="499"/>
      <c r="J95" s="422" t="s">
        <v>543</v>
      </c>
    </row>
    <row r="96" spans="1:10">
      <c r="A96" s="422">
        <f>+A94+1</f>
        <v>13</v>
      </c>
      <c r="B96" s="496">
        <v>1000000598</v>
      </c>
      <c r="C96" s="429" t="s">
        <v>570</v>
      </c>
      <c r="D96" s="422" t="s">
        <v>195</v>
      </c>
      <c r="E96" s="425">
        <v>215736</v>
      </c>
      <c r="F96" s="425">
        <f>+H96-E96</f>
        <v>925856</v>
      </c>
      <c r="G96" s="425">
        <f>+H96*5%</f>
        <v>57079.600000000006</v>
      </c>
      <c r="H96" s="500">
        <f>794166+131690+215736</f>
        <v>1141592</v>
      </c>
      <c r="I96" s="426">
        <f>+G96/H96%</f>
        <v>5.0000000000000009</v>
      </c>
      <c r="J96" s="422" t="s">
        <v>543</v>
      </c>
    </row>
    <row r="97" spans="1:13">
      <c r="A97" s="422">
        <f t="shared" ref="A97:A99" si="21">+A96+1</f>
        <v>14</v>
      </c>
      <c r="B97" s="496">
        <v>1000001487</v>
      </c>
      <c r="C97" s="429" t="s">
        <v>571</v>
      </c>
      <c r="D97" s="422" t="s">
        <v>195</v>
      </c>
      <c r="E97" s="425">
        <v>124035.98</v>
      </c>
      <c r="F97" s="425">
        <f>+H97-E97</f>
        <v>950666.02</v>
      </c>
      <c r="G97" s="425">
        <f>+H97*5%</f>
        <v>53735.100000000006</v>
      </c>
      <c r="H97" s="500">
        <f>789030+120058+64908+100706</f>
        <v>1074702</v>
      </c>
      <c r="I97" s="426">
        <f>+G97/H97%</f>
        <v>5</v>
      </c>
      <c r="J97" s="422" t="s">
        <v>543</v>
      </c>
    </row>
    <row r="98" spans="1:13">
      <c r="A98" s="422">
        <f t="shared" si="21"/>
        <v>15</v>
      </c>
      <c r="B98" s="496">
        <v>1000001500</v>
      </c>
      <c r="C98" s="429" t="s">
        <v>572</v>
      </c>
      <c r="D98" s="422" t="s">
        <v>195</v>
      </c>
      <c r="E98" s="425">
        <v>0</v>
      </c>
      <c r="F98" s="425">
        <f>+H98-E98</f>
        <v>321905</v>
      </c>
      <c r="G98" s="425">
        <f>+H98*5%</f>
        <v>16095.25</v>
      </c>
      <c r="H98" s="500">
        <f>298617+23288</f>
        <v>321905</v>
      </c>
      <c r="I98" s="426">
        <f>+G98/H98%</f>
        <v>5</v>
      </c>
      <c r="J98" s="422" t="s">
        <v>543</v>
      </c>
    </row>
    <row r="99" spans="1:13">
      <c r="A99" s="422">
        <f t="shared" si="21"/>
        <v>16</v>
      </c>
      <c r="B99" s="496">
        <v>1000002426</v>
      </c>
      <c r="C99" s="429" t="s">
        <v>573</v>
      </c>
      <c r="D99" s="422" t="s">
        <v>195</v>
      </c>
      <c r="E99" s="425">
        <v>0</v>
      </c>
      <c r="F99" s="425">
        <f>+H99-E99</f>
        <v>429490</v>
      </c>
      <c r="G99" s="425">
        <f>+H99*5%</f>
        <v>21474.5</v>
      </c>
      <c r="H99" s="500">
        <v>429490</v>
      </c>
      <c r="I99" s="426">
        <f>+G99/H99%</f>
        <v>5</v>
      </c>
      <c r="J99" s="422" t="s">
        <v>543</v>
      </c>
    </row>
    <row r="100" spans="1:13">
      <c r="A100" s="422"/>
      <c r="B100" s="496"/>
      <c r="C100" s="429"/>
      <c r="D100" s="497" t="s">
        <v>195</v>
      </c>
      <c r="E100" s="431">
        <f t="shared" ref="E100" si="22">SUM(E96:E99)</f>
        <v>339771.98</v>
      </c>
      <c r="F100" s="498"/>
      <c r="G100" s="498"/>
      <c r="H100" s="498"/>
      <c r="I100" s="499"/>
      <c r="J100" s="422" t="s">
        <v>543</v>
      </c>
    </row>
    <row r="101" spans="1:13">
      <c r="A101" s="422">
        <v>1</v>
      </c>
      <c r="B101" s="505"/>
      <c r="C101" s="506" t="s">
        <v>574</v>
      </c>
      <c r="D101" s="506" t="s">
        <v>575</v>
      </c>
      <c r="E101" s="425">
        <v>0</v>
      </c>
      <c r="F101" s="425">
        <f>+H101-E101</f>
        <v>29769249.129999999</v>
      </c>
      <c r="G101" s="507">
        <v>0</v>
      </c>
      <c r="H101" s="507">
        <v>29769249.129999999</v>
      </c>
      <c r="I101" s="508"/>
      <c r="J101" s="422" t="s">
        <v>543</v>
      </c>
    </row>
    <row r="102" spans="1:13">
      <c r="A102" s="422"/>
      <c r="B102" s="505"/>
      <c r="C102" s="506"/>
      <c r="D102" s="509" t="s">
        <v>576</v>
      </c>
      <c r="E102" s="510">
        <f t="shared" ref="E102" si="23">SUM(E101:E101)</f>
        <v>0</v>
      </c>
      <c r="F102" s="511"/>
      <c r="G102" s="511"/>
      <c r="H102" s="511"/>
      <c r="I102" s="512"/>
    </row>
    <row r="103" spans="1:13">
      <c r="A103" s="422">
        <v>1</v>
      </c>
      <c r="B103" s="496">
        <v>3000000319</v>
      </c>
      <c r="C103" s="429" t="s">
        <v>577</v>
      </c>
      <c r="D103" s="490" t="s">
        <v>578</v>
      </c>
      <c r="E103" s="425">
        <v>0</v>
      </c>
      <c r="F103" s="425">
        <f t="shared" ref="F103:F119" si="24">+H103-E103</f>
        <v>338500</v>
      </c>
      <c r="G103" s="425">
        <f>+H103*18%</f>
        <v>60930</v>
      </c>
      <c r="H103" s="431">
        <v>338500</v>
      </c>
      <c r="I103" s="426">
        <f t="shared" ref="I103:I119" si="25">+G103/H103%</f>
        <v>18</v>
      </c>
      <c r="J103" s="422" t="s">
        <v>543</v>
      </c>
      <c r="K103" s="415" t="s">
        <v>579</v>
      </c>
    </row>
    <row r="104" spans="1:13">
      <c r="A104" s="422">
        <v>1</v>
      </c>
      <c r="B104" s="496">
        <v>3000000404</v>
      </c>
      <c r="C104" s="429" t="s">
        <v>556</v>
      </c>
      <c r="D104" s="490" t="s">
        <v>578</v>
      </c>
      <c r="E104" s="425">
        <v>0</v>
      </c>
      <c r="F104" s="425">
        <f t="shared" si="24"/>
        <v>310918</v>
      </c>
      <c r="G104" s="425">
        <f>+H104*5%</f>
        <v>15545.900000000001</v>
      </c>
      <c r="H104" s="500">
        <v>310918</v>
      </c>
      <c r="I104" s="426">
        <f t="shared" si="25"/>
        <v>5.0000000000000009</v>
      </c>
      <c r="J104" s="422" t="s">
        <v>543</v>
      </c>
      <c r="K104" s="415" t="s">
        <v>579</v>
      </c>
      <c r="L104" s="415" t="s">
        <v>580</v>
      </c>
    </row>
    <row r="105" spans="1:13">
      <c r="A105" s="422">
        <v>1</v>
      </c>
      <c r="B105" s="496">
        <v>3000000417</v>
      </c>
      <c r="C105" s="429" t="s">
        <v>581</v>
      </c>
      <c r="D105" s="490" t="s">
        <v>578</v>
      </c>
      <c r="E105" s="425">
        <v>0</v>
      </c>
      <c r="F105" s="425">
        <f t="shared" si="24"/>
        <v>570451</v>
      </c>
      <c r="G105" s="425">
        <f>+H105*18%</f>
        <v>102681.18</v>
      </c>
      <c r="H105" s="431">
        <f>504096+8655+57700</f>
        <v>570451</v>
      </c>
      <c r="I105" s="426">
        <f t="shared" si="25"/>
        <v>17.999999999999996</v>
      </c>
      <c r="J105" s="422" t="s">
        <v>543</v>
      </c>
      <c r="K105" s="415" t="s">
        <v>582</v>
      </c>
      <c r="L105" s="442" t="s">
        <v>583</v>
      </c>
    </row>
    <row r="106" spans="1:13">
      <c r="A106" s="422">
        <v>1</v>
      </c>
      <c r="B106" s="496">
        <v>3000000428</v>
      </c>
      <c r="C106" s="429" t="s">
        <v>584</v>
      </c>
      <c r="D106" s="490" t="s">
        <v>578</v>
      </c>
      <c r="E106" s="425"/>
      <c r="F106" s="425">
        <f t="shared" si="24"/>
        <v>929661</v>
      </c>
      <c r="G106" s="425">
        <f>152573+14766</f>
        <v>167339</v>
      </c>
      <c r="H106" s="431">
        <v>929661</v>
      </c>
      <c r="I106" s="426">
        <f t="shared" si="25"/>
        <v>18.000002151321826</v>
      </c>
      <c r="J106" s="422" t="s">
        <v>543</v>
      </c>
      <c r="K106" s="415" t="s">
        <v>582</v>
      </c>
      <c r="L106" s="442" t="s">
        <v>583</v>
      </c>
      <c r="M106" s="415" t="s">
        <v>580</v>
      </c>
    </row>
    <row r="107" spans="1:13">
      <c r="A107" s="422">
        <f t="shared" ref="A107:A119" si="26">+A106+1</f>
        <v>2</v>
      </c>
      <c r="B107" s="513">
        <v>3000000423</v>
      </c>
      <c r="C107" s="514" t="s">
        <v>585</v>
      </c>
      <c r="D107" s="490" t="s">
        <v>578</v>
      </c>
      <c r="E107" s="425"/>
      <c r="F107" s="425">
        <f t="shared" si="24"/>
        <v>304503</v>
      </c>
      <c r="G107" s="515"/>
      <c r="H107" s="516">
        <f>111655-22500+129123+86225</f>
        <v>304503</v>
      </c>
      <c r="I107" s="426">
        <f t="shared" si="25"/>
        <v>0</v>
      </c>
      <c r="J107" s="422" t="s">
        <v>543</v>
      </c>
      <c r="K107" s="415" t="s">
        <v>586</v>
      </c>
    </row>
    <row r="108" spans="1:13">
      <c r="A108" s="422">
        <f t="shared" si="26"/>
        <v>3</v>
      </c>
      <c r="B108" s="496">
        <v>3000000299</v>
      </c>
      <c r="C108" s="429" t="s">
        <v>587</v>
      </c>
      <c r="D108" s="490" t="s">
        <v>578</v>
      </c>
      <c r="E108" s="425"/>
      <c r="F108" s="425">
        <f t="shared" si="24"/>
        <v>9386452</v>
      </c>
      <c r="G108" s="425">
        <f>H108*18%</f>
        <v>1689561.3599999999</v>
      </c>
      <c r="H108" s="431">
        <v>9386452</v>
      </c>
      <c r="I108" s="426">
        <f t="shared" si="25"/>
        <v>17.999999999999996</v>
      </c>
      <c r="J108" s="422" t="s">
        <v>543</v>
      </c>
      <c r="K108" s="415" t="s">
        <v>586</v>
      </c>
    </row>
    <row r="109" spans="1:13">
      <c r="A109" s="422">
        <f t="shared" si="26"/>
        <v>4</v>
      </c>
      <c r="B109" s="496">
        <v>3000000481</v>
      </c>
      <c r="C109" s="429" t="s">
        <v>588</v>
      </c>
      <c r="D109" s="490" t="s">
        <v>578</v>
      </c>
      <c r="E109" s="425"/>
      <c r="F109" s="425">
        <f t="shared" si="24"/>
        <v>1539893</v>
      </c>
      <c r="G109" s="425">
        <v>283050</v>
      </c>
      <c r="H109" s="431">
        <v>1539893</v>
      </c>
      <c r="I109" s="426">
        <f t="shared" si="25"/>
        <v>18.381147261530508</v>
      </c>
      <c r="J109" s="422" t="s">
        <v>543</v>
      </c>
      <c r="K109" s="415" t="s">
        <v>579</v>
      </c>
      <c r="L109" s="415" t="s">
        <v>589</v>
      </c>
    </row>
    <row r="110" spans="1:13">
      <c r="A110" s="422">
        <f t="shared" si="26"/>
        <v>5</v>
      </c>
      <c r="B110" s="496">
        <v>3000000516</v>
      </c>
      <c r="C110" s="429" t="s">
        <v>590</v>
      </c>
      <c r="D110" s="422" t="s">
        <v>578</v>
      </c>
      <c r="E110" s="425"/>
      <c r="F110" s="425">
        <f t="shared" si="24"/>
        <v>786642.37288135604</v>
      </c>
      <c r="G110" s="425">
        <f>+H110*18%</f>
        <v>141595.62711864407</v>
      </c>
      <c r="H110" s="431">
        <v>786642.37288135604</v>
      </c>
      <c r="I110" s="426">
        <f t="shared" si="25"/>
        <v>18</v>
      </c>
      <c r="J110" s="422" t="s">
        <v>543</v>
      </c>
      <c r="K110" s="415" t="s">
        <v>579</v>
      </c>
      <c r="L110" s="415" t="s">
        <v>591</v>
      </c>
    </row>
    <row r="111" spans="1:13">
      <c r="A111" s="422">
        <f t="shared" si="26"/>
        <v>6</v>
      </c>
      <c r="B111" s="496">
        <v>3000000528</v>
      </c>
      <c r="C111" s="429" t="s">
        <v>592</v>
      </c>
      <c r="D111" s="490" t="s">
        <v>578</v>
      </c>
      <c r="E111" s="425"/>
      <c r="F111" s="425">
        <f t="shared" si="24"/>
        <v>2875504</v>
      </c>
      <c r="G111" s="425">
        <f>+H111*18%</f>
        <v>517590.72</v>
      </c>
      <c r="H111" s="431">
        <v>2875504</v>
      </c>
      <c r="I111" s="426">
        <f t="shared" si="25"/>
        <v>18</v>
      </c>
      <c r="J111" s="422" t="s">
        <v>543</v>
      </c>
      <c r="K111" s="415" t="s">
        <v>586</v>
      </c>
    </row>
    <row r="112" spans="1:13">
      <c r="A112" s="422">
        <f t="shared" si="26"/>
        <v>7</v>
      </c>
      <c r="B112" s="496">
        <v>3000000332</v>
      </c>
      <c r="C112" s="429" t="s">
        <v>593</v>
      </c>
      <c r="D112" s="422" t="s">
        <v>578</v>
      </c>
      <c r="E112" s="425"/>
      <c r="F112" s="425">
        <f t="shared" si="24"/>
        <v>5536928</v>
      </c>
      <c r="G112" s="425">
        <v>996647</v>
      </c>
      <c r="H112" s="431">
        <v>5536928</v>
      </c>
      <c r="I112" s="426">
        <f t="shared" si="25"/>
        <v>17.999999277577746</v>
      </c>
      <c r="J112" s="422" t="s">
        <v>543</v>
      </c>
      <c r="K112" s="415" t="s">
        <v>586</v>
      </c>
      <c r="L112" s="415" t="s">
        <v>594</v>
      </c>
    </row>
    <row r="113" spans="1:12">
      <c r="A113" s="422">
        <f t="shared" si="26"/>
        <v>8</v>
      </c>
      <c r="B113" s="496">
        <v>3000000306</v>
      </c>
      <c r="C113" s="429" t="s">
        <v>595</v>
      </c>
      <c r="D113" s="422" t="s">
        <v>578</v>
      </c>
      <c r="E113" s="425"/>
      <c r="F113" s="425">
        <f t="shared" si="24"/>
        <v>519430</v>
      </c>
      <c r="G113" s="425">
        <f t="shared" ref="G113:G119" si="27">+H113*18%</f>
        <v>93497.4</v>
      </c>
      <c r="H113" s="500">
        <v>519430</v>
      </c>
      <c r="I113" s="426">
        <f t="shared" si="25"/>
        <v>18</v>
      </c>
      <c r="J113" s="422" t="s">
        <v>543</v>
      </c>
      <c r="K113" s="415" t="s">
        <v>586</v>
      </c>
    </row>
    <row r="114" spans="1:12">
      <c r="A114" s="422">
        <f t="shared" si="26"/>
        <v>9</v>
      </c>
      <c r="B114" s="496">
        <v>3000000009</v>
      </c>
      <c r="C114" s="429" t="s">
        <v>596</v>
      </c>
      <c r="D114" s="422" t="s">
        <v>578</v>
      </c>
      <c r="E114" s="425"/>
      <c r="F114" s="425">
        <f t="shared" si="24"/>
        <v>4044095</v>
      </c>
      <c r="G114" s="425">
        <f t="shared" si="27"/>
        <v>727937.1</v>
      </c>
      <c r="H114" s="431">
        <f>1932979+1051066+1060050</f>
        <v>4044095</v>
      </c>
      <c r="I114" s="426">
        <f t="shared" si="25"/>
        <v>18</v>
      </c>
      <c r="J114" s="422" t="s">
        <v>543</v>
      </c>
      <c r="K114" s="415" t="s">
        <v>582</v>
      </c>
      <c r="L114" s="442" t="s">
        <v>583</v>
      </c>
    </row>
    <row r="115" spans="1:12">
      <c r="A115" s="422">
        <f t="shared" si="26"/>
        <v>10</v>
      </c>
      <c r="B115" s="513">
        <v>3000000629</v>
      </c>
      <c r="C115" s="517" t="s">
        <v>508</v>
      </c>
      <c r="D115" s="433" t="s">
        <v>578</v>
      </c>
      <c r="E115" s="425"/>
      <c r="F115" s="425">
        <f t="shared" si="24"/>
        <v>400000</v>
      </c>
      <c r="G115" s="515">
        <f t="shared" si="27"/>
        <v>72000</v>
      </c>
      <c r="H115" s="515">
        <v>400000</v>
      </c>
      <c r="I115" s="426">
        <f t="shared" si="25"/>
        <v>18</v>
      </c>
      <c r="J115" s="422" t="s">
        <v>543</v>
      </c>
      <c r="K115" s="415" t="s">
        <v>579</v>
      </c>
      <c r="L115" s="415" t="s">
        <v>597</v>
      </c>
    </row>
    <row r="116" spans="1:12">
      <c r="A116" s="422">
        <f t="shared" si="26"/>
        <v>11</v>
      </c>
      <c r="B116" s="513">
        <v>3000000669</v>
      </c>
      <c r="C116" s="517" t="s">
        <v>598</v>
      </c>
      <c r="D116" s="433" t="s">
        <v>578</v>
      </c>
      <c r="E116" s="425"/>
      <c r="F116" s="425">
        <f t="shared" si="24"/>
        <v>99600</v>
      </c>
      <c r="G116" s="515">
        <f t="shared" si="27"/>
        <v>17928</v>
      </c>
      <c r="H116" s="515">
        <v>99600</v>
      </c>
      <c r="I116" s="426">
        <f t="shared" si="25"/>
        <v>18</v>
      </c>
      <c r="J116" s="422" t="s">
        <v>543</v>
      </c>
      <c r="K116" s="415" t="s">
        <v>582</v>
      </c>
      <c r="L116" s="442" t="s">
        <v>583</v>
      </c>
    </row>
    <row r="117" spans="1:12">
      <c r="A117" s="422">
        <f t="shared" si="26"/>
        <v>12</v>
      </c>
      <c r="B117" s="518">
        <v>3000000940</v>
      </c>
      <c r="C117" s="519" t="s">
        <v>599</v>
      </c>
      <c r="D117" s="433" t="s">
        <v>578</v>
      </c>
      <c r="E117" s="425"/>
      <c r="F117" s="425">
        <f t="shared" si="24"/>
        <v>311318</v>
      </c>
      <c r="G117" s="425">
        <f t="shared" si="27"/>
        <v>56037.24</v>
      </c>
      <c r="H117" s="425">
        <v>311318</v>
      </c>
      <c r="I117" s="426">
        <f t="shared" si="25"/>
        <v>18</v>
      </c>
      <c r="J117" s="422" t="s">
        <v>543</v>
      </c>
      <c r="K117" s="415" t="s">
        <v>582</v>
      </c>
      <c r="L117" s="442" t="s">
        <v>583</v>
      </c>
    </row>
    <row r="118" spans="1:12">
      <c r="A118" s="422">
        <f t="shared" si="26"/>
        <v>13</v>
      </c>
      <c r="B118" s="520">
        <v>3000000679</v>
      </c>
      <c r="C118" s="461" t="s">
        <v>600</v>
      </c>
      <c r="D118" s="433" t="s">
        <v>578</v>
      </c>
      <c r="E118" s="425"/>
      <c r="F118" s="425">
        <f t="shared" si="24"/>
        <v>648796.25</v>
      </c>
      <c r="G118" s="425">
        <f t="shared" si="27"/>
        <v>116783.325</v>
      </c>
      <c r="H118" s="425">
        <f>416537.5+232258.75</f>
        <v>648796.25</v>
      </c>
      <c r="I118" s="426">
        <f t="shared" si="25"/>
        <v>18</v>
      </c>
      <c r="J118" s="422" t="s">
        <v>543</v>
      </c>
      <c r="K118" s="415" t="s">
        <v>582</v>
      </c>
      <c r="L118" s="442" t="s">
        <v>583</v>
      </c>
    </row>
    <row r="119" spans="1:12">
      <c r="A119" s="422">
        <f t="shared" si="26"/>
        <v>14</v>
      </c>
      <c r="B119" s="520"/>
      <c r="C119" s="461" t="s">
        <v>601</v>
      </c>
      <c r="D119" s="433" t="s">
        <v>578</v>
      </c>
      <c r="E119" s="425">
        <v>0</v>
      </c>
      <c r="F119" s="425">
        <f t="shared" si="24"/>
        <v>9811133</v>
      </c>
      <c r="G119" s="425">
        <f t="shared" si="27"/>
        <v>1766003.94</v>
      </c>
      <c r="H119" s="425">
        <v>9811133</v>
      </c>
      <c r="I119" s="426">
        <f t="shared" si="25"/>
        <v>18</v>
      </c>
      <c r="J119" s="422" t="s">
        <v>543</v>
      </c>
    </row>
    <row r="120" spans="1:12">
      <c r="A120" s="422"/>
      <c r="B120" s="513"/>
      <c r="C120" s="517"/>
      <c r="D120" s="521" t="s">
        <v>578</v>
      </c>
      <c r="E120" s="515">
        <f t="shared" ref="E120" si="28">SUM(E103:E119)</f>
        <v>0</v>
      </c>
      <c r="F120" s="522"/>
      <c r="G120" s="522"/>
      <c r="H120" s="522"/>
      <c r="I120" s="523"/>
    </row>
    <row r="121" spans="1:12">
      <c r="A121" s="422">
        <f>+A119+1</f>
        <v>15</v>
      </c>
      <c r="B121" s="496">
        <v>3000000355</v>
      </c>
      <c r="C121" s="429" t="s">
        <v>602</v>
      </c>
      <c r="D121" s="459" t="s">
        <v>603</v>
      </c>
      <c r="E121" s="425">
        <v>36000</v>
      </c>
      <c r="F121" s="425">
        <f>+H121-E121</f>
        <v>100000</v>
      </c>
      <c r="G121" s="425">
        <f>+H121*18%</f>
        <v>24480</v>
      </c>
      <c r="H121" s="431">
        <v>136000</v>
      </c>
      <c r="I121" s="426">
        <f>+G121/H121%</f>
        <v>18</v>
      </c>
      <c r="J121" s="422" t="s">
        <v>421</v>
      </c>
    </row>
    <row r="122" spans="1:12">
      <c r="A122" s="422">
        <f t="shared" ref="A122:A124" si="29">+A121+1</f>
        <v>16</v>
      </c>
      <c r="B122" s="496"/>
      <c r="C122" s="501" t="s">
        <v>604</v>
      </c>
      <c r="D122" s="422" t="s">
        <v>603</v>
      </c>
      <c r="E122" s="425">
        <v>0</v>
      </c>
      <c r="F122" s="425">
        <f>+H122-E122</f>
        <v>52000</v>
      </c>
      <c r="G122" s="425">
        <f>+H122*18%</f>
        <v>9360</v>
      </c>
      <c r="H122" s="500">
        <v>52000</v>
      </c>
      <c r="I122" s="426">
        <f>+G122/H122%</f>
        <v>18</v>
      </c>
      <c r="J122" s="422" t="s">
        <v>421</v>
      </c>
    </row>
    <row r="123" spans="1:12">
      <c r="A123" s="422">
        <f t="shared" si="29"/>
        <v>17</v>
      </c>
      <c r="B123" s="496"/>
      <c r="C123" s="501" t="s">
        <v>605</v>
      </c>
      <c r="D123" s="422" t="s">
        <v>603</v>
      </c>
      <c r="E123" s="425">
        <v>0</v>
      </c>
      <c r="F123" s="425">
        <f>+H123-E123</f>
        <v>525000</v>
      </c>
      <c r="G123" s="425">
        <f>+H123*18%</f>
        <v>94500</v>
      </c>
      <c r="H123" s="500">
        <v>525000</v>
      </c>
      <c r="I123" s="426">
        <f>+G123/H123%</f>
        <v>18</v>
      </c>
      <c r="J123" s="422" t="s">
        <v>421</v>
      </c>
    </row>
    <row r="124" spans="1:12">
      <c r="A124" s="422">
        <f t="shared" si="29"/>
        <v>18</v>
      </c>
      <c r="B124" s="496">
        <v>3000000310</v>
      </c>
      <c r="C124" s="501" t="s">
        <v>606</v>
      </c>
      <c r="D124" s="422" t="s">
        <v>603</v>
      </c>
      <c r="E124" s="425">
        <v>0</v>
      </c>
      <c r="F124" s="425">
        <f>+H124-E124</f>
        <v>100000</v>
      </c>
      <c r="G124" s="425">
        <v>0</v>
      </c>
      <c r="H124" s="431">
        <v>100000</v>
      </c>
      <c r="I124" s="426">
        <f>+G124/H124%</f>
        <v>0</v>
      </c>
      <c r="J124" s="422" t="s">
        <v>421</v>
      </c>
    </row>
    <row r="125" spans="1:12">
      <c r="A125" s="422"/>
      <c r="B125" s="496"/>
      <c r="C125" s="501"/>
      <c r="D125" s="497" t="s">
        <v>603</v>
      </c>
      <c r="E125" s="431">
        <f t="shared" ref="E125" si="30">SUM(E121:E124)</f>
        <v>36000</v>
      </c>
      <c r="F125" s="498"/>
      <c r="G125" s="498"/>
      <c r="H125" s="498"/>
      <c r="I125" s="499"/>
    </row>
    <row r="126" spans="1:12">
      <c r="A126" s="422">
        <f>+A101+1</f>
        <v>2</v>
      </c>
      <c r="B126" s="524">
        <v>3000000627</v>
      </c>
      <c r="C126" s="525" t="s">
        <v>607</v>
      </c>
      <c r="D126" s="526" t="s">
        <v>608</v>
      </c>
      <c r="E126" s="425">
        <v>50000</v>
      </c>
      <c r="F126" s="425">
        <f t="shared" ref="F126:F131" si="31">+H126-E126</f>
        <v>20000</v>
      </c>
      <c r="G126" s="527">
        <v>0</v>
      </c>
      <c r="H126" s="527">
        <v>70000</v>
      </c>
      <c r="I126" s="426">
        <f t="shared" ref="I126:I131" si="32">+G126/H126%</f>
        <v>0</v>
      </c>
      <c r="J126" s="422" t="s">
        <v>421</v>
      </c>
    </row>
    <row r="127" spans="1:12">
      <c r="A127" s="422">
        <f t="shared" ref="A127:A131" si="33">+A126+1</f>
        <v>3</v>
      </c>
      <c r="B127" s="496">
        <v>3000000321</v>
      </c>
      <c r="C127" s="429" t="s">
        <v>609</v>
      </c>
      <c r="D127" s="526" t="s">
        <v>608</v>
      </c>
      <c r="E127" s="425">
        <v>117864</v>
      </c>
      <c r="F127" s="425">
        <f t="shared" si="31"/>
        <v>1340208</v>
      </c>
      <c r="G127" s="425">
        <f>+H127*18%</f>
        <v>262452.95999999996</v>
      </c>
      <c r="H127" s="431">
        <f>1295500+162572</f>
        <v>1458072</v>
      </c>
      <c r="I127" s="426">
        <f t="shared" si="32"/>
        <v>18</v>
      </c>
      <c r="J127" s="422" t="s">
        <v>421</v>
      </c>
    </row>
    <row r="128" spans="1:12">
      <c r="A128" s="422">
        <f t="shared" si="33"/>
        <v>4</v>
      </c>
      <c r="B128" s="496">
        <v>3000000156</v>
      </c>
      <c r="C128" s="429" t="s">
        <v>610</v>
      </c>
      <c r="D128" s="526" t="s">
        <v>608</v>
      </c>
      <c r="E128" s="425">
        <v>76096.77</v>
      </c>
      <c r="F128" s="425">
        <f t="shared" si="31"/>
        <v>560734.23</v>
      </c>
      <c r="G128" s="425">
        <f>+H128*18%</f>
        <v>114629.58</v>
      </c>
      <c r="H128" s="431">
        <f>328825+145244+77666+9000+49000+27096</f>
        <v>636831</v>
      </c>
      <c r="I128" s="426">
        <f t="shared" si="32"/>
        <v>18</v>
      </c>
      <c r="J128" s="422" t="s">
        <v>421</v>
      </c>
    </row>
    <row r="129" spans="1:10">
      <c r="A129" s="422">
        <f t="shared" si="33"/>
        <v>5</v>
      </c>
      <c r="B129" s="513">
        <v>3000000029</v>
      </c>
      <c r="C129" s="528" t="s">
        <v>611</v>
      </c>
      <c r="D129" s="433" t="s">
        <v>608</v>
      </c>
      <c r="E129" s="425">
        <v>40000</v>
      </c>
      <c r="F129" s="425">
        <f t="shared" si="31"/>
        <v>0</v>
      </c>
      <c r="G129" s="515">
        <f>+H129*18%</f>
        <v>7200</v>
      </c>
      <c r="H129" s="516">
        <v>40000</v>
      </c>
      <c r="I129" s="426">
        <f t="shared" si="32"/>
        <v>18</v>
      </c>
      <c r="J129" s="422" t="s">
        <v>421</v>
      </c>
    </row>
    <row r="130" spans="1:10">
      <c r="A130" s="422">
        <f t="shared" si="33"/>
        <v>6</v>
      </c>
      <c r="B130" s="513">
        <v>3000000268</v>
      </c>
      <c r="C130" s="514" t="s">
        <v>612</v>
      </c>
      <c r="D130" s="526" t="s">
        <v>608</v>
      </c>
      <c r="E130" s="425">
        <v>180000</v>
      </c>
      <c r="F130" s="425">
        <f t="shared" si="31"/>
        <v>0</v>
      </c>
      <c r="G130" s="515">
        <f>+H130*18%</f>
        <v>32400</v>
      </c>
      <c r="H130" s="516">
        <v>180000</v>
      </c>
      <c r="I130" s="426">
        <f t="shared" si="32"/>
        <v>18</v>
      </c>
      <c r="J130" s="422" t="s">
        <v>421</v>
      </c>
    </row>
    <row r="131" spans="1:10">
      <c r="A131" s="422">
        <f t="shared" si="33"/>
        <v>7</v>
      </c>
      <c r="B131" s="513">
        <v>3000000766</v>
      </c>
      <c r="C131" s="529" t="s">
        <v>613</v>
      </c>
      <c r="D131" s="526" t="s">
        <v>608</v>
      </c>
      <c r="E131" s="425">
        <v>322443.21999999997</v>
      </c>
      <c r="F131" s="425">
        <f t="shared" si="31"/>
        <v>-0.21999999997206032</v>
      </c>
      <c r="G131" s="515">
        <f>+H131*18%</f>
        <v>58039.74</v>
      </c>
      <c r="H131" s="516">
        <v>322443</v>
      </c>
      <c r="I131" s="426">
        <f t="shared" si="32"/>
        <v>18</v>
      </c>
      <c r="J131" s="422" t="s">
        <v>421</v>
      </c>
    </row>
    <row r="132" spans="1:10">
      <c r="A132" s="422"/>
      <c r="B132" s="513"/>
      <c r="C132" s="529"/>
      <c r="D132" s="530" t="s">
        <v>608</v>
      </c>
      <c r="E132" s="516">
        <f t="shared" ref="E132" si="34">SUM(E126:E131)</f>
        <v>786403.99</v>
      </c>
      <c r="F132" s="531"/>
      <c r="G132" s="531"/>
      <c r="H132" s="531"/>
      <c r="I132" s="532"/>
    </row>
    <row r="133" spans="1:10">
      <c r="A133" s="422">
        <f>+A124+1</f>
        <v>19</v>
      </c>
      <c r="B133" s="496">
        <v>3000000498</v>
      </c>
      <c r="C133" s="429" t="s">
        <v>614</v>
      </c>
      <c r="D133" s="422" t="s">
        <v>615</v>
      </c>
      <c r="E133" s="425">
        <v>0</v>
      </c>
      <c r="F133" s="425">
        <f t="shared" ref="F133:F144" si="35">+H133-E133</f>
        <v>515000</v>
      </c>
      <c r="G133" s="425">
        <v>0</v>
      </c>
      <c r="H133" s="500">
        <v>515000</v>
      </c>
      <c r="I133" s="426"/>
      <c r="J133" s="422" t="s">
        <v>421</v>
      </c>
    </row>
    <row r="134" spans="1:10">
      <c r="A134" s="422">
        <f t="shared" ref="A134:A144" si="36">+A133+1</f>
        <v>20</v>
      </c>
      <c r="B134" s="496">
        <v>3000000432</v>
      </c>
      <c r="C134" s="429" t="s">
        <v>616</v>
      </c>
      <c r="D134" s="422" t="s">
        <v>615</v>
      </c>
      <c r="E134" s="425">
        <v>0</v>
      </c>
      <c r="F134" s="425">
        <f t="shared" si="35"/>
        <v>830550</v>
      </c>
      <c r="G134" s="425">
        <v>0</v>
      </c>
      <c r="H134" s="431">
        <v>830550</v>
      </c>
      <c r="I134" s="426"/>
      <c r="J134" s="422" t="s">
        <v>421</v>
      </c>
    </row>
    <row r="135" spans="1:10">
      <c r="A135" s="422">
        <f t="shared" si="36"/>
        <v>21</v>
      </c>
      <c r="B135" s="496">
        <v>3000000543</v>
      </c>
      <c r="C135" s="429" t="s">
        <v>617</v>
      </c>
      <c r="D135" s="422" t="s">
        <v>615</v>
      </c>
      <c r="E135" s="425">
        <v>689500</v>
      </c>
      <c r="F135" s="425">
        <f t="shared" si="35"/>
        <v>413500</v>
      </c>
      <c r="G135" s="425">
        <v>0</v>
      </c>
      <c r="H135" s="431">
        <v>1103000</v>
      </c>
      <c r="I135" s="426"/>
      <c r="J135" s="422" t="s">
        <v>421</v>
      </c>
    </row>
    <row r="136" spans="1:10">
      <c r="A136" s="422">
        <f t="shared" si="36"/>
        <v>22</v>
      </c>
      <c r="B136" s="496">
        <v>3000000599</v>
      </c>
      <c r="C136" s="429" t="s">
        <v>618</v>
      </c>
      <c r="D136" s="422" t="s">
        <v>615</v>
      </c>
      <c r="E136" s="425">
        <v>21000</v>
      </c>
      <c r="F136" s="425">
        <f t="shared" si="35"/>
        <v>19050</v>
      </c>
      <c r="G136" s="425">
        <v>0</v>
      </c>
      <c r="H136" s="500">
        <v>40050</v>
      </c>
      <c r="I136" s="426"/>
      <c r="J136" s="422" t="s">
        <v>421</v>
      </c>
    </row>
    <row r="137" spans="1:10">
      <c r="A137" s="422">
        <f t="shared" si="36"/>
        <v>23</v>
      </c>
      <c r="B137" s="513">
        <v>3000000548</v>
      </c>
      <c r="C137" s="517" t="s">
        <v>619</v>
      </c>
      <c r="D137" s="433" t="s">
        <v>615</v>
      </c>
      <c r="E137" s="425">
        <v>18500</v>
      </c>
      <c r="F137" s="425">
        <f t="shared" si="35"/>
        <v>0</v>
      </c>
      <c r="G137" s="515">
        <v>0</v>
      </c>
      <c r="H137" s="515">
        <v>18500</v>
      </c>
      <c r="I137" s="523"/>
      <c r="J137" s="422" t="s">
        <v>421</v>
      </c>
    </row>
    <row r="138" spans="1:10">
      <c r="A138" s="422">
        <f t="shared" si="36"/>
        <v>24</v>
      </c>
      <c r="B138" s="513">
        <v>3000000667</v>
      </c>
      <c r="C138" s="517" t="s">
        <v>620</v>
      </c>
      <c r="D138" s="433" t="s">
        <v>615</v>
      </c>
      <c r="E138" s="425">
        <v>0</v>
      </c>
      <c r="F138" s="425">
        <f t="shared" si="35"/>
        <v>85000</v>
      </c>
      <c r="G138" s="515">
        <v>0</v>
      </c>
      <c r="H138" s="515">
        <v>85000</v>
      </c>
      <c r="I138" s="523"/>
      <c r="J138" s="422" t="s">
        <v>421</v>
      </c>
    </row>
    <row r="139" spans="1:10">
      <c r="A139" s="422">
        <f t="shared" si="36"/>
        <v>25</v>
      </c>
      <c r="B139" s="513">
        <v>3000000044</v>
      </c>
      <c r="C139" s="517" t="s">
        <v>621</v>
      </c>
      <c r="D139" s="433" t="s">
        <v>615</v>
      </c>
      <c r="E139" s="425">
        <v>35569</v>
      </c>
      <c r="F139" s="425">
        <f t="shared" si="35"/>
        <v>5812</v>
      </c>
      <c r="G139" s="515"/>
      <c r="H139" s="515">
        <v>41381</v>
      </c>
      <c r="I139" s="523"/>
      <c r="J139" s="422" t="s">
        <v>421</v>
      </c>
    </row>
    <row r="140" spans="1:10">
      <c r="A140" s="422">
        <f t="shared" si="36"/>
        <v>26</v>
      </c>
      <c r="B140" s="513">
        <v>3000000531</v>
      </c>
      <c r="C140" s="517" t="s">
        <v>622</v>
      </c>
      <c r="D140" s="433" t="s">
        <v>615</v>
      </c>
      <c r="E140" s="425">
        <v>60000</v>
      </c>
      <c r="F140" s="425">
        <f t="shared" si="35"/>
        <v>0</v>
      </c>
      <c r="G140" s="515">
        <v>0</v>
      </c>
      <c r="H140" s="515">
        <v>60000</v>
      </c>
      <c r="I140" s="523"/>
      <c r="J140" s="422" t="s">
        <v>421</v>
      </c>
    </row>
    <row r="141" spans="1:10">
      <c r="A141" s="422">
        <f t="shared" si="36"/>
        <v>27</v>
      </c>
      <c r="B141" s="513">
        <v>3000000017</v>
      </c>
      <c r="C141" s="528" t="s">
        <v>623</v>
      </c>
      <c r="D141" s="433" t="s">
        <v>615</v>
      </c>
      <c r="E141" s="425">
        <v>139000</v>
      </c>
      <c r="F141" s="425">
        <f t="shared" si="35"/>
        <v>98864</v>
      </c>
      <c r="G141" s="515">
        <v>0</v>
      </c>
      <c r="H141" s="516">
        <f>68000+149864+20000</f>
        <v>237864</v>
      </c>
      <c r="I141" s="523"/>
      <c r="J141" s="422" t="s">
        <v>421</v>
      </c>
    </row>
    <row r="142" spans="1:10">
      <c r="A142" s="422">
        <f t="shared" si="36"/>
        <v>28</v>
      </c>
      <c r="B142" s="533">
        <v>3000000052</v>
      </c>
      <c r="C142" s="534" t="s">
        <v>624</v>
      </c>
      <c r="D142" s="535" t="s">
        <v>615</v>
      </c>
      <c r="E142" s="425">
        <v>19000</v>
      </c>
      <c r="F142" s="425">
        <f t="shared" si="35"/>
        <v>0</v>
      </c>
      <c r="G142" s="536">
        <v>0</v>
      </c>
      <c r="H142" s="537">
        <v>19000</v>
      </c>
      <c r="I142" s="538"/>
      <c r="J142" s="422" t="s">
        <v>421</v>
      </c>
    </row>
    <row r="143" spans="1:10">
      <c r="A143" s="422">
        <f t="shared" si="36"/>
        <v>29</v>
      </c>
      <c r="B143" s="513">
        <v>3000000682</v>
      </c>
      <c r="C143" s="517" t="s">
        <v>625</v>
      </c>
      <c r="D143" s="433" t="s">
        <v>615</v>
      </c>
      <c r="E143" s="425">
        <v>102440</v>
      </c>
      <c r="F143" s="425">
        <f t="shared" si="35"/>
        <v>0</v>
      </c>
      <c r="G143" s="515">
        <v>0</v>
      </c>
      <c r="H143" s="515">
        <v>102440</v>
      </c>
      <c r="I143" s="523"/>
      <c r="J143" s="422" t="s">
        <v>421</v>
      </c>
    </row>
    <row r="144" spans="1:10">
      <c r="A144" s="422">
        <f t="shared" si="36"/>
        <v>30</v>
      </c>
      <c r="B144" s="539">
        <v>3000000800</v>
      </c>
      <c r="C144" s="540" t="s">
        <v>626</v>
      </c>
      <c r="D144" s="422" t="s">
        <v>615</v>
      </c>
      <c r="E144" s="425">
        <v>14000</v>
      </c>
      <c r="F144" s="425">
        <f t="shared" si="35"/>
        <v>0</v>
      </c>
      <c r="G144" s="425">
        <v>0</v>
      </c>
      <c r="H144" s="431">
        <v>14000</v>
      </c>
      <c r="I144" s="426"/>
      <c r="J144" s="422" t="s">
        <v>421</v>
      </c>
    </row>
    <row r="145" spans="1:12">
      <c r="A145" s="422"/>
      <c r="B145" s="540"/>
      <c r="C145" s="540"/>
      <c r="D145" s="497" t="s">
        <v>615</v>
      </c>
      <c r="E145" s="431">
        <f t="shared" ref="E145" si="37">SUM(E133:E144)</f>
        <v>1099009</v>
      </c>
      <c r="F145" s="498"/>
      <c r="G145" s="498"/>
      <c r="H145" s="498"/>
      <c r="I145" s="499"/>
    </row>
    <row r="146" spans="1:12">
      <c r="A146" s="422">
        <f>+A144+1</f>
        <v>31</v>
      </c>
      <c r="B146" s="513">
        <v>3000000680</v>
      </c>
      <c r="C146" s="517" t="s">
        <v>627</v>
      </c>
      <c r="D146" s="433" t="s">
        <v>628</v>
      </c>
      <c r="E146" s="425">
        <v>421176</v>
      </c>
      <c r="F146" s="425">
        <f>+H146-E146</f>
        <v>49594</v>
      </c>
      <c r="G146" s="515">
        <v>0</v>
      </c>
      <c r="H146" s="515">
        <f>421176+49594</f>
        <v>470770</v>
      </c>
      <c r="I146" s="426">
        <f>+G146/H146%</f>
        <v>0</v>
      </c>
      <c r="J146" s="422" t="s">
        <v>421</v>
      </c>
    </row>
    <row r="147" spans="1:12">
      <c r="A147" s="459">
        <f>+A146+1</f>
        <v>32</v>
      </c>
      <c r="B147" s="541"/>
      <c r="C147" s="542" t="s">
        <v>629</v>
      </c>
      <c r="D147" s="535" t="s">
        <v>628</v>
      </c>
      <c r="E147" s="425">
        <v>0</v>
      </c>
      <c r="F147" s="425">
        <f>+H147-E147</f>
        <v>26203</v>
      </c>
      <c r="G147" s="460">
        <f>+H147*18%</f>
        <v>4716.54</v>
      </c>
      <c r="H147" s="504">
        <v>26203</v>
      </c>
      <c r="I147" s="426">
        <f>+G147/H147%</f>
        <v>18</v>
      </c>
      <c r="J147" s="422" t="s">
        <v>421</v>
      </c>
    </row>
    <row r="148" spans="1:12">
      <c r="A148" s="459">
        <v>60</v>
      </c>
      <c r="B148" s="541"/>
      <c r="C148" s="542" t="s">
        <v>630</v>
      </c>
      <c r="D148" s="535" t="s">
        <v>628</v>
      </c>
      <c r="E148" s="425">
        <v>759815</v>
      </c>
      <c r="F148" s="425">
        <f>+H148-E148</f>
        <v>248587.0600000011</v>
      </c>
      <c r="G148" s="460"/>
      <c r="H148" s="504">
        <f>'[3]Non Project Material '!H210</f>
        <v>1008402.0600000011</v>
      </c>
      <c r="I148" s="426">
        <f>+G148/H148%</f>
        <v>0</v>
      </c>
      <c r="J148" s="422" t="s">
        <v>421</v>
      </c>
    </row>
    <row r="149" spans="1:12">
      <c r="A149" s="422"/>
      <c r="B149" s="543"/>
      <c r="C149" s="501"/>
      <c r="D149" s="521" t="s">
        <v>628</v>
      </c>
      <c r="E149" s="431">
        <f>SUM(E146:E148)+66535</f>
        <v>1247526</v>
      </c>
      <c r="F149" s="498"/>
      <c r="G149" s="498"/>
      <c r="H149" s="498"/>
      <c r="I149" s="499"/>
      <c r="J149" s="422" t="s">
        <v>421</v>
      </c>
    </row>
    <row r="150" spans="1:12" ht="15" thickBot="1">
      <c r="A150" s="544"/>
      <c r="B150" s="545" t="s">
        <v>631</v>
      </c>
      <c r="C150" s="546" t="s">
        <v>632</v>
      </c>
      <c r="D150" s="544"/>
      <c r="E150" s="547">
        <f t="shared" ref="E150" si="38">E82+E86+E93+E95+E100+E102+E120+E125+E132+E145+E149</f>
        <v>4146821.7199999997</v>
      </c>
      <c r="F150" s="547">
        <f>SUM(F80:F149)</f>
        <v>93062955.092881367</v>
      </c>
      <c r="G150" s="547">
        <f t="shared" ref="G150:H150" si="39">SUM(G80:G149)</f>
        <v>10756608.912118644</v>
      </c>
      <c r="H150" s="547">
        <f t="shared" si="39"/>
        <v>97143241.812881351</v>
      </c>
      <c r="I150" s="548"/>
    </row>
    <row r="151" spans="1:12" ht="15" thickTop="1">
      <c r="A151" s="422">
        <v>1</v>
      </c>
      <c r="B151" s="549">
        <v>61110000</v>
      </c>
      <c r="C151" s="550" t="s">
        <v>633</v>
      </c>
      <c r="D151" s="497"/>
      <c r="E151" s="425">
        <f>IFERROR(VLOOKUP(B151,[3]Sheet6!$A:$C,3,0),0)+E153</f>
        <v>16766072</v>
      </c>
      <c r="F151" s="425">
        <f>+H151-E151</f>
        <v>0</v>
      </c>
      <c r="G151" s="551"/>
      <c r="H151" s="551">
        <f>16624000+142072</f>
        <v>16766072</v>
      </c>
      <c r="I151" s="552"/>
    </row>
    <row r="152" spans="1:12" ht="22.2" customHeight="1">
      <c r="A152" s="497"/>
      <c r="B152" s="553" t="s">
        <v>634</v>
      </c>
      <c r="C152" s="423" t="s">
        <v>635</v>
      </c>
      <c r="D152" s="497"/>
      <c r="E152" s="554">
        <f t="shared" ref="E152:F152" si="40">SUM(E151:E151)</f>
        <v>16766072</v>
      </c>
      <c r="F152" s="554">
        <f t="shared" si="40"/>
        <v>0</v>
      </c>
      <c r="G152" s="554">
        <f>SUM(G151:G151)</f>
        <v>0</v>
      </c>
      <c r="H152" s="554">
        <f>SUM(H151:H151)</f>
        <v>16766072</v>
      </c>
      <c r="I152" s="552"/>
    </row>
    <row r="153" spans="1:12" ht="22.2" customHeight="1">
      <c r="A153" s="555"/>
      <c r="B153" s="556"/>
      <c r="C153" s="423" t="s">
        <v>635</v>
      </c>
      <c r="D153" s="555"/>
      <c r="E153" s="557">
        <v>16624000</v>
      </c>
      <c r="F153" s="557"/>
      <c r="G153" s="557"/>
      <c r="H153" s="554">
        <f>+E153</f>
        <v>16624000</v>
      </c>
      <c r="I153" s="558"/>
    </row>
    <row r="154" spans="1:12" ht="15" thickBot="1">
      <c r="A154" s="559"/>
      <c r="B154" s="560"/>
      <c r="C154" s="559" t="s">
        <v>636</v>
      </c>
      <c r="D154" s="559"/>
      <c r="E154" s="561">
        <f>E76+E150+E152</f>
        <v>30726972.779999997</v>
      </c>
      <c r="F154" s="561">
        <f>F76+F150+F152</f>
        <v>218836392.10915256</v>
      </c>
      <c r="G154" s="561">
        <f>G76+G150+G152</f>
        <v>35099920.705847457</v>
      </c>
      <c r="H154" s="561">
        <f>H76+H150+H152</f>
        <v>249496829.88915253</v>
      </c>
      <c r="I154" s="562"/>
      <c r="J154" s="563"/>
    </row>
    <row r="156" spans="1:12" hidden="1">
      <c r="A156" s="441" t="s">
        <v>637</v>
      </c>
    </row>
    <row r="157" spans="1:12" hidden="1">
      <c r="A157" s="441" t="s">
        <v>638</v>
      </c>
    </row>
    <row r="158" spans="1:12" hidden="1">
      <c r="A158" s="422"/>
      <c r="B158" s="451">
        <v>1000002809</v>
      </c>
      <c r="C158" s="451" t="s">
        <v>528</v>
      </c>
      <c r="D158" s="422" t="s">
        <v>529</v>
      </c>
      <c r="E158" s="425">
        <v>86000</v>
      </c>
      <c r="F158" s="425">
        <f>+H158-E158</f>
        <v>0</v>
      </c>
      <c r="G158" s="425">
        <f>+H158*18%</f>
        <v>15480</v>
      </c>
      <c r="H158" s="425">
        <v>86000</v>
      </c>
      <c r="I158" s="426">
        <f>+G158/H158%</f>
        <v>18</v>
      </c>
      <c r="J158" s="422" t="s">
        <v>530</v>
      </c>
      <c r="L158" s="415" t="s">
        <v>458</v>
      </c>
    </row>
    <row r="159" spans="1:12" hidden="1">
      <c r="A159" s="564"/>
      <c r="B159" s="565"/>
      <c r="C159" s="565"/>
      <c r="D159" s="564"/>
      <c r="E159" s="566"/>
      <c r="F159" s="566"/>
      <c r="G159" s="567"/>
      <c r="H159" s="567"/>
      <c r="I159" s="568"/>
      <c r="J159" s="564"/>
    </row>
    <row r="160" spans="1:12" ht="15" hidden="1" thickBot="1">
      <c r="E160" s="569">
        <f>E154-E158</f>
        <v>30640972.779999997</v>
      </c>
      <c r="F160" s="570">
        <f>F154-F158</f>
        <v>218836392.10915256</v>
      </c>
      <c r="G160" s="571"/>
      <c r="H160" s="571"/>
    </row>
    <row r="161" spans="1:11" ht="15" hidden="1" thickTop="1">
      <c r="H161" s="228"/>
    </row>
    <row r="162" spans="1:11" hidden="1">
      <c r="H162" s="228"/>
      <c r="J162" s="564"/>
    </row>
    <row r="163" spans="1:11" ht="15" hidden="1" thickBot="1">
      <c r="E163" s="415"/>
      <c r="J163" s="572"/>
      <c r="K163" s="416"/>
    </row>
    <row r="164" spans="1:11" hidden="1">
      <c r="C164" s="573" t="s">
        <v>639</v>
      </c>
      <c r="D164" s="574"/>
      <c r="E164" s="574"/>
      <c r="F164" s="574"/>
      <c r="G164" s="574"/>
      <c r="H164" s="574"/>
      <c r="I164" s="575"/>
      <c r="J164" s="564"/>
    </row>
    <row r="165" spans="1:11" hidden="1">
      <c r="A165" s="442" t="s">
        <v>640</v>
      </c>
      <c r="C165" s="576"/>
      <c r="D165" s="471"/>
      <c r="E165" s="471"/>
      <c r="F165" s="471"/>
      <c r="G165" s="471"/>
      <c r="H165" s="686" t="s">
        <v>641</v>
      </c>
      <c r="I165" s="687"/>
      <c r="J165" s="564"/>
    </row>
    <row r="166" spans="1:11" ht="28.8" hidden="1">
      <c r="B166" s="577" t="s">
        <v>15</v>
      </c>
      <c r="C166" s="578" t="s">
        <v>642</v>
      </c>
      <c r="D166" s="579"/>
      <c r="E166" s="579"/>
      <c r="F166" s="580" t="s">
        <v>643</v>
      </c>
      <c r="G166" s="581" t="s">
        <v>644</v>
      </c>
      <c r="H166" s="581" t="s">
        <v>645</v>
      </c>
      <c r="I166" s="582" t="s">
        <v>416</v>
      </c>
      <c r="J166" s="564"/>
    </row>
    <row r="167" spans="1:11" hidden="1">
      <c r="B167" s="577"/>
      <c r="C167" s="583" t="s">
        <v>503</v>
      </c>
      <c r="D167" s="422" t="s">
        <v>504</v>
      </c>
      <c r="E167" s="431">
        <v>216450</v>
      </c>
      <c r="F167" s="422"/>
      <c r="G167" s="425">
        <f>+E167*18%</f>
        <v>38961</v>
      </c>
      <c r="H167" s="422"/>
      <c r="I167" s="584">
        <f>+G167</f>
        <v>38961</v>
      </c>
      <c r="J167" s="564"/>
    </row>
    <row r="168" spans="1:11" hidden="1">
      <c r="B168" s="577"/>
      <c r="C168" s="585" t="s">
        <v>531</v>
      </c>
      <c r="D168" s="422" t="s">
        <v>532</v>
      </c>
      <c r="E168" s="425">
        <v>487459</v>
      </c>
      <c r="F168" s="422"/>
      <c r="G168" s="425">
        <f>+E168*18%</f>
        <v>87742.62</v>
      </c>
      <c r="H168" s="586">
        <f>+G168</f>
        <v>87742.62</v>
      </c>
      <c r="I168" s="587"/>
      <c r="J168" s="564"/>
    </row>
    <row r="169" spans="1:11" hidden="1">
      <c r="B169" s="441"/>
      <c r="C169" s="588" t="s">
        <v>538</v>
      </c>
      <c r="D169" s="422" t="s">
        <v>539</v>
      </c>
      <c r="E169" s="425">
        <v>3127461</v>
      </c>
      <c r="F169" s="422"/>
      <c r="G169" s="425">
        <f>+E169*18%</f>
        <v>562942.98</v>
      </c>
      <c r="H169" s="586">
        <f>+G169</f>
        <v>562942.98</v>
      </c>
      <c r="I169" s="587"/>
      <c r="J169" s="564"/>
    </row>
    <row r="170" spans="1:11" hidden="1">
      <c r="B170" s="441"/>
      <c r="C170" s="589"/>
      <c r="D170" s="552" t="s">
        <v>646</v>
      </c>
      <c r="E170" s="426"/>
      <c r="F170" s="422"/>
      <c r="G170" s="590">
        <f>SUM(G167:G169)</f>
        <v>689646.6</v>
      </c>
      <c r="H170" s="591">
        <f>SUM(H168:H169)</f>
        <v>650685.6</v>
      </c>
      <c r="I170" s="592">
        <f>SUM(I167:I169)</f>
        <v>38961</v>
      </c>
      <c r="J170" s="564"/>
    </row>
    <row r="171" spans="1:11" hidden="1">
      <c r="B171" s="441"/>
      <c r="C171" s="589"/>
      <c r="D171" s="426"/>
      <c r="E171" s="426"/>
      <c r="F171" s="422"/>
      <c r="G171" s="426"/>
      <c r="H171" s="422"/>
      <c r="I171" s="587"/>
      <c r="J171" s="564"/>
    </row>
    <row r="172" spans="1:11" hidden="1">
      <c r="B172" s="577" t="s">
        <v>3</v>
      </c>
      <c r="C172" s="578" t="s">
        <v>647</v>
      </c>
      <c r="D172" s="579"/>
      <c r="E172" s="579"/>
      <c r="F172" s="422"/>
      <c r="G172" s="426"/>
      <c r="H172" s="422"/>
      <c r="I172" s="587"/>
      <c r="J172" s="564"/>
    </row>
    <row r="173" spans="1:11" hidden="1">
      <c r="B173" s="441"/>
      <c r="C173" s="589" t="s">
        <v>648</v>
      </c>
      <c r="D173" s="593">
        <v>281.49</v>
      </c>
      <c r="E173" s="594" t="s">
        <v>649</v>
      </c>
      <c r="F173" s="422"/>
      <c r="G173" s="426"/>
      <c r="H173" s="422"/>
      <c r="I173" s="587"/>
      <c r="J173" s="564"/>
    </row>
    <row r="174" spans="1:11" hidden="1">
      <c r="B174" s="441"/>
      <c r="C174" s="589" t="s">
        <v>650</v>
      </c>
      <c r="D174" s="593">
        <v>101.437</v>
      </c>
      <c r="E174" s="594" t="s">
        <v>649</v>
      </c>
      <c r="F174" s="422"/>
      <c r="G174" s="426"/>
      <c r="H174" s="422"/>
      <c r="I174" s="587"/>
      <c r="J174" s="595"/>
    </row>
    <row r="175" spans="1:11" hidden="1">
      <c r="B175" s="441"/>
      <c r="C175" s="589"/>
      <c r="D175" s="593"/>
      <c r="E175" s="594"/>
      <c r="F175" s="422"/>
      <c r="G175" s="552"/>
      <c r="H175" s="422"/>
      <c r="I175" s="587"/>
      <c r="J175" s="595"/>
    </row>
    <row r="176" spans="1:11" hidden="1">
      <c r="B176" s="441"/>
      <c r="C176" s="596" t="s">
        <v>544</v>
      </c>
      <c r="D176" s="593">
        <v>172.21</v>
      </c>
      <c r="E176" s="594" t="s">
        <v>649</v>
      </c>
      <c r="F176" s="425">
        <v>1270982.7</v>
      </c>
      <c r="G176" s="422">
        <v>520519</v>
      </c>
      <c r="H176" s="425">
        <f>+G176/H69*E69</f>
        <v>66917.135457124794</v>
      </c>
      <c r="I176" s="597">
        <f>+G176/H69*F69</f>
        <v>453601.86454287515</v>
      </c>
      <c r="J176" s="595"/>
    </row>
    <row r="177" spans="2:10" hidden="1">
      <c r="B177" s="441"/>
      <c r="C177" s="589" t="s">
        <v>650</v>
      </c>
      <c r="D177" s="593">
        <v>70.527000000000001</v>
      </c>
      <c r="E177" s="594" t="s">
        <v>649</v>
      </c>
      <c r="F177" s="422"/>
      <c r="J177" s="595">
        <f>F176/D176*D177</f>
        <v>520519.11551535915</v>
      </c>
    </row>
    <row r="178" spans="2:10" hidden="1">
      <c r="B178" s="441"/>
      <c r="C178" s="589"/>
      <c r="D178" s="598"/>
      <c r="E178" s="594"/>
      <c r="F178" s="422"/>
      <c r="G178" s="426"/>
      <c r="H178" s="425"/>
      <c r="I178" s="597"/>
      <c r="J178" s="595"/>
    </row>
    <row r="179" spans="2:10" hidden="1">
      <c r="B179" s="441"/>
      <c r="C179" s="599" t="s">
        <v>549</v>
      </c>
      <c r="D179" s="593">
        <v>30.91</v>
      </c>
      <c r="E179" s="594" t="s">
        <v>649</v>
      </c>
      <c r="F179" s="425">
        <v>194224</v>
      </c>
      <c r="G179" s="425">
        <v>194224</v>
      </c>
      <c r="H179" s="425">
        <f>+G179</f>
        <v>194224</v>
      </c>
      <c r="I179" s="597">
        <v>0</v>
      </c>
      <c r="J179" s="595"/>
    </row>
    <row r="180" spans="2:10" hidden="1">
      <c r="B180" s="441"/>
      <c r="C180" s="589" t="s">
        <v>650</v>
      </c>
      <c r="D180" s="593">
        <v>30.91</v>
      </c>
      <c r="E180" s="594" t="s">
        <v>649</v>
      </c>
      <c r="F180" s="422"/>
      <c r="J180" s="595"/>
    </row>
    <row r="181" spans="2:10" hidden="1">
      <c r="B181" s="441"/>
      <c r="C181" s="589"/>
      <c r="D181" s="426"/>
      <c r="E181" s="426"/>
      <c r="F181" s="422"/>
      <c r="G181" s="426"/>
      <c r="H181" s="422"/>
      <c r="I181" s="587"/>
      <c r="J181" s="595"/>
    </row>
    <row r="182" spans="2:10" hidden="1">
      <c r="B182" s="441"/>
      <c r="C182" s="589" t="s">
        <v>651</v>
      </c>
      <c r="D182" s="426"/>
      <c r="E182" s="426"/>
      <c r="F182" s="422"/>
      <c r="G182" s="600">
        <f>+G176+G179</f>
        <v>714743</v>
      </c>
      <c r="H182" s="591">
        <f>+H176+H179</f>
        <v>261141.13545712479</v>
      </c>
      <c r="I182" s="592">
        <f>+I176+I179</f>
        <v>453601.86454287515</v>
      </c>
      <c r="J182" s="595"/>
    </row>
    <row r="183" spans="2:10" hidden="1">
      <c r="B183" s="441"/>
      <c r="C183" s="589"/>
      <c r="D183" s="426"/>
      <c r="E183" s="426"/>
      <c r="F183" s="422"/>
      <c r="G183" s="426"/>
      <c r="H183" s="422"/>
      <c r="I183" s="587"/>
      <c r="J183" s="595"/>
    </row>
    <row r="184" spans="2:10" ht="15.6" hidden="1">
      <c r="B184" s="577" t="s">
        <v>583</v>
      </c>
      <c r="C184" s="601" t="s">
        <v>652</v>
      </c>
      <c r="D184" s="602"/>
      <c r="E184" s="602"/>
      <c r="F184" s="422"/>
      <c r="G184" s="426"/>
      <c r="H184" s="422"/>
      <c r="I184" s="587"/>
      <c r="J184" s="595"/>
    </row>
    <row r="185" spans="2:10" hidden="1">
      <c r="B185" s="441"/>
      <c r="C185" s="589" t="s">
        <v>653</v>
      </c>
      <c r="D185" s="422"/>
      <c r="E185" s="425">
        <f>+H105+H106+H114+H116+H117+H118</f>
        <v>6603921.25</v>
      </c>
      <c r="F185" s="425">
        <f>+G105+G106+G114+G116+G117+G118</f>
        <v>1188705.845</v>
      </c>
      <c r="G185" s="586">
        <f>+F185/281.49*101.437</f>
        <v>428358.92855612992</v>
      </c>
      <c r="H185" s="586"/>
      <c r="I185" s="584"/>
      <c r="J185" s="595">
        <f>F185/281.49*101.437</f>
        <v>428358.92855612992</v>
      </c>
    </row>
    <row r="186" spans="2:10" hidden="1">
      <c r="C186" s="589" t="s">
        <v>654</v>
      </c>
      <c r="D186" s="422"/>
      <c r="E186" s="426"/>
      <c r="F186" s="422"/>
      <c r="H186" s="586"/>
      <c r="I186" s="584"/>
      <c r="J186" s="595"/>
    </row>
    <row r="187" spans="2:10" hidden="1">
      <c r="B187" s="441"/>
      <c r="C187" s="589"/>
      <c r="D187" s="497" t="s">
        <v>655</v>
      </c>
      <c r="E187" s="426"/>
      <c r="F187" s="422"/>
      <c r="G187" s="586"/>
      <c r="H187" s="603"/>
      <c r="I187" s="604"/>
      <c r="J187" s="564"/>
    </row>
    <row r="188" spans="2:10" hidden="1">
      <c r="B188" s="441"/>
      <c r="C188" s="589" t="s">
        <v>656</v>
      </c>
      <c r="D188" s="426"/>
      <c r="E188" s="426"/>
      <c r="F188" s="422"/>
      <c r="G188" s="426"/>
      <c r="H188" s="422"/>
      <c r="I188" s="587"/>
      <c r="J188" s="564"/>
    </row>
    <row r="189" spans="2:10" hidden="1">
      <c r="B189" s="441"/>
      <c r="C189" s="661" t="s">
        <v>556</v>
      </c>
      <c r="E189" s="432">
        <f>15545.9</f>
        <v>15545.9</v>
      </c>
      <c r="F189" s="422"/>
      <c r="G189" s="426"/>
      <c r="H189" s="422"/>
      <c r="I189" s="584"/>
      <c r="J189" s="564"/>
    </row>
    <row r="190" spans="2:10" hidden="1">
      <c r="B190" s="441"/>
      <c r="C190" s="661" t="s">
        <v>677</v>
      </c>
      <c r="D190" s="662" t="s">
        <v>676</v>
      </c>
      <c r="E190" s="432">
        <v>-122583.37</v>
      </c>
      <c r="F190" s="422"/>
      <c r="G190" s="426"/>
      <c r="H190" s="422"/>
      <c r="I190" s="584"/>
      <c r="J190" s="564"/>
    </row>
    <row r="191" spans="2:10" hidden="1">
      <c r="B191" s="441"/>
      <c r="C191" s="605" t="s">
        <v>584</v>
      </c>
      <c r="D191" s="426"/>
      <c r="E191" s="425">
        <v>167339</v>
      </c>
      <c r="F191" s="422"/>
      <c r="G191" s="425">
        <f>+E189+E191+E190</f>
        <v>60301.53</v>
      </c>
      <c r="H191" s="586"/>
      <c r="I191" s="584"/>
      <c r="J191" s="564"/>
    </row>
    <row r="192" spans="2:10" hidden="1">
      <c r="B192" s="441"/>
      <c r="C192" s="589"/>
      <c r="D192" s="552" t="s">
        <v>657</v>
      </c>
      <c r="E192" s="426"/>
      <c r="F192" s="422"/>
      <c r="G192" s="590">
        <f>+G185-G191</f>
        <v>368057.39855612989</v>
      </c>
      <c r="H192" s="606"/>
      <c r="I192" s="607">
        <f>+G192</f>
        <v>368057.39855612989</v>
      </c>
      <c r="J192" s="564"/>
    </row>
    <row r="193" spans="2:10" hidden="1">
      <c r="B193" s="441"/>
      <c r="C193" s="589"/>
      <c r="D193" s="426"/>
      <c r="E193" s="426"/>
      <c r="F193" s="422"/>
      <c r="G193" s="426"/>
      <c r="H193" s="422"/>
      <c r="I193" s="587"/>
      <c r="J193" s="564"/>
    </row>
    <row r="194" spans="2:10" hidden="1">
      <c r="B194" s="441"/>
      <c r="C194" s="589"/>
      <c r="D194" s="426"/>
      <c r="E194" s="426"/>
      <c r="F194" s="422"/>
      <c r="G194" s="426"/>
      <c r="H194" s="422"/>
      <c r="I194" s="587"/>
      <c r="J194" s="564"/>
    </row>
    <row r="195" spans="2:10" ht="15" hidden="1" thickBot="1">
      <c r="B195" s="441"/>
      <c r="C195" s="608" t="s">
        <v>658</v>
      </c>
      <c r="D195" s="609" t="s">
        <v>659</v>
      </c>
      <c r="E195" s="609"/>
      <c r="F195" s="610"/>
      <c r="G195" s="611">
        <f>+G170+G182+G192</f>
        <v>1772446.9985561301</v>
      </c>
      <c r="H195" s="611">
        <f>+H170+H182+H192</f>
        <v>911826.73545712477</v>
      </c>
      <c r="I195" s="612">
        <f>+I170+I182+I192</f>
        <v>860620.26309900498</v>
      </c>
      <c r="J195" s="564"/>
    </row>
    <row r="196" spans="2:10" hidden="1">
      <c r="B196" s="478"/>
      <c r="C196" s="564"/>
      <c r="D196" s="564"/>
      <c r="E196" s="564"/>
      <c r="F196" s="564"/>
      <c r="G196" s="564"/>
      <c r="H196" s="564"/>
      <c r="I196" s="564"/>
      <c r="J196" s="564"/>
    </row>
    <row r="197" spans="2:10" ht="15" hidden="1" thickBot="1">
      <c r="B197" s="478"/>
      <c r="C197" s="564"/>
      <c r="D197" s="564"/>
      <c r="E197" s="564"/>
      <c r="F197" s="564"/>
      <c r="G197" s="564"/>
      <c r="H197" s="415"/>
      <c r="I197" s="564"/>
      <c r="J197" s="564"/>
    </row>
    <row r="198" spans="2:10" hidden="1">
      <c r="B198" s="478"/>
      <c r="C198" s="613" t="s">
        <v>660</v>
      </c>
      <c r="D198" s="614"/>
      <c r="E198" s="615">
        <v>44256</v>
      </c>
      <c r="F198" s="616">
        <v>44075</v>
      </c>
      <c r="G198" s="617" t="s">
        <v>646</v>
      </c>
      <c r="H198" s="415"/>
      <c r="J198" s="564"/>
    </row>
    <row r="199" spans="2:10" hidden="1">
      <c r="B199" s="478"/>
      <c r="C199" s="618" t="s">
        <v>661</v>
      </c>
      <c r="D199" s="568"/>
      <c r="E199" s="619">
        <f>E160</f>
        <v>30640972.779999997</v>
      </c>
      <c r="F199" s="620">
        <f>+F154</f>
        <v>218836392.10915256</v>
      </c>
      <c r="G199" s="621">
        <f>+E199+F199</f>
        <v>249477364.88915256</v>
      </c>
      <c r="H199" s="415"/>
      <c r="J199" s="564"/>
    </row>
    <row r="200" spans="2:10" hidden="1">
      <c r="B200" s="564"/>
      <c r="C200" s="622" t="s">
        <v>662</v>
      </c>
      <c r="D200" s="568"/>
      <c r="E200" s="623">
        <f>+H195</f>
        <v>911826.73545712477</v>
      </c>
      <c r="F200" s="595">
        <f>+I195</f>
        <v>860620.26309900498</v>
      </c>
      <c r="G200" s="621">
        <f t="shared" ref="G200" si="41">+E200+F200</f>
        <v>1772446.9985561296</v>
      </c>
      <c r="H200" s="415">
        <v>1772447</v>
      </c>
      <c r="I200" s="416">
        <f>+H200-G200</f>
        <v>1.4438703656196594E-3</v>
      </c>
      <c r="J200" s="660">
        <f>+I200/2</f>
        <v>7.2193518280982971E-4</v>
      </c>
    </row>
    <row r="201" spans="2:10" hidden="1">
      <c r="B201" s="564"/>
      <c r="C201" s="618" t="s">
        <v>103</v>
      </c>
      <c r="D201" s="568"/>
      <c r="E201" s="624">
        <f>+E199+E200</f>
        <v>31552799.515457124</v>
      </c>
      <c r="F201" s="625">
        <f>+F199+F200</f>
        <v>219697012.37225157</v>
      </c>
      <c r="G201" s="626">
        <f>+E201+F201</f>
        <v>251249811.88770869</v>
      </c>
      <c r="H201" s="627">
        <f>E210-G201</f>
        <v>0</v>
      </c>
    </row>
    <row r="202" spans="2:10" hidden="1">
      <c r="B202" s="564"/>
      <c r="C202" s="622"/>
      <c r="D202" s="568"/>
      <c r="E202" s="623"/>
      <c r="F202" s="595"/>
      <c r="G202" s="621"/>
      <c r="H202" s="415"/>
    </row>
    <row r="203" spans="2:10" ht="15" hidden="1" thickBot="1">
      <c r="B203" s="564"/>
      <c r="C203" s="628" t="s">
        <v>6</v>
      </c>
      <c r="D203" s="629"/>
      <c r="E203" s="630">
        <v>86000</v>
      </c>
      <c r="F203" s="631">
        <v>0</v>
      </c>
      <c r="G203" s="632">
        <f>+E203+F203</f>
        <v>86000</v>
      </c>
      <c r="H203" s="415"/>
    </row>
    <row r="204" spans="2:10" ht="15" hidden="1" thickBot="1">
      <c r="B204" s="564"/>
      <c r="J204" s="441"/>
    </row>
    <row r="205" spans="2:10" hidden="1">
      <c r="B205" s="564"/>
      <c r="C205" s="613" t="s">
        <v>663</v>
      </c>
      <c r="D205" s="614"/>
      <c r="E205" s="633"/>
      <c r="F205" s="634">
        <v>44286</v>
      </c>
      <c r="G205" s="633"/>
      <c r="H205" s="633"/>
      <c r="I205" s="635"/>
      <c r="J205" s="564"/>
    </row>
    <row r="206" spans="2:10" hidden="1">
      <c r="C206" s="622"/>
      <c r="D206" s="564"/>
      <c r="E206" s="572"/>
      <c r="F206" s="572"/>
      <c r="G206" s="572"/>
      <c r="H206" s="572"/>
      <c r="I206" s="636"/>
      <c r="J206" s="564"/>
    </row>
    <row r="207" spans="2:10" hidden="1">
      <c r="C207" s="637" t="s">
        <v>664</v>
      </c>
      <c r="D207" s="638" t="s">
        <v>665</v>
      </c>
      <c r="E207" s="638" t="s">
        <v>666</v>
      </c>
      <c r="F207" s="638" t="s">
        <v>667</v>
      </c>
      <c r="G207" s="638" t="s">
        <v>668</v>
      </c>
      <c r="H207" s="638" t="s">
        <v>673</v>
      </c>
      <c r="I207" s="639" t="s">
        <v>669</v>
      </c>
      <c r="J207" s="564"/>
    </row>
    <row r="208" spans="2:10" hidden="1">
      <c r="C208" s="663" t="s">
        <v>661</v>
      </c>
      <c r="D208" s="664">
        <v>44104</v>
      </c>
      <c r="E208" s="665">
        <f>+F201</f>
        <v>219697012.37225157</v>
      </c>
      <c r="F208" s="666">
        <v>20</v>
      </c>
      <c r="G208" s="666">
        <f>+F205-D208</f>
        <v>182</v>
      </c>
      <c r="H208" s="667">
        <f>E208*5%</f>
        <v>10984850.61861258</v>
      </c>
      <c r="I208" s="668">
        <f>(E208-H208)/(20*365)*G208</f>
        <v>5203508.6902962048</v>
      </c>
      <c r="J208" s="669"/>
    </row>
    <row r="209" spans="3:10" hidden="1">
      <c r="C209" s="622" t="s">
        <v>661</v>
      </c>
      <c r="D209" s="640">
        <v>44286</v>
      </c>
      <c r="E209" s="641">
        <f>+E201</f>
        <v>31552799.515457124</v>
      </c>
      <c r="F209" s="572">
        <v>20</v>
      </c>
      <c r="G209" s="572">
        <v>1</v>
      </c>
      <c r="H209" s="641">
        <f>E209*5%</f>
        <v>1577639.9757728563</v>
      </c>
      <c r="I209" s="642">
        <f>(E209-H209)/(20*365)*G209</f>
        <v>4106.1862383129128</v>
      </c>
      <c r="J209" s="564"/>
    </row>
    <row r="210" spans="3:10" hidden="1">
      <c r="C210" s="643" t="s">
        <v>670</v>
      </c>
      <c r="D210" s="640"/>
      <c r="E210" s="644">
        <f>SUM(E208:E209)</f>
        <v>251249811.88770869</v>
      </c>
      <c r="F210" s="572"/>
      <c r="G210" s="572"/>
      <c r="H210" s="644">
        <f>SUM(H208:H209)</f>
        <v>12562490.594385436</v>
      </c>
      <c r="I210" s="645">
        <f>SUM(I208:I209)</f>
        <v>5207614.8765345179</v>
      </c>
      <c r="J210" s="670">
        <f>+E210-H210</f>
        <v>238687321.29332325</v>
      </c>
    </row>
    <row r="211" spans="3:10" hidden="1">
      <c r="C211" s="622" t="s">
        <v>6</v>
      </c>
      <c r="D211" s="640" t="s">
        <v>674</v>
      </c>
      <c r="E211" s="572">
        <v>43000</v>
      </c>
      <c r="F211" s="572">
        <v>10</v>
      </c>
      <c r="G211" s="572">
        <f>30+31+31+28+31</f>
        <v>151</v>
      </c>
      <c r="H211" s="572">
        <f>+E211*5%</f>
        <v>2150</v>
      </c>
      <c r="I211" s="642">
        <f>+(E211*95%)/(10*365)*G211</f>
        <v>1689.958904109589</v>
      </c>
      <c r="J211" s="670">
        <f>+E211-H211</f>
        <v>40850</v>
      </c>
    </row>
    <row r="212" spans="3:10" ht="15" hidden="1" thickBot="1">
      <c r="C212" s="628"/>
      <c r="D212" s="647" t="s">
        <v>675</v>
      </c>
      <c r="E212" s="646">
        <v>43000</v>
      </c>
      <c r="F212" s="646">
        <v>10</v>
      </c>
      <c r="G212" s="646">
        <f>31+31+28+31</f>
        <v>121</v>
      </c>
      <c r="H212" s="646">
        <f>+E212*5%</f>
        <v>2150</v>
      </c>
      <c r="I212" s="648">
        <f>+(E212*95%)/(10*365)*G212</f>
        <v>1354.2054794520548</v>
      </c>
      <c r="J212" s="670">
        <f>+E212-H212</f>
        <v>40850</v>
      </c>
    </row>
    <row r="213" spans="3:10" hidden="1"/>
    <row r="214" spans="3:10" hidden="1">
      <c r="E214" s="228">
        <f>+E210+E211+E212</f>
        <v>251335811.88770869</v>
      </c>
      <c r="F214" s="228"/>
      <c r="G214" s="228"/>
      <c r="H214" s="228"/>
      <c r="I214" s="228">
        <f>+I210+I211+I212</f>
        <v>5210659.0409180801</v>
      </c>
      <c r="J214" s="671">
        <f>+E214-I214</f>
        <v>246125152.84679061</v>
      </c>
    </row>
    <row r="215" spans="3:10" hidden="1"/>
    <row r="216" spans="3:10" hidden="1">
      <c r="E216" s="416">
        <f>+E214-'Note 12 Fixed Assets 20-21'!H28</f>
        <v>-0.65999981760978699</v>
      </c>
      <c r="I216" s="416">
        <f>+'Note 12 Fixed Assets 20-21'!L28-'Dep additional for  Expansion'!I214</f>
        <v>1792576.4062471706</v>
      </c>
      <c r="J216" s="671">
        <f>+'Note 12 Fixed Assets 20-21'!M28-'Dep additional for  Expansion'!J214</f>
        <v>-1792575.7462471724</v>
      </c>
    </row>
    <row r="217" spans="3:10" hidden="1"/>
    <row r="218" spans="3:10" hidden="1"/>
    <row r="219" spans="3:10" hidden="1"/>
    <row r="220" spans="3:10" hidden="1"/>
    <row r="221" spans="3:10" hidden="1"/>
    <row r="222" spans="3:10" hidden="1"/>
    <row r="223" spans="3:10" hidden="1"/>
    <row r="224" spans="3:10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</sheetData>
  <autoFilter ref="A4:L76">
    <filterColumn colId="4" showButton="0"/>
  </autoFilter>
  <mergeCells count="2">
    <mergeCell ref="E4:F4"/>
    <mergeCell ref="H165:I165"/>
  </mergeCells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P31"/>
  <sheetViews>
    <sheetView view="pageBreakPreview" topLeftCell="A4" zoomScaleSheetLayoutView="100" workbookViewId="0">
      <selection activeCell="J12" sqref="J12"/>
    </sheetView>
  </sheetViews>
  <sheetFormatPr defaultColWidth="9.109375" defaultRowHeight="13.2"/>
  <cols>
    <col min="1" max="1" width="1.33203125" style="1" customWidth="1"/>
    <col min="2" max="2" width="4" style="1" customWidth="1"/>
    <col min="3" max="3" width="22.44140625" style="1" customWidth="1"/>
    <col min="4" max="4" width="14.44140625" style="1" hidden="1" customWidth="1"/>
    <col min="5" max="5" width="15" style="1" customWidth="1"/>
    <col min="6" max="6" width="16.88671875" style="1" customWidth="1"/>
    <col min="7" max="7" width="10.6640625" style="1" customWidth="1"/>
    <col min="8" max="8" width="15" style="54" customWidth="1"/>
    <col min="9" max="9" width="16.88671875" style="1" customWidth="1"/>
    <col min="10" max="10" width="15.5546875" style="1" customWidth="1"/>
    <col min="11" max="11" width="10.6640625" style="1" customWidth="1"/>
    <col min="12" max="14" width="18.109375" style="1" customWidth="1"/>
    <col min="15" max="15" width="9.109375" style="1"/>
    <col min="16" max="16" width="9.33203125" style="1" bestFit="1" customWidth="1"/>
    <col min="17" max="16384" width="9.109375" style="1"/>
  </cols>
  <sheetData>
    <row r="1" spans="1:15" ht="18">
      <c r="A1" s="13"/>
      <c r="B1" s="79" t="s">
        <v>39</v>
      </c>
      <c r="C1" s="78"/>
      <c r="D1" s="78"/>
      <c r="E1" s="78"/>
      <c r="F1" s="78"/>
      <c r="G1" s="78"/>
      <c r="H1" s="216"/>
      <c r="I1" s="78"/>
      <c r="J1" s="78"/>
      <c r="K1" s="78"/>
      <c r="L1" s="78"/>
      <c r="M1" s="78"/>
      <c r="N1" s="78"/>
    </row>
    <row r="2" spans="1:15" ht="18">
      <c r="A2" s="13"/>
      <c r="B2" s="79"/>
      <c r="C2" s="78"/>
      <c r="D2" s="78"/>
      <c r="E2" s="78"/>
      <c r="F2" s="78"/>
      <c r="G2" s="78"/>
      <c r="H2" s="216"/>
      <c r="I2" s="78"/>
      <c r="J2" s="78"/>
      <c r="K2" s="78"/>
      <c r="L2" s="78"/>
      <c r="M2" s="78"/>
      <c r="N2" s="78"/>
    </row>
    <row r="3" spans="1:15" ht="14.4">
      <c r="A3" s="13"/>
      <c r="B3" s="77" t="s">
        <v>38</v>
      </c>
      <c r="D3" s="13"/>
      <c r="E3" s="13"/>
      <c r="F3" s="13"/>
      <c r="G3" s="13"/>
      <c r="H3" s="55"/>
      <c r="I3" s="13"/>
      <c r="J3" s="13"/>
      <c r="K3" s="13"/>
      <c r="L3" s="13"/>
      <c r="M3" s="13"/>
      <c r="N3" s="13"/>
    </row>
    <row r="4" spans="1:15" ht="14.4">
      <c r="A4" s="13"/>
      <c r="B4" s="13"/>
      <c r="C4" s="13"/>
      <c r="D4" s="13"/>
      <c r="E4" s="13"/>
      <c r="F4" s="13"/>
      <c r="G4" s="13"/>
      <c r="H4" s="55"/>
      <c r="I4" s="13"/>
      <c r="J4" s="13"/>
      <c r="K4" s="13"/>
      <c r="L4" s="13"/>
      <c r="M4" s="13"/>
      <c r="N4" s="13"/>
    </row>
    <row r="5" spans="1:15" s="3" customFormat="1" ht="14.4">
      <c r="A5" s="69"/>
      <c r="B5" s="76"/>
      <c r="C5" s="75"/>
      <c r="D5" s="674" t="s">
        <v>37</v>
      </c>
      <c r="E5" s="676" t="s">
        <v>36</v>
      </c>
      <c r="F5" s="677"/>
      <c r="G5" s="677"/>
      <c r="H5" s="678"/>
      <c r="I5" s="677" t="s">
        <v>35</v>
      </c>
      <c r="J5" s="677"/>
      <c r="K5" s="677"/>
      <c r="L5" s="678"/>
      <c r="M5" s="209"/>
      <c r="N5" s="210"/>
    </row>
    <row r="6" spans="1:15" s="3" customFormat="1" ht="14.4">
      <c r="A6" s="69"/>
      <c r="B6" s="68" t="s">
        <v>34</v>
      </c>
      <c r="C6" s="67" t="s">
        <v>33</v>
      </c>
      <c r="D6" s="675"/>
      <c r="E6" s="68" t="s">
        <v>30</v>
      </c>
      <c r="F6" s="73" t="s">
        <v>32</v>
      </c>
      <c r="G6" s="73" t="s">
        <v>31</v>
      </c>
      <c r="H6" s="73" t="s">
        <v>30</v>
      </c>
      <c r="I6" s="59" t="s">
        <v>29</v>
      </c>
      <c r="J6" s="74" t="s">
        <v>28</v>
      </c>
      <c r="K6" s="67" t="s">
        <v>27</v>
      </c>
      <c r="L6" s="67" t="s">
        <v>26</v>
      </c>
      <c r="M6" s="73" t="s">
        <v>25</v>
      </c>
      <c r="N6" s="73" t="s">
        <v>25</v>
      </c>
    </row>
    <row r="7" spans="1:15" s="3" customFormat="1" ht="14.4">
      <c r="A7" s="69"/>
      <c r="B7" s="68" t="s">
        <v>24</v>
      </c>
      <c r="C7" s="67"/>
      <c r="D7" s="72"/>
      <c r="E7" s="71" t="s">
        <v>40</v>
      </c>
      <c r="F7" s="67" t="s">
        <v>23</v>
      </c>
      <c r="G7" s="67" t="s">
        <v>23</v>
      </c>
      <c r="H7" s="67" t="s">
        <v>215</v>
      </c>
      <c r="I7" s="70" t="s">
        <v>40</v>
      </c>
      <c r="J7" s="68" t="s">
        <v>19</v>
      </c>
      <c r="K7" s="67" t="s">
        <v>22</v>
      </c>
      <c r="L7" s="67" t="s">
        <v>21</v>
      </c>
      <c r="M7" s="67" t="s">
        <v>216</v>
      </c>
      <c r="N7" s="67" t="s">
        <v>20</v>
      </c>
    </row>
    <row r="8" spans="1:15" s="3" customFormat="1" ht="14.4">
      <c r="A8" s="69"/>
      <c r="B8" s="68"/>
      <c r="C8" s="67"/>
      <c r="D8" s="65"/>
      <c r="E8" s="62"/>
      <c r="F8" s="62" t="s">
        <v>19</v>
      </c>
      <c r="G8" s="62" t="s">
        <v>19</v>
      </c>
      <c r="H8" s="62"/>
      <c r="I8" s="66"/>
      <c r="J8" s="65"/>
      <c r="K8" s="62" t="s">
        <v>18</v>
      </c>
      <c r="L8" s="64" t="s">
        <v>215</v>
      </c>
      <c r="M8" s="62"/>
      <c r="N8" s="62"/>
    </row>
    <row r="9" spans="1:15" ht="14.4">
      <c r="A9" s="13"/>
      <c r="B9" s="63"/>
      <c r="C9" s="62"/>
      <c r="D9" s="62" t="s">
        <v>17</v>
      </c>
      <c r="E9" s="61" t="s">
        <v>16</v>
      </c>
      <c r="F9" s="61" t="s">
        <v>16</v>
      </c>
      <c r="G9" s="61" t="s">
        <v>16</v>
      </c>
      <c r="H9" s="61" t="s">
        <v>16</v>
      </c>
      <c r="I9" s="61" t="s">
        <v>16</v>
      </c>
      <c r="J9" s="61" t="s">
        <v>16</v>
      </c>
      <c r="K9" s="61" t="s">
        <v>16</v>
      </c>
      <c r="L9" s="61" t="s">
        <v>16</v>
      </c>
      <c r="M9" s="61" t="s">
        <v>16</v>
      </c>
      <c r="N9" s="61" t="s">
        <v>16</v>
      </c>
    </row>
    <row r="10" spans="1:15" ht="14.4">
      <c r="A10" s="13"/>
      <c r="B10" s="42" t="s">
        <v>15</v>
      </c>
      <c r="C10" s="60" t="s">
        <v>14</v>
      </c>
      <c r="D10" s="59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15" ht="14.4">
      <c r="A11" s="13"/>
      <c r="B11" s="46">
        <v>1</v>
      </c>
      <c r="C11" s="52" t="s">
        <v>13</v>
      </c>
      <c r="D11" s="57">
        <v>0</v>
      </c>
      <c r="E11" s="39">
        <v>14359295</v>
      </c>
      <c r="F11" s="38"/>
      <c r="G11" s="38">
        <v>0</v>
      </c>
      <c r="H11" s="37">
        <f t="shared" ref="H11:H19" si="0">E11+F11-G11</f>
        <v>14359295</v>
      </c>
      <c r="I11" s="53">
        <v>0</v>
      </c>
      <c r="J11" s="33">
        <v>0</v>
      </c>
      <c r="K11" s="33">
        <v>0</v>
      </c>
      <c r="L11" s="56">
        <f t="shared" ref="L11:L19" si="1">I11+J11-K11</f>
        <v>0</v>
      </c>
      <c r="M11" s="34">
        <f>H11</f>
        <v>14359295</v>
      </c>
      <c r="N11" s="33">
        <f t="shared" ref="N11:N19" si="2">SUM(E11-I11)</f>
        <v>14359295</v>
      </c>
    </row>
    <row r="12" spans="1:15" ht="14.4">
      <c r="A12" s="13"/>
      <c r="B12" s="46">
        <v>2</v>
      </c>
      <c r="C12" s="52" t="s">
        <v>12</v>
      </c>
      <c r="D12" s="40">
        <v>3.3399999999999999E-2</v>
      </c>
      <c r="E12" s="39">
        <f>'DEP 2018-19'!C278</f>
        <v>187834478</v>
      </c>
      <c r="F12" s="38"/>
      <c r="G12" s="38">
        <v>0</v>
      </c>
      <c r="H12" s="37">
        <f t="shared" si="0"/>
        <v>187834478</v>
      </c>
      <c r="I12" s="36">
        <v>48451707</v>
      </c>
      <c r="J12" s="36">
        <f>'DEP 2018-19'!Q278</f>
        <v>5775438.926384679</v>
      </c>
      <c r="K12" s="33">
        <v>0</v>
      </c>
      <c r="L12" s="35">
        <f t="shared" si="1"/>
        <v>54227145.92638468</v>
      </c>
      <c r="M12" s="212">
        <f t="shared" ref="M12:M19" si="3">H12-L12</f>
        <v>133607332.07361531</v>
      </c>
      <c r="N12" s="33">
        <f t="shared" si="2"/>
        <v>139382771</v>
      </c>
    </row>
    <row r="13" spans="1:15" ht="14.4">
      <c r="A13" s="13"/>
      <c r="B13" s="46">
        <v>8</v>
      </c>
      <c r="C13" s="52" t="s">
        <v>6</v>
      </c>
      <c r="D13" s="40">
        <v>6.3299999999999995E-2</v>
      </c>
      <c r="E13" s="39">
        <f>'DEP 2018-19'!C227</f>
        <v>38090</v>
      </c>
      <c r="F13" s="38">
        <f>'DEP ADD 2018-19'!B105+'DEP ADD 2018-19'!B117</f>
        <v>234412.53</v>
      </c>
      <c r="G13" s="38">
        <v>0</v>
      </c>
      <c r="H13" s="218">
        <f>E13+F13-G13</f>
        <v>272502.53000000003</v>
      </c>
      <c r="I13" s="53">
        <v>37071</v>
      </c>
      <c r="J13" s="36">
        <f>'DEP ADD 2018-19'!I105+'DEP ADD 2018-19'!I117</f>
        <v>3878.3121724657535</v>
      </c>
      <c r="K13" s="33">
        <v>0</v>
      </c>
      <c r="L13" s="35">
        <f>I13+J13-K13</f>
        <v>40949.312172465754</v>
      </c>
      <c r="M13" s="212">
        <f>H13-L13</f>
        <v>231553.21782753427</v>
      </c>
      <c r="N13" s="33">
        <f>SUM(E13-I13)</f>
        <v>1019</v>
      </c>
      <c r="O13" s="1" t="s">
        <v>221</v>
      </c>
    </row>
    <row r="14" spans="1:15" ht="14.4">
      <c r="A14" s="13"/>
      <c r="B14" s="46">
        <v>3</v>
      </c>
      <c r="C14" s="52" t="s">
        <v>11</v>
      </c>
      <c r="D14" s="40">
        <v>1.6299999999999999E-2</v>
      </c>
      <c r="E14" s="39">
        <f>'DEP 2018-19'!C286</f>
        <v>6381386</v>
      </c>
      <c r="F14" s="38"/>
      <c r="G14" s="38">
        <v>0</v>
      </c>
      <c r="H14" s="37">
        <f t="shared" si="0"/>
        <v>6381386</v>
      </c>
      <c r="I14" s="36">
        <v>1209405</v>
      </c>
      <c r="J14" s="36">
        <f>'DEP 2018-19'!Q286</f>
        <v>211597.1886490192</v>
      </c>
      <c r="K14" s="33">
        <v>0</v>
      </c>
      <c r="L14" s="35">
        <f t="shared" si="1"/>
        <v>1421002.1886490192</v>
      </c>
      <c r="M14" s="212">
        <f t="shared" si="3"/>
        <v>4960383.8113509808</v>
      </c>
      <c r="N14" s="33">
        <f t="shared" si="2"/>
        <v>5171981</v>
      </c>
      <c r="O14" s="1" t="s">
        <v>221</v>
      </c>
    </row>
    <row r="15" spans="1:15" ht="14.4">
      <c r="A15" s="13"/>
      <c r="B15" s="46">
        <v>4</v>
      </c>
      <c r="C15" s="52" t="s">
        <v>10</v>
      </c>
      <c r="D15" s="40">
        <v>4.7500000000000001E-2</v>
      </c>
      <c r="E15" s="39">
        <f>'DEP 2018-19'!C218</f>
        <v>346578024.75999987</v>
      </c>
      <c r="F15" s="38">
        <f>'DEP ADD 2018-19'!B16</f>
        <v>6024864.7400000002</v>
      </c>
      <c r="G15" s="38">
        <v>0</v>
      </c>
      <c r="H15" s="218">
        <f t="shared" si="0"/>
        <v>352602889.49999988</v>
      </c>
      <c r="I15" s="53">
        <v>118910314</v>
      </c>
      <c r="J15" s="36">
        <f>'DEP 2018-19'!Q218+'DEP ADD 2018-19'!I16</f>
        <v>16637288.383983258</v>
      </c>
      <c r="K15" s="33">
        <v>0</v>
      </c>
      <c r="L15" s="35">
        <f t="shared" si="1"/>
        <v>135547602.38398325</v>
      </c>
      <c r="M15" s="212">
        <f t="shared" si="3"/>
        <v>217055287.11601663</v>
      </c>
      <c r="N15" s="33">
        <f t="shared" si="2"/>
        <v>227667710.75999987</v>
      </c>
      <c r="O15" s="1" t="s">
        <v>221</v>
      </c>
    </row>
    <row r="16" spans="1:15" ht="14.4">
      <c r="A16" s="13"/>
      <c r="B16" s="46">
        <v>5</v>
      </c>
      <c r="C16" s="52" t="s">
        <v>9</v>
      </c>
      <c r="D16" s="40">
        <v>4.7500000000000001E-2</v>
      </c>
      <c r="E16" s="39">
        <f>'DEP 2018-19'!C302</f>
        <v>80837730</v>
      </c>
      <c r="F16" s="38">
        <f>'DEP ADD 2018-19'!B25</f>
        <v>395974</v>
      </c>
      <c r="G16" s="38">
        <v>0</v>
      </c>
      <c r="H16" s="37">
        <f t="shared" si="0"/>
        <v>81233704</v>
      </c>
      <c r="I16" s="53">
        <v>57327777</v>
      </c>
      <c r="J16" s="36">
        <f>'DEP 2018-19'!Q302+'DEP ADD 2018-19'!I25</f>
        <v>10004423.519033439</v>
      </c>
      <c r="K16" s="33">
        <v>0</v>
      </c>
      <c r="L16" s="35">
        <f t="shared" si="1"/>
        <v>67332200.519033432</v>
      </c>
      <c r="M16" s="212">
        <f t="shared" si="3"/>
        <v>13901503.480966568</v>
      </c>
      <c r="N16" s="33">
        <f t="shared" si="2"/>
        <v>23509953</v>
      </c>
      <c r="O16" s="1" t="s">
        <v>221</v>
      </c>
    </row>
    <row r="17" spans="1:16" ht="14.4">
      <c r="A17" s="13"/>
      <c r="B17" s="46">
        <v>6</v>
      </c>
      <c r="C17" s="52" t="s">
        <v>8</v>
      </c>
      <c r="D17" s="40">
        <v>4.7500000000000001E-2</v>
      </c>
      <c r="E17" s="39">
        <v>2042355.39</v>
      </c>
      <c r="F17" s="38">
        <f>'DEP ADD 2018-19'!B22+'DEP ADD 2018-19'!B119</f>
        <v>90890.63</v>
      </c>
      <c r="G17" s="38">
        <v>0</v>
      </c>
      <c r="H17" s="37">
        <f t="shared" si="0"/>
        <v>2133246.02</v>
      </c>
      <c r="I17" s="53">
        <v>1030654</v>
      </c>
      <c r="J17" s="36">
        <f>'DEP 2018-19'!Q271+'DEP ADD 2018-19'!I22</f>
        <v>337711.93755091698</v>
      </c>
      <c r="K17" s="33">
        <v>0</v>
      </c>
      <c r="L17" s="35">
        <f t="shared" si="1"/>
        <v>1368365.937550917</v>
      </c>
      <c r="M17" s="212">
        <f t="shared" si="3"/>
        <v>764880.08244908298</v>
      </c>
      <c r="N17" s="33">
        <f t="shared" si="2"/>
        <v>1011701.3899999999</v>
      </c>
      <c r="O17" s="1" t="s">
        <v>221</v>
      </c>
      <c r="P17" s="2"/>
    </row>
    <row r="18" spans="1:16" s="54" customFormat="1" ht="14.4">
      <c r="A18" s="55"/>
      <c r="B18" s="46">
        <v>7</v>
      </c>
      <c r="C18" s="52" t="s">
        <v>7</v>
      </c>
      <c r="D18" s="40">
        <v>9.5000000000000001E-2</v>
      </c>
      <c r="E18" s="39">
        <f>'DEP 2018-19'!C9</f>
        <v>5043491</v>
      </c>
      <c r="F18" s="38"/>
      <c r="G18" s="38">
        <v>0</v>
      </c>
      <c r="H18" s="218">
        <f t="shared" si="0"/>
        <v>5043491</v>
      </c>
      <c r="I18" s="53">
        <v>3472189</v>
      </c>
      <c r="J18" s="36">
        <f>'DEP 2018-19'!Q9</f>
        <v>287324.07871046569</v>
      </c>
      <c r="K18" s="33">
        <v>0</v>
      </c>
      <c r="L18" s="35">
        <f t="shared" si="1"/>
        <v>3759513.0787104657</v>
      </c>
      <c r="M18" s="34">
        <f t="shared" si="3"/>
        <v>1283977.9212895343</v>
      </c>
      <c r="N18" s="33">
        <f t="shared" si="2"/>
        <v>1571302</v>
      </c>
      <c r="O18" s="54" t="s">
        <v>221</v>
      </c>
    </row>
    <row r="19" spans="1:16" ht="14.4">
      <c r="A19" s="13"/>
      <c r="B19" s="46">
        <v>9</v>
      </c>
      <c r="C19" s="52" t="s">
        <v>5</v>
      </c>
      <c r="D19" s="40">
        <v>0.16209999999999999</v>
      </c>
      <c r="E19" s="183">
        <v>1182337.49</v>
      </c>
      <c r="F19" s="51">
        <f>'DEP ADD 2018-19'!B37+'DEP ADD 2018-19'!B109</f>
        <v>175724.98</v>
      </c>
      <c r="G19" s="51">
        <v>0</v>
      </c>
      <c r="H19" s="50">
        <f t="shared" si="0"/>
        <v>1358062.47</v>
      </c>
      <c r="I19" s="49">
        <v>1096179</v>
      </c>
      <c r="J19" s="49">
        <f>'DEP 2018-19'!Q348+'DEP ADD 2018-19'!I37</f>
        <v>22785.896653766249</v>
      </c>
      <c r="K19" s="47">
        <v>0</v>
      </c>
      <c r="L19" s="48">
        <f t="shared" si="1"/>
        <v>1118964.8966537663</v>
      </c>
      <c r="M19" s="212">
        <f t="shared" si="3"/>
        <v>239097.57334623369</v>
      </c>
      <c r="N19" s="47">
        <f t="shared" si="2"/>
        <v>86158.489999999991</v>
      </c>
      <c r="O19" s="1" t="s">
        <v>221</v>
      </c>
      <c r="P19" s="2"/>
    </row>
    <row r="20" spans="1:16" ht="14.4">
      <c r="A20" s="13"/>
      <c r="B20" s="46"/>
      <c r="C20" s="23" t="s">
        <v>4</v>
      </c>
      <c r="D20" s="40"/>
      <c r="E20" s="45">
        <f t="shared" ref="E20:N20" si="4">SUM(E11:E19)</f>
        <v>644297187.63999987</v>
      </c>
      <c r="F20" s="44">
        <f t="shared" si="4"/>
        <v>6921866.8800000008</v>
      </c>
      <c r="G20" s="44">
        <f t="shared" si="4"/>
        <v>0</v>
      </c>
      <c r="H20" s="37">
        <f t="shared" si="4"/>
        <v>651219054.51999986</v>
      </c>
      <c r="I20" s="34">
        <f t="shared" si="4"/>
        <v>231535296</v>
      </c>
      <c r="J20" s="34">
        <f t="shared" si="4"/>
        <v>33280448.243138012</v>
      </c>
      <c r="K20" s="37">
        <f t="shared" si="4"/>
        <v>0</v>
      </c>
      <c r="L20" s="35">
        <f t="shared" si="4"/>
        <v>264815744.24313799</v>
      </c>
      <c r="M20" s="43">
        <f t="shared" si="4"/>
        <v>386403310.27686191</v>
      </c>
      <c r="N20" s="37">
        <f t="shared" si="4"/>
        <v>412761891.63999987</v>
      </c>
      <c r="P20" s="2"/>
    </row>
    <row r="21" spans="1:16" ht="14.4">
      <c r="A21" s="13"/>
      <c r="B21" s="42" t="s">
        <v>3</v>
      </c>
      <c r="C21" s="41" t="s">
        <v>2</v>
      </c>
      <c r="D21" s="40"/>
      <c r="E21" s="39"/>
      <c r="F21" s="38"/>
      <c r="G21" s="38"/>
      <c r="H21" s="37"/>
      <c r="I21" s="36"/>
      <c r="J21" s="36"/>
      <c r="K21" s="33"/>
      <c r="L21" s="35"/>
      <c r="M21" s="34"/>
      <c r="N21" s="33"/>
      <c r="P21" s="2"/>
    </row>
    <row r="22" spans="1:16" s="18" customFormat="1" ht="14.4">
      <c r="A22" s="25"/>
      <c r="B22" s="24"/>
      <c r="C22" s="32" t="s">
        <v>2</v>
      </c>
      <c r="D22" s="22">
        <v>0.25</v>
      </c>
      <c r="E22" s="31">
        <v>28000</v>
      </c>
      <c r="F22" s="30">
        <f>'DEP ADD 2018-19'!B98</f>
        <v>3800000</v>
      </c>
      <c r="G22" s="30">
        <v>0</v>
      </c>
      <c r="H22" s="29">
        <f>E22+F22-G22</f>
        <v>3828000</v>
      </c>
      <c r="I22" s="28">
        <v>11283</v>
      </c>
      <c r="J22" s="28">
        <f>'DEP 2018-19'!Q351+'DEP ADD 2018-19'!I98</f>
        <v>127718.50684931506</v>
      </c>
      <c r="K22" s="26">
        <v>0</v>
      </c>
      <c r="L22" s="27">
        <f>I22+J22-K22</f>
        <v>139001.50684931508</v>
      </c>
      <c r="M22" s="211">
        <f>H22-L22</f>
        <v>3688998.493150685</v>
      </c>
      <c r="N22" s="26">
        <f>SUM(E22-I22)</f>
        <v>16717</v>
      </c>
    </row>
    <row r="23" spans="1:16" s="18" customFormat="1" ht="14.4">
      <c r="A23" s="25"/>
      <c r="B23" s="24"/>
      <c r="C23" s="23" t="s">
        <v>1</v>
      </c>
      <c r="D23" s="22"/>
      <c r="E23" s="21">
        <f t="shared" ref="E23:L23" si="5">SUM(E22)</f>
        <v>28000</v>
      </c>
      <c r="F23" s="21">
        <f t="shared" si="5"/>
        <v>3800000</v>
      </c>
      <c r="G23" s="21">
        <f t="shared" si="5"/>
        <v>0</v>
      </c>
      <c r="H23" s="21">
        <f>SUM(H22)</f>
        <v>3828000</v>
      </c>
      <c r="I23" s="21">
        <f t="shared" si="5"/>
        <v>11283</v>
      </c>
      <c r="J23" s="21">
        <f t="shared" si="5"/>
        <v>127718.50684931506</v>
      </c>
      <c r="K23" s="21">
        <f t="shared" si="5"/>
        <v>0</v>
      </c>
      <c r="L23" s="21">
        <f t="shared" si="5"/>
        <v>139001.50684931508</v>
      </c>
      <c r="M23" s="20">
        <f>+H23-L23</f>
        <v>3688998.493150685</v>
      </c>
      <c r="N23" s="19">
        <f>SUM(E23-I23)</f>
        <v>16717</v>
      </c>
    </row>
    <row r="24" spans="1:16" ht="14.4">
      <c r="A24" s="13"/>
      <c r="B24" s="17"/>
      <c r="C24" s="16" t="s">
        <v>0</v>
      </c>
      <c r="D24" s="15"/>
      <c r="E24" s="14">
        <f t="shared" ref="E24:N24" si="6">E23+E20</f>
        <v>644325187.63999987</v>
      </c>
      <c r="F24" s="14">
        <f t="shared" si="6"/>
        <v>10721866.880000001</v>
      </c>
      <c r="G24" s="14">
        <f t="shared" si="6"/>
        <v>0</v>
      </c>
      <c r="H24" s="14">
        <f t="shared" si="6"/>
        <v>655047054.51999986</v>
      </c>
      <c r="I24" s="14">
        <f t="shared" si="6"/>
        <v>231546579</v>
      </c>
      <c r="J24" s="14">
        <f t="shared" si="6"/>
        <v>33408166.749987327</v>
      </c>
      <c r="K24" s="14">
        <f t="shared" si="6"/>
        <v>0</v>
      </c>
      <c r="L24" s="14">
        <f t="shared" si="6"/>
        <v>264954745.7499873</v>
      </c>
      <c r="M24" s="14">
        <f t="shared" si="6"/>
        <v>390092308.77001262</v>
      </c>
      <c r="N24" s="14">
        <f t="shared" si="6"/>
        <v>412778608.63999987</v>
      </c>
    </row>
    <row r="25" spans="1:16" ht="15" thickBot="1">
      <c r="A25" s="13"/>
      <c r="B25" s="12"/>
      <c r="C25" s="11" t="s">
        <v>0</v>
      </c>
      <c r="D25" s="10"/>
      <c r="E25" s="9">
        <v>638437111</v>
      </c>
      <c r="F25" s="8">
        <v>5888077</v>
      </c>
      <c r="G25" s="6">
        <v>0</v>
      </c>
      <c r="H25" s="4">
        <f>E25+F25</f>
        <v>644325188</v>
      </c>
      <c r="I25" s="4">
        <v>197795191</v>
      </c>
      <c r="J25" s="7">
        <v>33751388</v>
      </c>
      <c r="K25" s="6">
        <v>0</v>
      </c>
      <c r="L25" s="5">
        <f>I25+J25</f>
        <v>231546579</v>
      </c>
      <c r="M25" s="4">
        <f>H25-L25</f>
        <v>412778609</v>
      </c>
      <c r="N25" s="4">
        <f>E25-I25</f>
        <v>440641920</v>
      </c>
    </row>
    <row r="27" spans="1:16">
      <c r="C27" s="3"/>
      <c r="E27" s="2"/>
      <c r="H27" s="217"/>
    </row>
    <row r="28" spans="1:16" ht="27.75" customHeight="1">
      <c r="C28" s="679"/>
      <c r="D28" s="679"/>
      <c r="E28" s="679"/>
      <c r="F28" s="679"/>
      <c r="G28" s="679"/>
      <c r="H28" s="679"/>
      <c r="I28" s="679"/>
      <c r="J28" s="679"/>
      <c r="K28" s="679"/>
      <c r="L28" s="679"/>
      <c r="M28" s="679"/>
      <c r="N28" s="679"/>
    </row>
    <row r="29" spans="1:16" ht="28.5" customHeight="1">
      <c r="C29" s="679"/>
      <c r="D29" s="679"/>
      <c r="E29" s="679"/>
      <c r="F29" s="679"/>
      <c r="G29" s="679"/>
      <c r="H29" s="679"/>
      <c r="I29" s="679"/>
      <c r="J29" s="679"/>
      <c r="K29" s="679"/>
      <c r="L29" s="679"/>
      <c r="M29" s="679"/>
      <c r="N29" s="679"/>
    </row>
    <row r="30" spans="1:16" ht="15.75" customHeight="1">
      <c r="C30" s="680"/>
      <c r="D30" s="680"/>
      <c r="E30" s="680"/>
      <c r="F30" s="680"/>
      <c r="G30" s="680"/>
      <c r="H30" s="680"/>
      <c r="L30" s="2"/>
    </row>
    <row r="31" spans="1:16" ht="33" customHeight="1">
      <c r="C31" s="673"/>
      <c r="D31" s="673"/>
      <c r="E31" s="673"/>
      <c r="F31" s="673"/>
      <c r="G31" s="673"/>
      <c r="H31" s="673"/>
      <c r="I31" s="673"/>
      <c r="J31" s="673"/>
      <c r="K31" s="673"/>
      <c r="L31" s="673"/>
      <c r="M31" s="673"/>
      <c r="N31" s="673"/>
    </row>
  </sheetData>
  <mergeCells count="7">
    <mergeCell ref="C31:N31"/>
    <mergeCell ref="D5:D6"/>
    <mergeCell ref="E5:H5"/>
    <mergeCell ref="I5:L5"/>
    <mergeCell ref="C28:N28"/>
    <mergeCell ref="C29:N29"/>
    <mergeCell ref="C30:H30"/>
  </mergeCells>
  <printOptions horizontalCentered="1"/>
  <pageMargins left="0" right="0" top="1.5" bottom="0.5" header="0" footer="0"/>
  <pageSetup paperSize="9" scale="78" fitToHeight="0" orientation="landscape" r:id="rId1"/>
  <headerFooter alignWithMargins="0">
    <oddHeader>&amp;C&amp;"Trebuchet MS,Regular"AMIT METALIKS LIMITED Significant Accounting Policies and Notes to Financial Statements for the Year ended 31st March 2019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58"/>
  <sheetViews>
    <sheetView workbookViewId="0">
      <pane xSplit="1" ySplit="2" topLeftCell="B267" activePane="bottomRight" state="frozen"/>
      <selection activeCell="I17" sqref="I17"/>
      <selection pane="topRight" activeCell="I17" sqref="I17"/>
      <selection pane="bottomLeft" activeCell="I17" sqref="I17"/>
      <selection pane="bottomRight" activeCell="C230" sqref="C230:C269"/>
    </sheetView>
  </sheetViews>
  <sheetFormatPr defaultColWidth="9" defaultRowHeight="14.4"/>
  <cols>
    <col min="1" max="1" width="25.5546875" style="90" customWidth="1"/>
    <col min="2" max="2" width="12.6640625" style="90" customWidth="1"/>
    <col min="3" max="3" width="13.88671875" style="90" customWidth="1"/>
    <col min="4" max="4" width="7.109375" style="90" hidden="1" customWidth="1"/>
    <col min="5" max="6" width="9" style="90" hidden="1" customWidth="1"/>
    <col min="7" max="7" width="11.6640625" style="141" bestFit="1" customWidth="1"/>
    <col min="8" max="10" width="9" style="90" hidden="1" customWidth="1"/>
    <col min="11" max="11" width="11.109375" style="90" customWidth="1"/>
    <col min="12" max="12" width="7.5546875" style="141" bestFit="1" customWidth="1"/>
    <col min="13" max="13" width="12.6640625" style="141" bestFit="1" customWidth="1"/>
    <col min="14" max="14" width="11.33203125" style="145" bestFit="1" customWidth="1"/>
    <col min="15" max="15" width="12.44140625" style="141" bestFit="1" customWidth="1"/>
    <col min="16" max="16" width="15.88671875" style="141" customWidth="1"/>
    <col min="17" max="17" width="11.6640625" style="145" customWidth="1"/>
    <col min="18" max="18" width="11.33203125" style="145" bestFit="1" customWidth="1"/>
    <col min="19" max="19" width="16.88671875" style="90" bestFit="1" customWidth="1"/>
    <col min="20" max="16384" width="9" style="90"/>
  </cols>
  <sheetData>
    <row r="1" spans="1:19" ht="68.25" customHeight="1">
      <c r="A1" s="80" t="s">
        <v>41</v>
      </c>
      <c r="B1" s="81" t="s">
        <v>42</v>
      </c>
      <c r="C1" s="82" t="s">
        <v>43</v>
      </c>
      <c r="D1" s="82" t="s">
        <v>44</v>
      </c>
      <c r="E1" s="82" t="s">
        <v>45</v>
      </c>
      <c r="F1" s="82" t="s">
        <v>46</v>
      </c>
      <c r="G1" s="83" t="s">
        <v>47</v>
      </c>
      <c r="H1" s="84" t="s">
        <v>48</v>
      </c>
      <c r="I1" s="85" t="s">
        <v>49</v>
      </c>
      <c r="J1" s="86" t="s">
        <v>50</v>
      </c>
      <c r="K1" s="87" t="s">
        <v>51</v>
      </c>
      <c r="L1" s="88" t="s">
        <v>52</v>
      </c>
      <c r="M1" s="88" t="s">
        <v>217</v>
      </c>
      <c r="N1" s="89" t="s">
        <v>54</v>
      </c>
      <c r="O1" s="88" t="s">
        <v>218</v>
      </c>
      <c r="P1" s="88" t="s">
        <v>53</v>
      </c>
      <c r="Q1" s="89" t="s">
        <v>219</v>
      </c>
      <c r="R1" s="89" t="s">
        <v>220</v>
      </c>
    </row>
    <row r="2" spans="1:19" ht="15">
      <c r="A2" s="91"/>
      <c r="B2" s="92"/>
      <c r="C2" s="93"/>
      <c r="D2" s="93"/>
      <c r="E2" s="93"/>
      <c r="F2" s="93"/>
      <c r="G2" s="94"/>
      <c r="H2" s="95"/>
      <c r="I2" s="96"/>
      <c r="J2" s="97"/>
      <c r="K2" s="98">
        <v>43190</v>
      </c>
      <c r="L2" s="99"/>
      <c r="M2" s="99"/>
      <c r="N2" s="100"/>
      <c r="O2" s="99"/>
      <c r="P2" s="99"/>
      <c r="Q2" s="100"/>
      <c r="R2" s="100"/>
    </row>
    <row r="3" spans="1:19" ht="15">
      <c r="A3" s="101" t="s">
        <v>55</v>
      </c>
      <c r="B3" s="92"/>
      <c r="C3" s="93"/>
      <c r="D3" s="93"/>
      <c r="E3" s="93"/>
      <c r="F3" s="93"/>
      <c r="G3" s="94"/>
      <c r="H3" s="102"/>
      <c r="I3" s="103"/>
      <c r="J3" s="104"/>
      <c r="K3" s="105"/>
      <c r="L3" s="99"/>
      <c r="M3" s="99"/>
      <c r="N3" s="100"/>
      <c r="O3" s="106">
        <v>10</v>
      </c>
      <c r="P3" s="99"/>
      <c r="Q3" s="100"/>
      <c r="R3" s="100"/>
    </row>
    <row r="4" spans="1:19">
      <c r="A4" s="107" t="s">
        <v>56</v>
      </c>
      <c r="B4" s="105">
        <v>38677</v>
      </c>
      <c r="C4" s="107">
        <v>1517161</v>
      </c>
      <c r="D4" s="107"/>
      <c r="E4" s="107"/>
      <c r="F4" s="107"/>
      <c r="G4" s="99">
        <f t="shared" ref="G4" si="0">C4*5%</f>
        <v>75858.05</v>
      </c>
      <c r="H4" s="107"/>
      <c r="I4" s="107"/>
      <c r="J4" s="107"/>
      <c r="K4" s="107">
        <f>$K$2-B4</f>
        <v>4513</v>
      </c>
      <c r="L4" s="99">
        <f>K4/365</f>
        <v>12.364383561643836</v>
      </c>
      <c r="M4" s="114">
        <v>1463971.5786989508</v>
      </c>
      <c r="N4" s="100">
        <f>C4-M4</f>
        <v>53189.42130104918</v>
      </c>
      <c r="O4" s="99">
        <f>$O$3-L4</f>
        <v>-2.3643835616438356</v>
      </c>
      <c r="P4" s="109"/>
      <c r="Q4" s="100">
        <f t="shared" ref="Q4" si="1">P4/O4</f>
        <v>0</v>
      </c>
      <c r="R4" s="100">
        <f t="shared" ref="R4" si="2">N4-Q4</f>
        <v>53189.42130104918</v>
      </c>
      <c r="S4" s="90" t="s">
        <v>221</v>
      </c>
    </row>
    <row r="5" spans="1:19">
      <c r="A5" s="107" t="s">
        <v>57</v>
      </c>
      <c r="B5" s="105">
        <v>39747</v>
      </c>
      <c r="C5" s="107">
        <v>649424</v>
      </c>
      <c r="D5" s="107"/>
      <c r="E5" s="107"/>
      <c r="F5" s="107"/>
      <c r="G5" s="99">
        <f>C5*5%</f>
        <v>32471.200000000001</v>
      </c>
      <c r="H5" s="107"/>
      <c r="I5" s="107"/>
      <c r="J5" s="107"/>
      <c r="K5" s="107">
        <f t="shared" ref="K5" si="3">$K$2-B5</f>
        <v>3443</v>
      </c>
      <c r="L5" s="99">
        <f t="shared" ref="L5" si="4">K5/365</f>
        <v>9.4328767123287669</v>
      </c>
      <c r="M5" s="99">
        <v>581926.62863852864</v>
      </c>
      <c r="N5" s="100">
        <f>C5-M5</f>
        <v>67497.371361471363</v>
      </c>
      <c r="O5" s="99">
        <f>$O$3-L5</f>
        <v>0.5671232876712331</v>
      </c>
      <c r="P5" s="99">
        <f>N5-G5</f>
        <v>35026.171361471366</v>
      </c>
      <c r="Q5" s="167">
        <f>P5</f>
        <v>35026.171361471366</v>
      </c>
      <c r="R5" s="100">
        <f>N5-Q5</f>
        <v>32471.199999999997</v>
      </c>
      <c r="S5" s="90" t="s">
        <v>221</v>
      </c>
    </row>
    <row r="6" spans="1:19">
      <c r="A6" s="107" t="s">
        <v>58</v>
      </c>
      <c r="B6" s="105">
        <v>39759</v>
      </c>
      <c r="C6" s="107">
        <v>475000</v>
      </c>
      <c r="D6" s="107"/>
      <c r="E6" s="107"/>
      <c r="F6" s="107"/>
      <c r="G6" s="99">
        <f>C6*5%</f>
        <v>23750</v>
      </c>
      <c r="H6" s="107"/>
      <c r="I6" s="107"/>
      <c r="J6" s="107"/>
      <c r="K6" s="107">
        <f>$K$2-B6</f>
        <v>3431</v>
      </c>
      <c r="L6" s="99">
        <f>K6/365</f>
        <v>9.4</v>
      </c>
      <c r="M6" s="99">
        <v>424146.4699683878</v>
      </c>
      <c r="N6" s="100">
        <f>C6-M6</f>
        <v>50853.530031612201</v>
      </c>
      <c r="O6" s="99">
        <f>$O$3-L6</f>
        <v>0.59999999999999964</v>
      </c>
      <c r="P6" s="99">
        <f>N6-G6</f>
        <v>27103.530031612201</v>
      </c>
      <c r="Q6" s="167">
        <f>P6</f>
        <v>27103.530031612201</v>
      </c>
      <c r="R6" s="100">
        <f>N6-Q6</f>
        <v>23750</v>
      </c>
      <c r="S6" s="90" t="s">
        <v>221</v>
      </c>
    </row>
    <row r="7" spans="1:19">
      <c r="A7" s="107" t="s">
        <v>59</v>
      </c>
      <c r="B7" s="105">
        <v>39623</v>
      </c>
      <c r="C7" s="107">
        <v>41794</v>
      </c>
      <c r="D7" s="107"/>
      <c r="E7" s="107"/>
      <c r="F7" s="107"/>
      <c r="G7" s="99">
        <f>C7*5%</f>
        <v>2089.7000000000003</v>
      </c>
      <c r="H7" s="107"/>
      <c r="I7" s="107"/>
      <c r="J7" s="107"/>
      <c r="K7" s="107">
        <f>$K$2-B7</f>
        <v>3567</v>
      </c>
      <c r="L7" s="99">
        <f>K7/365</f>
        <v>9.7726027397260271</v>
      </c>
      <c r="M7" s="99">
        <v>38800.324560953006</v>
      </c>
      <c r="N7" s="100">
        <f>C7-M7</f>
        <v>2993.6754390469941</v>
      </c>
      <c r="O7" s="99">
        <f>$O$3-L7</f>
        <v>0.22739726027397289</v>
      </c>
      <c r="P7" s="99">
        <f>N7-G7</f>
        <v>903.97543904699387</v>
      </c>
      <c r="Q7" s="167">
        <f>P7</f>
        <v>903.97543904699387</v>
      </c>
      <c r="R7" s="100">
        <f>N7-Q7</f>
        <v>2089.7000000000003</v>
      </c>
      <c r="S7" s="90" t="s">
        <v>221</v>
      </c>
    </row>
    <row r="8" spans="1:19">
      <c r="A8" s="107" t="s">
        <v>60</v>
      </c>
      <c r="B8" s="105">
        <v>41621</v>
      </c>
      <c r="C8" s="107">
        <v>2360112</v>
      </c>
      <c r="D8" s="107"/>
      <c r="E8" s="107"/>
      <c r="F8" s="107"/>
      <c r="G8" s="99">
        <f>C8*5%</f>
        <v>118005.6</v>
      </c>
      <c r="H8" s="107"/>
      <c r="I8" s="107"/>
      <c r="J8" s="107"/>
      <c r="K8" s="107">
        <f>$K$2-B8</f>
        <v>1569</v>
      </c>
      <c r="L8" s="99">
        <f>K8/365</f>
        <v>4.2986301369863016</v>
      </c>
      <c r="M8" s="99">
        <v>963343.86216762906</v>
      </c>
      <c r="N8" s="100">
        <f>C8-M8</f>
        <v>1396768.1378323711</v>
      </c>
      <c r="O8" s="99">
        <f>$O$3-L8</f>
        <v>5.7013698630136984</v>
      </c>
      <c r="P8" s="99">
        <f>N8-G8</f>
        <v>1278762.537832371</v>
      </c>
      <c r="Q8" s="100">
        <f>P8/O8</f>
        <v>224290.40187833513</v>
      </c>
      <c r="R8" s="100">
        <f>N8-Q8</f>
        <v>1172477.735954036</v>
      </c>
    </row>
    <row r="9" spans="1:19" ht="15">
      <c r="A9" s="101" t="s">
        <v>61</v>
      </c>
      <c r="B9" s="107"/>
      <c r="C9" s="110">
        <f>SUM(C4:C8)</f>
        <v>5043491</v>
      </c>
      <c r="D9" s="107"/>
      <c r="E9" s="107"/>
      <c r="F9" s="107"/>
      <c r="G9" s="99"/>
      <c r="H9" s="107"/>
      <c r="I9" s="107"/>
      <c r="J9" s="107"/>
      <c r="K9" s="111"/>
      <c r="L9" s="99"/>
      <c r="M9" s="112">
        <f>SUM(M4:M8)</f>
        <v>3472188.8640344492</v>
      </c>
      <c r="N9" s="113">
        <f>SUM(N4:N8)</f>
        <v>1571302.1359655508</v>
      </c>
      <c r="O9" s="114"/>
      <c r="P9" s="99"/>
      <c r="Q9" s="115">
        <f>SUM(Q4:Q8)</f>
        <v>287324.07871046569</v>
      </c>
      <c r="R9" s="116">
        <f>SUM(R4:R8)</f>
        <v>1283978.0572550851</v>
      </c>
      <c r="S9" s="90" t="s">
        <v>222</v>
      </c>
    </row>
    <row r="10" spans="1:19" s="120" customFormat="1" ht="15">
      <c r="A10" s="101"/>
      <c r="B10" s="111"/>
      <c r="C10" s="117"/>
      <c r="D10" s="111"/>
      <c r="E10" s="111"/>
      <c r="F10" s="111"/>
      <c r="G10" s="114"/>
      <c r="H10" s="111"/>
      <c r="I10" s="111"/>
      <c r="J10" s="111"/>
      <c r="K10" s="111"/>
      <c r="L10" s="114"/>
      <c r="M10" s="114"/>
      <c r="N10" s="118"/>
      <c r="O10" s="114"/>
      <c r="P10" s="114"/>
      <c r="Q10" s="119"/>
      <c r="R10" s="119"/>
    </row>
    <row r="11" spans="1:19" ht="15">
      <c r="A11" s="101" t="s">
        <v>10</v>
      </c>
      <c r="B11" s="107"/>
      <c r="C11" s="111"/>
      <c r="D11" s="107"/>
      <c r="E11" s="107"/>
      <c r="F11" s="107"/>
      <c r="G11" s="99"/>
      <c r="H11" s="107"/>
      <c r="I11" s="107"/>
      <c r="J11" s="107"/>
      <c r="K11" s="111"/>
      <c r="L11" s="99"/>
      <c r="M11" s="99"/>
      <c r="N11" s="100"/>
      <c r="O11" s="121">
        <v>20</v>
      </c>
      <c r="P11" s="99"/>
      <c r="Q11" s="100"/>
      <c r="R11" s="100"/>
    </row>
    <row r="12" spans="1:19">
      <c r="A12" s="107" t="s">
        <v>62</v>
      </c>
      <c r="B12" s="105">
        <v>38483</v>
      </c>
      <c r="C12" s="107">
        <v>17014</v>
      </c>
      <c r="D12" s="107"/>
      <c r="E12" s="107"/>
      <c r="F12" s="107"/>
      <c r="G12" s="99">
        <f>C12*5%</f>
        <v>850.7</v>
      </c>
      <c r="H12" s="107"/>
      <c r="I12" s="107"/>
      <c r="J12" s="107"/>
      <c r="K12" s="107">
        <f t="shared" ref="K12:K75" si="5">$K$2-B12</f>
        <v>4707</v>
      </c>
      <c r="L12" s="99">
        <f t="shared" ref="L12:L75" si="6">K12/365</f>
        <v>12.895890410958904</v>
      </c>
      <c r="M12" s="99">
        <v>10420.279530148942</v>
      </c>
      <c r="N12" s="100">
        <f t="shared" ref="N12:N75" si="7">C12-M12</f>
        <v>6593.7204698510577</v>
      </c>
      <c r="O12" s="122">
        <f>$O$11-L12</f>
        <v>7.1041095890410961</v>
      </c>
      <c r="P12" s="99">
        <f t="shared" ref="P12:P75" si="8">N12-G12</f>
        <v>5743.0204698510579</v>
      </c>
      <c r="Q12" s="100">
        <f t="shared" ref="Q12:Q75" si="9">P12/O12</f>
        <v>808.40820343063479</v>
      </c>
      <c r="R12" s="100">
        <f t="shared" ref="R12:R75" si="10">N12-Q12</f>
        <v>5785.3122664204229</v>
      </c>
    </row>
    <row r="13" spans="1:19">
      <c r="A13" s="107" t="s">
        <v>65</v>
      </c>
      <c r="B13" s="105">
        <v>39582</v>
      </c>
      <c r="C13" s="107">
        <v>128625</v>
      </c>
      <c r="D13" s="107"/>
      <c r="E13" s="107">
        <v>20</v>
      </c>
      <c r="F13" s="107"/>
      <c r="G13" s="99">
        <f>C13*5%</f>
        <v>6431.25</v>
      </c>
      <c r="H13" s="107"/>
      <c r="I13" s="107"/>
      <c r="J13" s="107"/>
      <c r="K13" s="107">
        <f>$K$2-B13</f>
        <v>3608</v>
      </c>
      <c r="L13" s="99">
        <f>K13/365</f>
        <v>9.8849315068493144</v>
      </c>
      <c r="M13" s="99">
        <v>60379.86691000167</v>
      </c>
      <c r="N13" s="100">
        <f>C13-M13</f>
        <v>68245.13308999833</v>
      </c>
      <c r="O13" s="122">
        <f>$O$11-L13</f>
        <v>10.115068493150686</v>
      </c>
      <c r="P13" s="99">
        <f>N13-G13</f>
        <v>61813.88308999833</v>
      </c>
      <c r="Q13" s="100">
        <f>P13/O13</f>
        <v>6111.069157055631</v>
      </c>
      <c r="R13" s="100">
        <f>N13-Q13</f>
        <v>62134.063932942699</v>
      </c>
    </row>
    <row r="14" spans="1:19">
      <c r="A14" s="107" t="s">
        <v>63</v>
      </c>
      <c r="B14" s="105">
        <v>39539</v>
      </c>
      <c r="C14" s="107">
        <v>254988</v>
      </c>
      <c r="D14" s="107"/>
      <c r="E14" s="107"/>
      <c r="F14" s="107"/>
      <c r="G14" s="99">
        <f t="shared" ref="G14:G76" si="11">C14*5%</f>
        <v>12749.400000000001</v>
      </c>
      <c r="H14" s="107"/>
      <c r="I14" s="107"/>
      <c r="J14" s="107"/>
      <c r="K14" s="107">
        <f t="shared" si="5"/>
        <v>3651</v>
      </c>
      <c r="L14" s="99">
        <f t="shared" si="6"/>
        <v>10.002739726027396</v>
      </c>
      <c r="M14" s="99">
        <v>121124.83182461749</v>
      </c>
      <c r="N14" s="100">
        <f t="shared" si="7"/>
        <v>133863.16817538251</v>
      </c>
      <c r="O14" s="122">
        <f t="shared" ref="O14:O76" si="12">$O$11-L14</f>
        <v>9.9972602739726035</v>
      </c>
      <c r="P14" s="99">
        <f t="shared" si="8"/>
        <v>121113.76817538252</v>
      </c>
      <c r="Q14" s="100">
        <f t="shared" si="9"/>
        <v>12114.695912308745</v>
      </c>
      <c r="R14" s="100">
        <f t="shared" si="10"/>
        <v>121748.47226307377</v>
      </c>
    </row>
    <row r="15" spans="1:19">
      <c r="A15" s="107" t="s">
        <v>63</v>
      </c>
      <c r="B15" s="105">
        <v>39903</v>
      </c>
      <c r="C15" s="107">
        <v>105782</v>
      </c>
      <c r="D15" s="107"/>
      <c r="E15" s="107"/>
      <c r="F15" s="107"/>
      <c r="G15" s="99">
        <f t="shared" si="11"/>
        <v>5289.1</v>
      </c>
      <c r="H15" s="107"/>
      <c r="I15" s="107"/>
      <c r="J15" s="107"/>
      <c r="K15" s="107">
        <f t="shared" si="5"/>
        <v>3287</v>
      </c>
      <c r="L15" s="99">
        <f t="shared" si="6"/>
        <v>9.0054794520547947</v>
      </c>
      <c r="M15" s="99">
        <v>45237.689913071619</v>
      </c>
      <c r="N15" s="100">
        <f t="shared" si="7"/>
        <v>60544.310086928381</v>
      </c>
      <c r="O15" s="122">
        <f t="shared" si="12"/>
        <v>10.994520547945205</v>
      </c>
      <c r="P15" s="99">
        <f t="shared" si="8"/>
        <v>55255.210086928382</v>
      </c>
      <c r="Q15" s="100">
        <f t="shared" si="9"/>
        <v>5025.7043811933363</v>
      </c>
      <c r="R15" s="100">
        <f t="shared" si="10"/>
        <v>55518.605705735041</v>
      </c>
    </row>
    <row r="16" spans="1:19">
      <c r="A16" s="107" t="s">
        <v>64</v>
      </c>
      <c r="B16" s="105">
        <v>39539</v>
      </c>
      <c r="C16" s="107">
        <v>25000</v>
      </c>
      <c r="D16" s="107"/>
      <c r="E16" s="107"/>
      <c r="F16" s="107"/>
      <c r="G16" s="99">
        <f t="shared" si="11"/>
        <v>1250</v>
      </c>
      <c r="H16" s="107"/>
      <c r="I16" s="107"/>
      <c r="J16" s="107"/>
      <c r="K16" s="107">
        <f t="shared" si="5"/>
        <v>3651</v>
      </c>
      <c r="L16" s="99">
        <f t="shared" si="6"/>
        <v>10.002739726027396</v>
      </c>
      <c r="M16" s="99">
        <v>11875.542361269698</v>
      </c>
      <c r="N16" s="100">
        <f t="shared" si="7"/>
        <v>13124.457638730302</v>
      </c>
      <c r="O16" s="122">
        <f t="shared" si="12"/>
        <v>9.9972602739726035</v>
      </c>
      <c r="P16" s="99">
        <f t="shared" si="8"/>
        <v>11874.457638730302</v>
      </c>
      <c r="Q16" s="100">
        <f t="shared" si="9"/>
        <v>1187.771180634848</v>
      </c>
      <c r="R16" s="100">
        <f t="shared" si="10"/>
        <v>11936.686458095453</v>
      </c>
    </row>
    <row r="17" spans="1:18">
      <c r="A17" s="107" t="s">
        <v>64</v>
      </c>
      <c r="B17" s="105">
        <v>39903</v>
      </c>
      <c r="C17" s="107">
        <v>10371</v>
      </c>
      <c r="D17" s="107"/>
      <c r="E17" s="107"/>
      <c r="F17" s="107"/>
      <c r="G17" s="99">
        <f t="shared" si="11"/>
        <v>518.55000000000007</v>
      </c>
      <c r="H17" s="107"/>
      <c r="I17" s="107"/>
      <c r="J17" s="107"/>
      <c r="K17" s="107">
        <f t="shared" si="5"/>
        <v>3287</v>
      </c>
      <c r="L17" s="99">
        <f t="shared" si="6"/>
        <v>9.0054794520547947</v>
      </c>
      <c r="M17" s="99">
        <v>4435.1598768076383</v>
      </c>
      <c r="N17" s="100">
        <f t="shared" si="7"/>
        <v>5935.8401231923617</v>
      </c>
      <c r="O17" s="122">
        <f t="shared" si="12"/>
        <v>10.994520547945205</v>
      </c>
      <c r="P17" s="99">
        <f t="shared" si="8"/>
        <v>5417.2901231923615</v>
      </c>
      <c r="Q17" s="100">
        <f t="shared" si="9"/>
        <v>492.7263630613536</v>
      </c>
      <c r="R17" s="100">
        <f t="shared" si="10"/>
        <v>5443.1137601310083</v>
      </c>
    </row>
    <row r="18" spans="1:18">
      <c r="A18" s="107" t="s">
        <v>65</v>
      </c>
      <c r="B18" s="105">
        <v>39571</v>
      </c>
      <c r="C18" s="107">
        <v>256875</v>
      </c>
      <c r="D18" s="107"/>
      <c r="E18" s="107"/>
      <c r="F18" s="107"/>
      <c r="G18" s="99">
        <f t="shared" si="11"/>
        <v>12843.75</v>
      </c>
      <c r="H18" s="107"/>
      <c r="I18" s="107"/>
      <c r="J18" s="107"/>
      <c r="K18" s="107">
        <f t="shared" si="5"/>
        <v>3619</v>
      </c>
      <c r="L18" s="99">
        <f t="shared" si="6"/>
        <v>9.9150684931506845</v>
      </c>
      <c r="M18" s="99">
        <v>120951.43130654062</v>
      </c>
      <c r="N18" s="100">
        <f t="shared" si="7"/>
        <v>135923.56869345938</v>
      </c>
      <c r="O18" s="122">
        <f t="shared" si="12"/>
        <v>10.084931506849315</v>
      </c>
      <c r="P18" s="99">
        <f t="shared" si="8"/>
        <v>123079.81869345938</v>
      </c>
      <c r="Q18" s="100">
        <f t="shared" si="9"/>
        <v>12204.328666968941</v>
      </c>
      <c r="R18" s="100">
        <f t="shared" si="10"/>
        <v>123719.24002649044</v>
      </c>
    </row>
    <row r="19" spans="1:18">
      <c r="A19" s="107" t="s">
        <v>65</v>
      </c>
      <c r="B19" s="105">
        <v>39903</v>
      </c>
      <c r="C19" s="107">
        <v>159926</v>
      </c>
      <c r="D19" s="107"/>
      <c r="E19" s="107"/>
      <c r="F19" s="107"/>
      <c r="G19" s="99">
        <f t="shared" si="11"/>
        <v>7996.3</v>
      </c>
      <c r="H19" s="107"/>
      <c r="I19" s="107"/>
      <c r="J19" s="107"/>
      <c r="K19" s="107">
        <f t="shared" si="5"/>
        <v>3287</v>
      </c>
      <c r="L19" s="99">
        <f t="shared" si="6"/>
        <v>9.0054794520547947</v>
      </c>
      <c r="M19" s="99">
        <v>68392.380528236274</v>
      </c>
      <c r="N19" s="100">
        <f t="shared" si="7"/>
        <v>91533.619471763726</v>
      </c>
      <c r="O19" s="122">
        <f t="shared" si="12"/>
        <v>10.994520547945205</v>
      </c>
      <c r="P19" s="99">
        <f t="shared" si="8"/>
        <v>83537.319471763723</v>
      </c>
      <c r="Q19" s="100">
        <f t="shared" si="9"/>
        <v>7598.0866202825218</v>
      </c>
      <c r="R19" s="100">
        <f t="shared" si="10"/>
        <v>83935.532851481199</v>
      </c>
    </row>
    <row r="20" spans="1:18">
      <c r="A20" s="107" t="s">
        <v>66</v>
      </c>
      <c r="B20" s="105">
        <v>39539</v>
      </c>
      <c r="C20" s="107">
        <v>12611084</v>
      </c>
      <c r="D20" s="107"/>
      <c r="E20" s="107"/>
      <c r="F20" s="107"/>
      <c r="G20" s="99">
        <f t="shared" si="11"/>
        <v>630554.20000000007</v>
      </c>
      <c r="H20" s="107"/>
      <c r="I20" s="107"/>
      <c r="J20" s="107"/>
      <c r="K20" s="107">
        <f t="shared" si="5"/>
        <v>3651</v>
      </c>
      <c r="L20" s="99">
        <f t="shared" si="6"/>
        <v>10.002739726027396</v>
      </c>
      <c r="M20" s="108">
        <v>6080970.0743992422</v>
      </c>
      <c r="N20" s="100">
        <f t="shared" si="7"/>
        <v>6530113.9256007578</v>
      </c>
      <c r="O20" s="122">
        <f t="shared" si="12"/>
        <v>9.9972602739726035</v>
      </c>
      <c r="P20" s="99">
        <f t="shared" si="8"/>
        <v>5899559.7256007576</v>
      </c>
      <c r="Q20" s="100">
        <f t="shared" si="9"/>
        <v>590117.64862819307</v>
      </c>
      <c r="R20" s="100">
        <f t="shared" si="10"/>
        <v>5939996.2769725649</v>
      </c>
    </row>
    <row r="21" spans="1:18">
      <c r="A21" s="107" t="s">
        <v>66</v>
      </c>
      <c r="B21" s="105">
        <v>39660</v>
      </c>
      <c r="C21" s="107">
        <v>2112</v>
      </c>
      <c r="D21" s="107"/>
      <c r="E21" s="107"/>
      <c r="F21" s="107"/>
      <c r="G21" s="99">
        <f t="shared" si="11"/>
        <v>105.60000000000001</v>
      </c>
      <c r="H21" s="107"/>
      <c r="I21" s="107"/>
      <c r="J21" s="107"/>
      <c r="K21" s="107">
        <f t="shared" si="5"/>
        <v>3530</v>
      </c>
      <c r="L21" s="99">
        <f t="shared" si="6"/>
        <v>9.6712328767123292</v>
      </c>
      <c r="M21" s="99">
        <v>969.98781954337892</v>
      </c>
      <c r="N21" s="100">
        <f t="shared" si="7"/>
        <v>1142.0121804566211</v>
      </c>
      <c r="O21" s="122">
        <f t="shared" si="12"/>
        <v>10.328767123287671</v>
      </c>
      <c r="P21" s="99">
        <f t="shared" si="8"/>
        <v>1036.4121804566212</v>
      </c>
      <c r="Q21" s="100">
        <f t="shared" si="9"/>
        <v>100.34229333333336</v>
      </c>
      <c r="R21" s="100">
        <f t="shared" si="10"/>
        <v>1041.6698871232877</v>
      </c>
    </row>
    <row r="22" spans="1:18">
      <c r="A22" s="107" t="s">
        <v>66</v>
      </c>
      <c r="B22" s="105">
        <v>39903</v>
      </c>
      <c r="C22" s="107">
        <v>6950713</v>
      </c>
      <c r="D22" s="107"/>
      <c r="E22" s="107"/>
      <c r="F22" s="107"/>
      <c r="G22" s="99">
        <f t="shared" si="11"/>
        <v>347535.65</v>
      </c>
      <c r="H22" s="107"/>
      <c r="I22" s="107"/>
      <c r="J22" s="107"/>
      <c r="K22" s="107">
        <f t="shared" si="5"/>
        <v>3287</v>
      </c>
      <c r="L22" s="99">
        <f t="shared" si="6"/>
        <v>9.0054794520547947</v>
      </c>
      <c r="M22" s="99">
        <v>2972473.5717679337</v>
      </c>
      <c r="N22" s="100">
        <f t="shared" si="7"/>
        <v>3978239.4282320663</v>
      </c>
      <c r="O22" s="122">
        <f t="shared" si="12"/>
        <v>10.994520547945205</v>
      </c>
      <c r="P22" s="99">
        <f t="shared" si="8"/>
        <v>3630703.7782320664</v>
      </c>
      <c r="Q22" s="100">
        <f t="shared" si="9"/>
        <v>330228.4772127347</v>
      </c>
      <c r="R22" s="100">
        <f t="shared" si="10"/>
        <v>3648010.9510193318</v>
      </c>
    </row>
    <row r="23" spans="1:18">
      <c r="A23" s="107" t="s">
        <v>67</v>
      </c>
      <c r="B23" s="105">
        <v>39539</v>
      </c>
      <c r="C23" s="107">
        <v>724870</v>
      </c>
      <c r="D23" s="107"/>
      <c r="E23" s="107"/>
      <c r="F23" s="107"/>
      <c r="G23" s="99">
        <f t="shared" si="11"/>
        <v>36243.5</v>
      </c>
      <c r="H23" s="107"/>
      <c r="I23" s="107"/>
      <c r="J23" s="107"/>
      <c r="K23" s="107">
        <f t="shared" si="5"/>
        <v>3651</v>
      </c>
      <c r="L23" s="99">
        <f t="shared" si="6"/>
        <v>10.002739726027396</v>
      </c>
      <c r="M23" s="99">
        <v>344328.97565654258</v>
      </c>
      <c r="N23" s="100">
        <f t="shared" si="7"/>
        <v>380541.02434345742</v>
      </c>
      <c r="O23" s="122">
        <f t="shared" si="12"/>
        <v>9.9972602739726035</v>
      </c>
      <c r="P23" s="99">
        <f t="shared" si="8"/>
        <v>344297.52434345742</v>
      </c>
      <c r="Q23" s="100">
        <f t="shared" si="9"/>
        <v>34439.187828271293</v>
      </c>
      <c r="R23" s="100">
        <f t="shared" si="10"/>
        <v>346101.83651518612</v>
      </c>
    </row>
    <row r="24" spans="1:18">
      <c r="A24" s="107" t="s">
        <v>67</v>
      </c>
      <c r="B24" s="105">
        <v>39903</v>
      </c>
      <c r="C24" s="107">
        <v>300714</v>
      </c>
      <c r="D24" s="107"/>
      <c r="E24" s="107"/>
      <c r="F24" s="107"/>
      <c r="G24" s="99">
        <f t="shared" si="11"/>
        <v>15035.7</v>
      </c>
      <c r="H24" s="107"/>
      <c r="I24" s="107"/>
      <c r="J24" s="107"/>
      <c r="K24" s="107">
        <f t="shared" si="5"/>
        <v>3287</v>
      </c>
      <c r="L24" s="99">
        <f t="shared" si="6"/>
        <v>9.0054794520547947</v>
      </c>
      <c r="M24" s="99">
        <v>128600.39216992888</v>
      </c>
      <c r="N24" s="100">
        <f t="shared" si="7"/>
        <v>172113.60783007112</v>
      </c>
      <c r="O24" s="122">
        <f t="shared" si="12"/>
        <v>10.994520547945205</v>
      </c>
      <c r="P24" s="99">
        <f t="shared" si="8"/>
        <v>157077.90783007111</v>
      </c>
      <c r="Q24" s="100">
        <f t="shared" si="9"/>
        <v>14286.926578115115</v>
      </c>
      <c r="R24" s="100">
        <f t="shared" si="10"/>
        <v>157826.681251956</v>
      </c>
    </row>
    <row r="25" spans="1:18">
      <c r="A25" s="107" t="s">
        <v>68</v>
      </c>
      <c r="B25" s="105">
        <v>39539</v>
      </c>
      <c r="C25" s="107">
        <v>1505200</v>
      </c>
      <c r="D25" s="107"/>
      <c r="E25" s="107"/>
      <c r="F25" s="107"/>
      <c r="G25" s="99">
        <f t="shared" si="11"/>
        <v>75260</v>
      </c>
      <c r="H25" s="107"/>
      <c r="I25" s="107"/>
      <c r="J25" s="107"/>
      <c r="K25" s="107">
        <f t="shared" si="5"/>
        <v>3651</v>
      </c>
      <c r="L25" s="99">
        <f t="shared" si="6"/>
        <v>10.002739726027396</v>
      </c>
      <c r="M25" s="99">
        <v>715002.65448732581</v>
      </c>
      <c r="N25" s="100">
        <f t="shared" si="7"/>
        <v>790197.34551267419</v>
      </c>
      <c r="O25" s="122">
        <f t="shared" si="12"/>
        <v>9.9972602739726035</v>
      </c>
      <c r="P25" s="99">
        <f t="shared" si="8"/>
        <v>714937.34551267419</v>
      </c>
      <c r="Q25" s="100">
        <f t="shared" si="9"/>
        <v>71513.327243662934</v>
      </c>
      <c r="R25" s="100">
        <f t="shared" si="10"/>
        <v>718684.01826901129</v>
      </c>
    </row>
    <row r="26" spans="1:18">
      <c r="A26" s="107" t="s">
        <v>68</v>
      </c>
      <c r="B26" s="105">
        <v>39903</v>
      </c>
      <c r="C26" s="107">
        <v>624436</v>
      </c>
      <c r="D26" s="107"/>
      <c r="E26" s="107"/>
      <c r="F26" s="107"/>
      <c r="G26" s="99">
        <f t="shared" si="11"/>
        <v>31221.800000000003</v>
      </c>
      <c r="H26" s="107"/>
      <c r="I26" s="107"/>
      <c r="J26" s="107"/>
      <c r="K26" s="107">
        <f t="shared" si="5"/>
        <v>3287</v>
      </c>
      <c r="L26" s="99">
        <f t="shared" si="6"/>
        <v>9.0054794520547947</v>
      </c>
      <c r="M26" s="99">
        <v>267040.15937076992</v>
      </c>
      <c r="N26" s="100">
        <f t="shared" si="7"/>
        <v>357395.84062923008</v>
      </c>
      <c r="O26" s="122">
        <f t="shared" si="12"/>
        <v>10.994520547945205</v>
      </c>
      <c r="P26" s="99">
        <f t="shared" si="8"/>
        <v>326174.04062923009</v>
      </c>
      <c r="Q26" s="100">
        <f t="shared" si="9"/>
        <v>29666.963575795911</v>
      </c>
      <c r="R26" s="100">
        <f t="shared" si="10"/>
        <v>327728.87705343415</v>
      </c>
    </row>
    <row r="27" spans="1:18">
      <c r="A27" s="107" t="s">
        <v>69</v>
      </c>
      <c r="B27" s="105">
        <v>39539</v>
      </c>
      <c r="C27" s="107">
        <v>10624508</v>
      </c>
      <c r="D27" s="107"/>
      <c r="E27" s="107"/>
      <c r="F27" s="107"/>
      <c r="G27" s="99">
        <f t="shared" si="11"/>
        <v>531225.4</v>
      </c>
      <c r="H27" s="107"/>
      <c r="I27" s="107"/>
      <c r="J27" s="107"/>
      <c r="K27" s="107">
        <f t="shared" si="5"/>
        <v>3651</v>
      </c>
      <c r="L27" s="99">
        <f t="shared" si="6"/>
        <v>10.002739726027396</v>
      </c>
      <c r="M27" s="99">
        <v>5046871.7928659515</v>
      </c>
      <c r="N27" s="100">
        <f t="shared" si="7"/>
        <v>5577636.2071340485</v>
      </c>
      <c r="O27" s="122">
        <f t="shared" si="12"/>
        <v>9.9972602739726035</v>
      </c>
      <c r="P27" s="99">
        <f t="shared" si="8"/>
        <v>5046410.8071340481</v>
      </c>
      <c r="Q27" s="100">
        <f t="shared" si="9"/>
        <v>504779.37643297546</v>
      </c>
      <c r="R27" s="100">
        <f t="shared" si="10"/>
        <v>5072856.8307010727</v>
      </c>
    </row>
    <row r="28" spans="1:18">
      <c r="A28" s="107" t="s">
        <v>69</v>
      </c>
      <c r="B28" s="105">
        <v>39609</v>
      </c>
      <c r="C28" s="107">
        <v>1572177</v>
      </c>
      <c r="D28" s="107"/>
      <c r="E28" s="107"/>
      <c r="F28" s="107"/>
      <c r="G28" s="99">
        <f t="shared" si="11"/>
        <v>78608.850000000006</v>
      </c>
      <c r="H28" s="107"/>
      <c r="I28" s="107"/>
      <c r="J28" s="107"/>
      <c r="K28" s="107">
        <f t="shared" si="5"/>
        <v>3581</v>
      </c>
      <c r="L28" s="99">
        <f t="shared" si="6"/>
        <v>9.8109589041095884</v>
      </c>
      <c r="M28" s="99">
        <v>732495.75950336689</v>
      </c>
      <c r="N28" s="100">
        <f t="shared" si="7"/>
        <v>839681.24049663311</v>
      </c>
      <c r="O28" s="122">
        <f t="shared" si="12"/>
        <v>10.189041095890412</v>
      </c>
      <c r="P28" s="99">
        <f t="shared" si="8"/>
        <v>761072.39049663313</v>
      </c>
      <c r="Q28" s="100">
        <f t="shared" si="9"/>
        <v>74695.192936614971</v>
      </c>
      <c r="R28" s="100">
        <f t="shared" si="10"/>
        <v>764986.04756001814</v>
      </c>
    </row>
    <row r="29" spans="1:18">
      <c r="A29" s="107" t="s">
        <v>69</v>
      </c>
      <c r="B29" s="105">
        <v>39903</v>
      </c>
      <c r="C29" s="107">
        <v>5059823</v>
      </c>
      <c r="D29" s="107"/>
      <c r="E29" s="107"/>
      <c r="F29" s="107"/>
      <c r="G29" s="99">
        <f t="shared" si="11"/>
        <v>252991.15000000002</v>
      </c>
      <c r="H29" s="107"/>
      <c r="I29" s="107"/>
      <c r="J29" s="107"/>
      <c r="K29" s="107">
        <f t="shared" si="5"/>
        <v>3287</v>
      </c>
      <c r="L29" s="99">
        <f t="shared" si="6"/>
        <v>9.0054794520547947</v>
      </c>
      <c r="M29" s="99">
        <v>2163834.1484281607</v>
      </c>
      <c r="N29" s="100">
        <f t="shared" si="7"/>
        <v>2895988.8515718393</v>
      </c>
      <c r="O29" s="122">
        <f t="shared" si="12"/>
        <v>10.994520547945205</v>
      </c>
      <c r="P29" s="99">
        <f t="shared" si="8"/>
        <v>2642997.7015718394</v>
      </c>
      <c r="Q29" s="100">
        <f t="shared" si="9"/>
        <v>240392.26540586131</v>
      </c>
      <c r="R29" s="100">
        <f t="shared" si="10"/>
        <v>2655596.5861659781</v>
      </c>
    </row>
    <row r="30" spans="1:18">
      <c r="A30" s="107" t="s">
        <v>70</v>
      </c>
      <c r="B30" s="105">
        <v>39539</v>
      </c>
      <c r="C30" s="107">
        <v>10789</v>
      </c>
      <c r="D30" s="107"/>
      <c r="E30" s="107"/>
      <c r="F30" s="107"/>
      <c r="G30" s="99">
        <f t="shared" si="11"/>
        <v>539.45000000000005</v>
      </c>
      <c r="H30" s="107"/>
      <c r="I30" s="107"/>
      <c r="J30" s="107"/>
      <c r="K30" s="107">
        <f t="shared" si="5"/>
        <v>3651</v>
      </c>
      <c r="L30" s="99">
        <f t="shared" si="6"/>
        <v>10.002739726027396</v>
      </c>
      <c r="M30" s="99">
        <v>5125.0090614295495</v>
      </c>
      <c r="N30" s="100">
        <f t="shared" si="7"/>
        <v>5663.9909385704505</v>
      </c>
      <c r="O30" s="122">
        <f t="shared" si="12"/>
        <v>9.9972602739726035</v>
      </c>
      <c r="P30" s="99">
        <f t="shared" si="8"/>
        <v>5124.5409385704506</v>
      </c>
      <c r="Q30" s="100">
        <f t="shared" si="9"/>
        <v>512.59453071477515</v>
      </c>
      <c r="R30" s="100">
        <f t="shared" si="10"/>
        <v>5151.3964078556755</v>
      </c>
    </row>
    <row r="31" spans="1:18">
      <c r="A31" s="107" t="s">
        <v>70</v>
      </c>
      <c r="B31" s="105">
        <v>39903</v>
      </c>
      <c r="C31" s="107">
        <v>4476</v>
      </c>
      <c r="D31" s="107"/>
      <c r="E31" s="107"/>
      <c r="F31" s="107"/>
      <c r="G31" s="99">
        <f t="shared" si="11"/>
        <v>223.8</v>
      </c>
      <c r="H31" s="107"/>
      <c r="I31" s="107"/>
      <c r="J31" s="107"/>
      <c r="K31" s="107">
        <f t="shared" si="5"/>
        <v>3287</v>
      </c>
      <c r="L31" s="99">
        <f t="shared" si="6"/>
        <v>9.0054794520547947</v>
      </c>
      <c r="M31" s="99">
        <v>1914.1621452695972</v>
      </c>
      <c r="N31" s="100">
        <f t="shared" si="7"/>
        <v>2561.8378547304028</v>
      </c>
      <c r="O31" s="122">
        <f t="shared" si="12"/>
        <v>10.994520547945205</v>
      </c>
      <c r="P31" s="99">
        <f t="shared" si="8"/>
        <v>2338.0378547304026</v>
      </c>
      <c r="Q31" s="100">
        <f t="shared" si="9"/>
        <v>212.65482605945601</v>
      </c>
      <c r="R31" s="100">
        <f t="shared" si="10"/>
        <v>2349.1830286709469</v>
      </c>
    </row>
    <row r="32" spans="1:18">
      <c r="A32" s="107" t="s">
        <v>71</v>
      </c>
      <c r="B32" s="105">
        <v>39539</v>
      </c>
      <c r="C32" s="107">
        <v>13027510</v>
      </c>
      <c r="D32" s="107"/>
      <c r="E32" s="107"/>
      <c r="F32" s="107"/>
      <c r="G32" s="99">
        <f t="shared" si="11"/>
        <v>651375.5</v>
      </c>
      <c r="H32" s="107"/>
      <c r="I32" s="107"/>
      <c r="J32" s="107"/>
      <c r="K32" s="107">
        <f t="shared" si="5"/>
        <v>3651</v>
      </c>
      <c r="L32" s="99">
        <f t="shared" si="6"/>
        <v>10.002739726027396</v>
      </c>
      <c r="M32" s="99">
        <v>6188349.8746745829</v>
      </c>
      <c r="N32" s="100">
        <f t="shared" si="7"/>
        <v>6839160.1253254171</v>
      </c>
      <c r="O32" s="122">
        <f t="shared" si="12"/>
        <v>9.9972602739726035</v>
      </c>
      <c r="P32" s="99">
        <f t="shared" si="8"/>
        <v>6187784.6253254171</v>
      </c>
      <c r="Q32" s="100">
        <f t="shared" si="9"/>
        <v>618948.03733729164</v>
      </c>
      <c r="R32" s="100">
        <f t="shared" si="10"/>
        <v>6220212.0879881252</v>
      </c>
    </row>
    <row r="33" spans="1:18">
      <c r="A33" s="107" t="s">
        <v>71</v>
      </c>
      <c r="B33" s="105">
        <v>39903</v>
      </c>
      <c r="C33" s="107">
        <v>5823479</v>
      </c>
      <c r="D33" s="107"/>
      <c r="E33" s="107"/>
      <c r="F33" s="107"/>
      <c r="G33" s="99">
        <f t="shared" si="11"/>
        <v>291173.95</v>
      </c>
      <c r="H33" s="107"/>
      <c r="I33" s="107"/>
      <c r="J33" s="107"/>
      <c r="K33" s="107">
        <f t="shared" si="5"/>
        <v>3287</v>
      </c>
      <c r="L33" s="99">
        <f t="shared" si="6"/>
        <v>9.0054794520547947</v>
      </c>
      <c r="M33" s="99">
        <v>2490411.7639795458</v>
      </c>
      <c r="N33" s="100">
        <f t="shared" si="7"/>
        <v>3333067.2360204542</v>
      </c>
      <c r="O33" s="122">
        <f t="shared" si="12"/>
        <v>10.994520547945205</v>
      </c>
      <c r="P33" s="99">
        <f t="shared" si="8"/>
        <v>3041893.286020454</v>
      </c>
      <c r="Q33" s="100">
        <f t="shared" si="9"/>
        <v>276673.57323634828</v>
      </c>
      <c r="R33" s="100">
        <f t="shared" si="10"/>
        <v>3056393.6627841061</v>
      </c>
    </row>
    <row r="34" spans="1:18">
      <c r="A34" s="107" t="s">
        <v>72</v>
      </c>
      <c r="B34" s="105">
        <v>39539</v>
      </c>
      <c r="C34" s="107">
        <v>756090</v>
      </c>
      <c r="D34" s="107"/>
      <c r="E34" s="107"/>
      <c r="F34" s="107"/>
      <c r="G34" s="99">
        <f t="shared" si="11"/>
        <v>37804.5</v>
      </c>
      <c r="H34" s="107"/>
      <c r="I34" s="107"/>
      <c r="J34" s="107">
        <f>J33+J29+J25</f>
        <v>0</v>
      </c>
      <c r="K34" s="107">
        <f t="shared" si="5"/>
        <v>3651</v>
      </c>
      <c r="L34" s="99">
        <f t="shared" si="6"/>
        <v>10.002739726027396</v>
      </c>
      <c r="M34" s="99">
        <v>359159.15295729623</v>
      </c>
      <c r="N34" s="100">
        <f t="shared" si="7"/>
        <v>396930.84704270377</v>
      </c>
      <c r="O34" s="122">
        <f t="shared" si="12"/>
        <v>9.9972602739726035</v>
      </c>
      <c r="P34" s="99">
        <f t="shared" si="8"/>
        <v>359126.34704270377</v>
      </c>
      <c r="Q34" s="100">
        <f t="shared" si="9"/>
        <v>35922.476478648088</v>
      </c>
      <c r="R34" s="100">
        <f t="shared" si="10"/>
        <v>361008.37056405569</v>
      </c>
    </row>
    <row r="35" spans="1:18">
      <c r="A35" s="107" t="s">
        <v>72</v>
      </c>
      <c r="B35" s="105">
        <v>39903</v>
      </c>
      <c r="C35" s="107">
        <v>313666</v>
      </c>
      <c r="D35" s="107"/>
      <c r="E35" s="107"/>
      <c r="F35" s="107"/>
      <c r="G35" s="99">
        <f t="shared" si="11"/>
        <v>15683.300000000001</v>
      </c>
      <c r="H35" s="107"/>
      <c r="I35" s="107"/>
      <c r="J35" s="107"/>
      <c r="K35" s="107">
        <f t="shared" si="5"/>
        <v>3287</v>
      </c>
      <c r="L35" s="99">
        <f t="shared" si="6"/>
        <v>9.0054794520547947</v>
      </c>
      <c r="M35" s="99">
        <v>134139.31712648203</v>
      </c>
      <c r="N35" s="100">
        <f t="shared" si="7"/>
        <v>179526.68287351797</v>
      </c>
      <c r="O35" s="122">
        <f t="shared" si="12"/>
        <v>10.994520547945205</v>
      </c>
      <c r="P35" s="99">
        <f t="shared" si="8"/>
        <v>163843.38287351798</v>
      </c>
      <c r="Q35" s="100">
        <f t="shared" si="9"/>
        <v>14902.276289268395</v>
      </c>
      <c r="R35" s="100">
        <f t="shared" si="10"/>
        <v>164624.40658424958</v>
      </c>
    </row>
    <row r="36" spans="1:18">
      <c r="A36" s="107" t="s">
        <v>73</v>
      </c>
      <c r="B36" s="105">
        <v>39539</v>
      </c>
      <c r="C36" s="107">
        <v>175900</v>
      </c>
      <c r="D36" s="107"/>
      <c r="E36" s="107"/>
      <c r="F36" s="107"/>
      <c r="G36" s="99">
        <f t="shared" si="11"/>
        <v>8795</v>
      </c>
      <c r="H36" s="107"/>
      <c r="I36" s="107"/>
      <c r="J36" s="107"/>
      <c r="K36" s="107">
        <f t="shared" si="5"/>
        <v>3651</v>
      </c>
      <c r="L36" s="99">
        <f t="shared" si="6"/>
        <v>10.002739726027396</v>
      </c>
      <c r="M36" s="99">
        <v>83556.316053893592</v>
      </c>
      <c r="N36" s="100">
        <f t="shared" si="7"/>
        <v>92343.683946106408</v>
      </c>
      <c r="O36" s="122">
        <f t="shared" si="12"/>
        <v>9.9972602739726035</v>
      </c>
      <c r="P36" s="99">
        <f t="shared" si="8"/>
        <v>83548.683946106408</v>
      </c>
      <c r="Q36" s="100">
        <f t="shared" si="9"/>
        <v>8357.1580269467904</v>
      </c>
      <c r="R36" s="100">
        <f t="shared" si="10"/>
        <v>83986.525919159612</v>
      </c>
    </row>
    <row r="37" spans="1:18">
      <c r="A37" s="107" t="s">
        <v>73</v>
      </c>
      <c r="B37" s="105">
        <v>39903</v>
      </c>
      <c r="C37" s="107">
        <v>1125057</v>
      </c>
      <c r="D37" s="107"/>
      <c r="E37" s="107"/>
      <c r="F37" s="107"/>
      <c r="G37" s="99">
        <f t="shared" si="11"/>
        <v>56252.850000000006</v>
      </c>
      <c r="H37" s="107"/>
      <c r="I37" s="107"/>
      <c r="J37" s="107"/>
      <c r="K37" s="107">
        <f t="shared" si="5"/>
        <v>3287</v>
      </c>
      <c r="L37" s="99">
        <f t="shared" si="6"/>
        <v>9.0054794520547947</v>
      </c>
      <c r="M37" s="99">
        <v>481130.81337591086</v>
      </c>
      <c r="N37" s="100">
        <f t="shared" si="7"/>
        <v>643926.18662408914</v>
      </c>
      <c r="O37" s="122">
        <f t="shared" si="12"/>
        <v>10.994520547945205</v>
      </c>
      <c r="P37" s="99">
        <f t="shared" si="8"/>
        <v>587673.33662408916</v>
      </c>
      <c r="Q37" s="100">
        <f t="shared" si="9"/>
        <v>53451.474674256802</v>
      </c>
      <c r="R37" s="100">
        <f t="shared" si="10"/>
        <v>590474.71194983239</v>
      </c>
    </row>
    <row r="38" spans="1:18">
      <c r="A38" s="107" t="s">
        <v>74</v>
      </c>
      <c r="B38" s="105">
        <v>39539</v>
      </c>
      <c r="C38" s="107">
        <v>242000</v>
      </c>
      <c r="D38" s="107"/>
      <c r="E38" s="107"/>
      <c r="F38" s="107"/>
      <c r="G38" s="99">
        <f t="shared" si="11"/>
        <v>12100</v>
      </c>
      <c r="H38" s="107"/>
      <c r="I38" s="107"/>
      <c r="J38" s="107"/>
      <c r="K38" s="107">
        <f t="shared" si="5"/>
        <v>3651</v>
      </c>
      <c r="L38" s="99">
        <f t="shared" si="6"/>
        <v>10.002739726027396</v>
      </c>
      <c r="M38" s="99">
        <v>114955.25005709066</v>
      </c>
      <c r="N38" s="100">
        <f t="shared" si="7"/>
        <v>127044.74994290934</v>
      </c>
      <c r="O38" s="122">
        <f t="shared" si="12"/>
        <v>9.9972602739726035</v>
      </c>
      <c r="P38" s="99">
        <f t="shared" si="8"/>
        <v>114944.74994290934</v>
      </c>
      <c r="Q38" s="100">
        <f t="shared" si="9"/>
        <v>11497.62502854533</v>
      </c>
      <c r="R38" s="100">
        <f t="shared" si="10"/>
        <v>115547.12491436402</v>
      </c>
    </row>
    <row r="39" spans="1:18">
      <c r="A39" s="107" t="s">
        <v>74</v>
      </c>
      <c r="B39" s="105">
        <v>39903</v>
      </c>
      <c r="C39" s="107">
        <v>100394</v>
      </c>
      <c r="D39" s="107"/>
      <c r="E39" s="107"/>
      <c r="F39" s="107"/>
      <c r="G39" s="99">
        <f t="shared" si="11"/>
        <v>5019.7000000000007</v>
      </c>
      <c r="H39" s="107"/>
      <c r="I39" s="107"/>
      <c r="J39" s="107"/>
      <c r="K39" s="107">
        <f t="shared" si="5"/>
        <v>3287</v>
      </c>
      <c r="L39" s="99">
        <f t="shared" si="6"/>
        <v>9.0054794520547947</v>
      </c>
      <c r="M39" s="99">
        <v>42933.510815950838</v>
      </c>
      <c r="N39" s="100">
        <f t="shared" si="7"/>
        <v>57460.489184049162</v>
      </c>
      <c r="O39" s="122">
        <f t="shared" si="12"/>
        <v>10.994520547945205</v>
      </c>
      <c r="P39" s="99">
        <f t="shared" si="8"/>
        <v>52440.789184049165</v>
      </c>
      <c r="Q39" s="100">
        <f t="shared" si="9"/>
        <v>4769.7204216740456</v>
      </c>
      <c r="R39" s="100">
        <f t="shared" si="10"/>
        <v>52690.768762375119</v>
      </c>
    </row>
    <row r="40" spans="1:18">
      <c r="A40" s="107" t="s">
        <v>75</v>
      </c>
      <c r="B40" s="105">
        <v>39539</v>
      </c>
      <c r="C40" s="107">
        <v>1330972</v>
      </c>
      <c r="D40" s="107"/>
      <c r="E40" s="107"/>
      <c r="F40" s="107"/>
      <c r="G40" s="99">
        <f t="shared" si="11"/>
        <v>66548.600000000006</v>
      </c>
      <c r="H40" s="107"/>
      <c r="I40" s="107"/>
      <c r="J40" s="107"/>
      <c r="K40" s="107">
        <f t="shared" si="5"/>
        <v>3651</v>
      </c>
      <c r="L40" s="99">
        <f t="shared" si="6"/>
        <v>10.002739726027396</v>
      </c>
      <c r="M40" s="99">
        <v>632240.57470655418</v>
      </c>
      <c r="N40" s="100">
        <f t="shared" si="7"/>
        <v>698731.42529344582</v>
      </c>
      <c r="O40" s="122">
        <f t="shared" si="12"/>
        <v>9.9972602739726035</v>
      </c>
      <c r="P40" s="99">
        <f t="shared" si="8"/>
        <v>632182.82529344584</v>
      </c>
      <c r="Q40" s="100">
        <f t="shared" si="9"/>
        <v>63235.607353276981</v>
      </c>
      <c r="R40" s="100">
        <f t="shared" si="10"/>
        <v>635495.81794016878</v>
      </c>
    </row>
    <row r="41" spans="1:18">
      <c r="A41" s="107" t="s">
        <v>75</v>
      </c>
      <c r="B41" s="105">
        <v>39903</v>
      </c>
      <c r="C41" s="107">
        <v>552157</v>
      </c>
      <c r="D41" s="107"/>
      <c r="E41" s="107"/>
      <c r="F41" s="107"/>
      <c r="G41" s="99">
        <f t="shared" si="11"/>
        <v>27607.850000000002</v>
      </c>
      <c r="H41" s="107"/>
      <c r="I41" s="107"/>
      <c r="J41" s="107"/>
      <c r="K41" s="107">
        <f t="shared" si="5"/>
        <v>3287</v>
      </c>
      <c r="L41" s="99">
        <f t="shared" si="6"/>
        <v>9.0054794520547947</v>
      </c>
      <c r="M41" s="99">
        <v>236130.03298606456</v>
      </c>
      <c r="N41" s="100">
        <f t="shared" si="7"/>
        <v>316026.96701393544</v>
      </c>
      <c r="O41" s="122">
        <f t="shared" si="12"/>
        <v>10.994520547945205</v>
      </c>
      <c r="P41" s="99">
        <f t="shared" si="8"/>
        <v>288419.11701393547</v>
      </c>
      <c r="Q41" s="100">
        <f t="shared" si="9"/>
        <v>26232.987219059669</v>
      </c>
      <c r="R41" s="100">
        <f t="shared" si="10"/>
        <v>289793.97979487578</v>
      </c>
    </row>
    <row r="42" spans="1:18">
      <c r="A42" s="107" t="s">
        <v>76</v>
      </c>
      <c r="B42" s="105">
        <v>39539</v>
      </c>
      <c r="C42" s="107">
        <v>251594</v>
      </c>
      <c r="D42" s="107"/>
      <c r="E42" s="107"/>
      <c r="F42" s="107"/>
      <c r="G42" s="99">
        <f t="shared" si="11"/>
        <v>12579.7</v>
      </c>
      <c r="H42" s="107"/>
      <c r="I42" s="107"/>
      <c r="J42" s="107"/>
      <c r="K42" s="107">
        <f t="shared" si="5"/>
        <v>3651</v>
      </c>
      <c r="L42" s="99">
        <f t="shared" si="6"/>
        <v>10.002739726027396</v>
      </c>
      <c r="M42" s="99">
        <v>119512.60819365151</v>
      </c>
      <c r="N42" s="100">
        <f t="shared" si="7"/>
        <v>132081.39180634849</v>
      </c>
      <c r="O42" s="122">
        <f t="shared" si="12"/>
        <v>9.9972602739726035</v>
      </c>
      <c r="P42" s="99">
        <f t="shared" si="8"/>
        <v>119501.69180634849</v>
      </c>
      <c r="Q42" s="100">
        <f t="shared" si="9"/>
        <v>11953.444096825759</v>
      </c>
      <c r="R42" s="100">
        <f t="shared" si="10"/>
        <v>120127.94770952273</v>
      </c>
    </row>
    <row r="43" spans="1:18">
      <c r="A43" s="107" t="s">
        <v>76</v>
      </c>
      <c r="B43" s="105">
        <v>39539</v>
      </c>
      <c r="C43" s="107">
        <v>69317</v>
      </c>
      <c r="D43" s="107"/>
      <c r="E43" s="107"/>
      <c r="F43" s="107"/>
      <c r="G43" s="99">
        <f t="shared" si="11"/>
        <v>3465.8500000000004</v>
      </c>
      <c r="H43" s="107"/>
      <c r="I43" s="107"/>
      <c r="J43" s="107"/>
      <c r="K43" s="107">
        <f t="shared" si="5"/>
        <v>3651</v>
      </c>
      <c r="L43" s="99">
        <f t="shared" si="6"/>
        <v>10.002739726027396</v>
      </c>
      <c r="M43" s="99">
        <v>32927.078794245266</v>
      </c>
      <c r="N43" s="100">
        <f t="shared" si="7"/>
        <v>36389.921205754734</v>
      </c>
      <c r="O43" s="122">
        <f t="shared" si="12"/>
        <v>9.9972602739726035</v>
      </c>
      <c r="P43" s="99">
        <f t="shared" si="8"/>
        <v>32924.071205754735</v>
      </c>
      <c r="Q43" s="100">
        <f t="shared" si="9"/>
        <v>3293.3093971226303</v>
      </c>
      <c r="R43" s="100">
        <f t="shared" si="10"/>
        <v>33096.6118086321</v>
      </c>
    </row>
    <row r="44" spans="1:18">
      <c r="A44" s="107" t="s">
        <v>77</v>
      </c>
      <c r="B44" s="105">
        <v>39539</v>
      </c>
      <c r="C44" s="107">
        <v>2637196</v>
      </c>
      <c r="D44" s="107"/>
      <c r="E44" s="107"/>
      <c r="F44" s="107"/>
      <c r="G44" s="99">
        <f t="shared" si="11"/>
        <v>131859.80000000002</v>
      </c>
      <c r="H44" s="107"/>
      <c r="I44" s="107"/>
      <c r="J44" s="107"/>
      <c r="K44" s="107">
        <f t="shared" si="5"/>
        <v>3651</v>
      </c>
      <c r="L44" s="99">
        <f t="shared" si="6"/>
        <v>10.002739726027396</v>
      </c>
      <c r="M44" s="99">
        <v>1252725.3125188397</v>
      </c>
      <c r="N44" s="100">
        <f t="shared" si="7"/>
        <v>1384470.6874811603</v>
      </c>
      <c r="O44" s="122">
        <f t="shared" si="12"/>
        <v>9.9972602739726035</v>
      </c>
      <c r="P44" s="99">
        <f t="shared" si="8"/>
        <v>1252610.8874811602</v>
      </c>
      <c r="Q44" s="100">
        <f t="shared" si="9"/>
        <v>125295.41625941996</v>
      </c>
      <c r="R44" s="100">
        <f t="shared" si="10"/>
        <v>1259175.2712217404</v>
      </c>
    </row>
    <row r="45" spans="1:18">
      <c r="A45" s="107" t="s">
        <v>77</v>
      </c>
      <c r="B45" s="105">
        <v>39609</v>
      </c>
      <c r="C45" s="107">
        <f>1494084+7304</f>
        <v>1501388</v>
      </c>
      <c r="D45" s="107"/>
      <c r="E45" s="107"/>
      <c r="F45" s="107"/>
      <c r="G45" s="99">
        <f t="shared" si="11"/>
        <v>75069.400000000009</v>
      </c>
      <c r="H45" s="107"/>
      <c r="I45" s="107"/>
      <c r="J45" s="107"/>
      <c r="K45" s="107">
        <f t="shared" si="5"/>
        <v>3581</v>
      </c>
      <c r="L45" s="99">
        <f t="shared" si="6"/>
        <v>9.8109589041095884</v>
      </c>
      <c r="M45" s="99">
        <v>699514.3316364768</v>
      </c>
      <c r="N45" s="100">
        <f t="shared" si="7"/>
        <v>801873.6683635232</v>
      </c>
      <c r="O45" s="122">
        <f t="shared" si="12"/>
        <v>10.189041095890412</v>
      </c>
      <c r="P45" s="99">
        <f t="shared" si="8"/>
        <v>726804.26836352318</v>
      </c>
      <c r="Q45" s="100">
        <f t="shared" si="9"/>
        <v>71331.959653854778</v>
      </c>
      <c r="R45" s="100">
        <f t="shared" si="10"/>
        <v>730541.70870966837</v>
      </c>
    </row>
    <row r="46" spans="1:18">
      <c r="A46" s="107" t="s">
        <v>77</v>
      </c>
      <c r="B46" s="105">
        <v>39621</v>
      </c>
      <c r="C46" s="107">
        <v>132000</v>
      </c>
      <c r="D46" s="107"/>
      <c r="E46" s="107"/>
      <c r="F46" s="107"/>
      <c r="G46" s="99">
        <f t="shared" si="11"/>
        <v>6600</v>
      </c>
      <c r="H46" s="107"/>
      <c r="I46" s="107"/>
      <c r="J46" s="107"/>
      <c r="K46" s="107">
        <f t="shared" si="5"/>
        <v>3569</v>
      </c>
      <c r="L46" s="99">
        <f t="shared" si="6"/>
        <v>9.7780821917808218</v>
      </c>
      <c r="M46" s="99">
        <v>61294.208289191258</v>
      </c>
      <c r="N46" s="100">
        <f t="shared" si="7"/>
        <v>70705.791710808742</v>
      </c>
      <c r="O46" s="122">
        <f t="shared" si="12"/>
        <v>10.221917808219178</v>
      </c>
      <c r="P46" s="99">
        <f t="shared" si="8"/>
        <v>64105.791710808742</v>
      </c>
      <c r="Q46" s="100">
        <f t="shared" si="9"/>
        <v>6271.4055144586409</v>
      </c>
      <c r="R46" s="100">
        <f t="shared" si="10"/>
        <v>64434.386196350104</v>
      </c>
    </row>
    <row r="47" spans="1:18">
      <c r="A47" s="107" t="s">
        <v>77</v>
      </c>
      <c r="B47" s="105">
        <v>39903</v>
      </c>
      <c r="C47" s="107">
        <v>1771662</v>
      </c>
      <c r="D47" s="107"/>
      <c r="E47" s="107"/>
      <c r="F47" s="107"/>
      <c r="G47" s="99">
        <f t="shared" si="11"/>
        <v>88583.1</v>
      </c>
      <c r="H47" s="107"/>
      <c r="I47" s="107"/>
      <c r="J47" s="107"/>
      <c r="K47" s="107">
        <f t="shared" si="5"/>
        <v>3287</v>
      </c>
      <c r="L47" s="99">
        <f t="shared" si="6"/>
        <v>9.0054794520547947</v>
      </c>
      <c r="M47" s="99">
        <v>757651.5492878966</v>
      </c>
      <c r="N47" s="100">
        <f t="shared" si="7"/>
        <v>1014010.4507121034</v>
      </c>
      <c r="O47" s="122">
        <f t="shared" si="12"/>
        <v>10.994520547945205</v>
      </c>
      <c r="P47" s="99">
        <f t="shared" si="8"/>
        <v>925427.35071210342</v>
      </c>
      <c r="Q47" s="100">
        <f t="shared" si="9"/>
        <v>84171.687767235926</v>
      </c>
      <c r="R47" s="100">
        <f t="shared" si="10"/>
        <v>929838.76294486749</v>
      </c>
    </row>
    <row r="48" spans="1:18">
      <c r="A48" s="107" t="s">
        <v>78</v>
      </c>
      <c r="B48" s="105">
        <v>39539</v>
      </c>
      <c r="C48" s="107">
        <v>309350</v>
      </c>
      <c r="D48" s="107"/>
      <c r="E48" s="107"/>
      <c r="F48" s="107"/>
      <c r="G48" s="99">
        <f t="shared" si="11"/>
        <v>15467.5</v>
      </c>
      <c r="H48" s="107"/>
      <c r="I48" s="107"/>
      <c r="J48" s="107"/>
      <c r="K48" s="107">
        <f t="shared" si="5"/>
        <v>3651</v>
      </c>
      <c r="L48" s="99">
        <f t="shared" si="6"/>
        <v>10.002739726027396</v>
      </c>
      <c r="M48" s="99">
        <v>146947.96117835119</v>
      </c>
      <c r="N48" s="100">
        <f t="shared" si="7"/>
        <v>162402.03882164881</v>
      </c>
      <c r="O48" s="122">
        <f t="shared" si="12"/>
        <v>9.9972602739726035</v>
      </c>
      <c r="P48" s="99">
        <f t="shared" si="8"/>
        <v>146934.53882164881</v>
      </c>
      <c r="Q48" s="100">
        <f t="shared" si="9"/>
        <v>14697.480589175613</v>
      </c>
      <c r="R48" s="100">
        <f t="shared" si="10"/>
        <v>147704.55823247318</v>
      </c>
    </row>
    <row r="49" spans="1:18">
      <c r="A49" s="107" t="s">
        <v>78</v>
      </c>
      <c r="B49" s="105">
        <v>39903</v>
      </c>
      <c r="C49" s="107">
        <v>128335</v>
      </c>
      <c r="D49" s="107"/>
      <c r="E49" s="107"/>
      <c r="F49" s="107"/>
      <c r="G49" s="99">
        <f t="shared" si="11"/>
        <v>6416.75</v>
      </c>
      <c r="H49" s="107"/>
      <c r="I49" s="107"/>
      <c r="J49" s="107"/>
      <c r="K49" s="107">
        <f t="shared" si="5"/>
        <v>3287</v>
      </c>
      <c r="L49" s="99">
        <f t="shared" si="6"/>
        <v>9.0054794520547947</v>
      </c>
      <c r="M49" s="99">
        <v>54882.484118224704</v>
      </c>
      <c r="N49" s="100">
        <f t="shared" si="7"/>
        <v>73452.515881775296</v>
      </c>
      <c r="O49" s="122">
        <f t="shared" si="12"/>
        <v>10.994520547945205</v>
      </c>
      <c r="P49" s="99">
        <f t="shared" si="8"/>
        <v>67035.765881775296</v>
      </c>
      <c r="Q49" s="100">
        <f t="shared" si="9"/>
        <v>6097.1977440438532</v>
      </c>
      <c r="R49" s="100">
        <f t="shared" si="10"/>
        <v>67355.318137731447</v>
      </c>
    </row>
    <row r="50" spans="1:18">
      <c r="A50" s="107" t="s">
        <v>79</v>
      </c>
      <c r="B50" s="105">
        <v>39539</v>
      </c>
      <c r="C50" s="107">
        <v>509548</v>
      </c>
      <c r="D50" s="107"/>
      <c r="E50" s="107"/>
      <c r="F50" s="107"/>
      <c r="G50" s="99">
        <f t="shared" si="11"/>
        <v>25477.4</v>
      </c>
      <c r="H50" s="107"/>
      <c r="I50" s="107"/>
      <c r="J50" s="107"/>
      <c r="K50" s="107">
        <f t="shared" si="5"/>
        <v>3651</v>
      </c>
      <c r="L50" s="99">
        <f t="shared" si="6"/>
        <v>10.002739726027396</v>
      </c>
      <c r="M50" s="99">
        <v>242046.35436401004</v>
      </c>
      <c r="N50" s="100">
        <f t="shared" si="7"/>
        <v>267501.64563598996</v>
      </c>
      <c r="O50" s="122">
        <f t="shared" si="12"/>
        <v>9.9972602739726035</v>
      </c>
      <c r="P50" s="99">
        <f t="shared" si="8"/>
        <v>242024.24563598997</v>
      </c>
      <c r="Q50" s="100">
        <f t="shared" si="9"/>
        <v>24209.057182005025</v>
      </c>
      <c r="R50" s="100">
        <f t="shared" si="10"/>
        <v>243292.58845398494</v>
      </c>
    </row>
    <row r="51" spans="1:18">
      <c r="A51" s="107" t="s">
        <v>79</v>
      </c>
      <c r="B51" s="105">
        <v>39903</v>
      </c>
      <c r="C51" s="107">
        <v>211387</v>
      </c>
      <c r="D51" s="107"/>
      <c r="E51" s="107"/>
      <c r="F51" s="107"/>
      <c r="G51" s="99">
        <f t="shared" si="11"/>
        <v>10569.35</v>
      </c>
      <c r="H51" s="107"/>
      <c r="I51" s="107"/>
      <c r="J51" s="107"/>
      <c r="K51" s="107">
        <f t="shared" si="5"/>
        <v>3287</v>
      </c>
      <c r="L51" s="99">
        <f t="shared" si="6"/>
        <v>9.0054794520547947</v>
      </c>
      <c r="M51" s="99">
        <v>90399.685746672098</v>
      </c>
      <c r="N51" s="100">
        <f t="shared" si="7"/>
        <v>120987.3142533279</v>
      </c>
      <c r="O51" s="122">
        <f t="shared" si="12"/>
        <v>10.994520547945205</v>
      </c>
      <c r="P51" s="99">
        <f t="shared" si="8"/>
        <v>110417.9642533279</v>
      </c>
      <c r="Q51" s="100">
        <f t="shared" si="9"/>
        <v>10042.999489774404</v>
      </c>
      <c r="R51" s="100">
        <f t="shared" si="10"/>
        <v>110944.3147635535</v>
      </c>
    </row>
    <row r="52" spans="1:18">
      <c r="A52" s="107" t="s">
        <v>80</v>
      </c>
      <c r="B52" s="123">
        <v>40471</v>
      </c>
      <c r="C52" s="124">
        <v>223590207</v>
      </c>
      <c r="D52" s="107"/>
      <c r="E52" s="107"/>
      <c r="F52" s="107"/>
      <c r="G52" s="99">
        <f t="shared" si="11"/>
        <v>11179510.350000001</v>
      </c>
      <c r="H52" s="107"/>
      <c r="I52" s="107"/>
      <c r="J52" s="107"/>
      <c r="K52" s="107">
        <f t="shared" si="5"/>
        <v>2719</v>
      </c>
      <c r="L52" s="99">
        <f t="shared" si="6"/>
        <v>7.4493150684931511</v>
      </c>
      <c r="M52" s="99">
        <v>79090612.255744904</v>
      </c>
      <c r="N52" s="100">
        <f t="shared" si="7"/>
        <v>144499594.7442551</v>
      </c>
      <c r="O52" s="122">
        <f t="shared" si="12"/>
        <v>12.550684931506849</v>
      </c>
      <c r="P52" s="99">
        <f t="shared" si="8"/>
        <v>133320084.3942551</v>
      </c>
      <c r="Q52" s="100">
        <f t="shared" si="9"/>
        <v>10622534.556625871</v>
      </c>
      <c r="R52" s="100">
        <f t="shared" si="10"/>
        <v>133877060.18762922</v>
      </c>
    </row>
    <row r="53" spans="1:18">
      <c r="A53" s="107" t="s">
        <v>79</v>
      </c>
      <c r="B53" s="123">
        <v>40269</v>
      </c>
      <c r="C53" s="111">
        <v>1228000</v>
      </c>
      <c r="D53" s="107"/>
      <c r="E53" s="107"/>
      <c r="F53" s="107"/>
      <c r="G53" s="99">
        <f t="shared" si="11"/>
        <v>61400</v>
      </c>
      <c r="H53" s="107"/>
      <c r="I53" s="107"/>
      <c r="J53" s="107"/>
      <c r="K53" s="107">
        <f t="shared" si="5"/>
        <v>2921</v>
      </c>
      <c r="L53" s="99">
        <f t="shared" si="6"/>
        <v>8.0027397260273965</v>
      </c>
      <c r="M53" s="99">
        <v>466662.83421413193</v>
      </c>
      <c r="N53" s="100">
        <f t="shared" si="7"/>
        <v>761337.16578586807</v>
      </c>
      <c r="O53" s="122">
        <f t="shared" si="12"/>
        <v>11.997260273972604</v>
      </c>
      <c r="P53" s="99">
        <f t="shared" si="8"/>
        <v>699937.16578586807</v>
      </c>
      <c r="Q53" s="100">
        <f t="shared" si="9"/>
        <v>58341.417107065958</v>
      </c>
      <c r="R53" s="100">
        <f t="shared" si="10"/>
        <v>702995.74867880216</v>
      </c>
    </row>
    <row r="54" spans="1:18">
      <c r="A54" s="107" t="s">
        <v>79</v>
      </c>
      <c r="B54" s="123">
        <v>40278</v>
      </c>
      <c r="C54" s="111">
        <v>261500</v>
      </c>
      <c r="D54" s="107"/>
      <c r="E54" s="107"/>
      <c r="F54" s="107"/>
      <c r="G54" s="99">
        <f t="shared" si="11"/>
        <v>13075</v>
      </c>
      <c r="H54" s="107"/>
      <c r="I54" s="107"/>
      <c r="J54" s="107"/>
      <c r="K54" s="107">
        <f t="shared" si="5"/>
        <v>2912</v>
      </c>
      <c r="L54" s="99">
        <f t="shared" si="6"/>
        <v>7.978082191780822</v>
      </c>
      <c r="M54" s="99">
        <v>99068.57654959397</v>
      </c>
      <c r="N54" s="100">
        <f t="shared" si="7"/>
        <v>162431.42345040603</v>
      </c>
      <c r="O54" s="122">
        <f t="shared" si="12"/>
        <v>12.021917808219179</v>
      </c>
      <c r="P54" s="99">
        <f t="shared" si="8"/>
        <v>149356.42345040603</v>
      </c>
      <c r="Q54" s="100">
        <f t="shared" si="9"/>
        <v>12423.676973427118</v>
      </c>
      <c r="R54" s="100">
        <f t="shared" si="10"/>
        <v>150007.74647697891</v>
      </c>
    </row>
    <row r="55" spans="1:18">
      <c r="A55" s="107" t="s">
        <v>79</v>
      </c>
      <c r="B55" s="123">
        <v>40584</v>
      </c>
      <c r="C55" s="111">
        <v>261500</v>
      </c>
      <c r="D55" s="107"/>
      <c r="E55" s="107"/>
      <c r="F55" s="107"/>
      <c r="G55" s="99">
        <f t="shared" si="11"/>
        <v>13075</v>
      </c>
      <c r="H55" s="107"/>
      <c r="I55" s="107"/>
      <c r="J55" s="107"/>
      <c r="K55" s="107">
        <f t="shared" si="5"/>
        <v>2606</v>
      </c>
      <c r="L55" s="99">
        <f t="shared" si="6"/>
        <v>7.13972602739726</v>
      </c>
      <c r="M55" s="99">
        <v>88654.871202822542</v>
      </c>
      <c r="N55" s="100">
        <f t="shared" si="7"/>
        <v>172845.12879717746</v>
      </c>
      <c r="O55" s="122">
        <f t="shared" si="12"/>
        <v>12.860273972602741</v>
      </c>
      <c r="P55" s="99">
        <f t="shared" si="8"/>
        <v>159770.12879717746</v>
      </c>
      <c r="Q55" s="100">
        <f t="shared" si="9"/>
        <v>12423.540053466077</v>
      </c>
      <c r="R55" s="100">
        <f t="shared" si="10"/>
        <v>160421.58874371139</v>
      </c>
    </row>
    <row r="56" spans="1:18">
      <c r="A56" s="107" t="s">
        <v>10</v>
      </c>
      <c r="B56" s="105">
        <v>41345</v>
      </c>
      <c r="C56" s="107">
        <v>856500</v>
      </c>
      <c r="D56" s="107"/>
      <c r="E56" s="107"/>
      <c r="F56" s="107"/>
      <c r="G56" s="99">
        <f t="shared" si="11"/>
        <v>42825</v>
      </c>
      <c r="H56" s="107"/>
      <c r="I56" s="107"/>
      <c r="J56" s="107"/>
      <c r="K56" s="107">
        <f t="shared" si="5"/>
        <v>1845</v>
      </c>
      <c r="L56" s="99">
        <f t="shared" si="6"/>
        <v>5.0547945205479454</v>
      </c>
      <c r="M56" s="99">
        <v>205549.68986500701</v>
      </c>
      <c r="N56" s="100">
        <f t="shared" si="7"/>
        <v>650950.31013499293</v>
      </c>
      <c r="O56" s="122">
        <f t="shared" si="12"/>
        <v>14.945205479452055</v>
      </c>
      <c r="P56" s="99">
        <f t="shared" si="8"/>
        <v>608125.31013499293</v>
      </c>
      <c r="Q56" s="100">
        <f t="shared" si="9"/>
        <v>40690.327809215843</v>
      </c>
      <c r="R56" s="100">
        <f t="shared" si="10"/>
        <v>610259.98232577706</v>
      </c>
    </row>
    <row r="57" spans="1:18">
      <c r="A57" s="107" t="s">
        <v>10</v>
      </c>
      <c r="B57" s="123">
        <v>41356</v>
      </c>
      <c r="C57" s="111">
        <v>222495</v>
      </c>
      <c r="D57" s="107"/>
      <c r="E57" s="107"/>
      <c r="F57" s="107"/>
      <c r="G57" s="99">
        <f t="shared" si="11"/>
        <v>11124.75</v>
      </c>
      <c r="H57" s="107"/>
      <c r="I57" s="107"/>
      <c r="J57" s="107"/>
      <c r="K57" s="107">
        <f t="shared" si="5"/>
        <v>1834</v>
      </c>
      <c r="L57" s="99">
        <f t="shared" si="6"/>
        <v>5.0246575342465754</v>
      </c>
      <c r="M57" s="99">
        <v>53077.612528619895</v>
      </c>
      <c r="N57" s="100">
        <f t="shared" si="7"/>
        <v>169417.38747138012</v>
      </c>
      <c r="O57" s="122">
        <f t="shared" si="12"/>
        <v>14.975342465753425</v>
      </c>
      <c r="P57" s="99">
        <f t="shared" si="8"/>
        <v>158292.63747138012</v>
      </c>
      <c r="Q57" s="100">
        <f t="shared" si="9"/>
        <v>10570.218199241446</v>
      </c>
      <c r="R57" s="100">
        <f t="shared" si="10"/>
        <v>158847.16927213868</v>
      </c>
    </row>
    <row r="58" spans="1:18">
      <c r="A58" s="107" t="s">
        <v>63</v>
      </c>
      <c r="B58" s="123">
        <v>41627</v>
      </c>
      <c r="C58" s="111">
        <v>639045</v>
      </c>
      <c r="D58" s="107"/>
      <c r="E58" s="107"/>
      <c r="F58" s="107"/>
      <c r="G58" s="99">
        <f t="shared" si="11"/>
        <v>31952.25</v>
      </c>
      <c r="H58" s="107"/>
      <c r="I58" s="107"/>
      <c r="J58" s="107"/>
      <c r="K58" s="107">
        <f t="shared" si="5"/>
        <v>1563</v>
      </c>
      <c r="L58" s="99">
        <f t="shared" si="6"/>
        <v>4.2821917808219174</v>
      </c>
      <c r="M58" s="99">
        <v>129910.60337023999</v>
      </c>
      <c r="N58" s="100">
        <f t="shared" si="7"/>
        <v>509134.39662976004</v>
      </c>
      <c r="O58" s="122">
        <f t="shared" si="12"/>
        <v>15.717808219178082</v>
      </c>
      <c r="P58" s="99">
        <f t="shared" si="8"/>
        <v>477182.14662976004</v>
      </c>
      <c r="Q58" s="100">
        <f t="shared" si="9"/>
        <v>30359.331274161133</v>
      </c>
      <c r="R58" s="100">
        <f t="shared" si="10"/>
        <v>478775.06535559893</v>
      </c>
    </row>
    <row r="59" spans="1:18">
      <c r="A59" s="107" t="s">
        <v>81</v>
      </c>
      <c r="B59" s="123">
        <v>41489</v>
      </c>
      <c r="C59" s="111">
        <v>129646</v>
      </c>
      <c r="D59" s="107"/>
      <c r="E59" s="107"/>
      <c r="F59" s="107"/>
      <c r="G59" s="99">
        <f t="shared" si="11"/>
        <v>6482.3</v>
      </c>
      <c r="H59" s="107"/>
      <c r="I59" s="107"/>
      <c r="J59" s="107"/>
      <c r="K59" s="107">
        <f t="shared" si="5"/>
        <v>1701</v>
      </c>
      <c r="L59" s="99">
        <f t="shared" si="6"/>
        <v>4.6602739726027398</v>
      </c>
      <c r="M59" s="99">
        <v>28683.903555734956</v>
      </c>
      <c r="N59" s="100">
        <f t="shared" si="7"/>
        <v>100962.09644426504</v>
      </c>
      <c r="O59" s="122">
        <f t="shared" si="12"/>
        <v>15.33972602739726</v>
      </c>
      <c r="P59" s="99">
        <f t="shared" si="8"/>
        <v>94479.796444265041</v>
      </c>
      <c r="Q59" s="100">
        <f t="shared" si="9"/>
        <v>6159.1580107441932</v>
      </c>
      <c r="R59" s="100">
        <f t="shared" si="10"/>
        <v>94802.938433520845</v>
      </c>
    </row>
    <row r="60" spans="1:18">
      <c r="A60" s="111" t="s">
        <v>82</v>
      </c>
      <c r="B60" s="123">
        <v>41725</v>
      </c>
      <c r="C60" s="111">
        <v>300000</v>
      </c>
      <c r="D60" s="107"/>
      <c r="E60" s="107"/>
      <c r="F60" s="107"/>
      <c r="G60" s="99">
        <f t="shared" si="11"/>
        <v>15000</v>
      </c>
      <c r="H60" s="107"/>
      <c r="I60" s="107"/>
      <c r="J60" s="107"/>
      <c r="K60" s="107">
        <f t="shared" si="5"/>
        <v>1465</v>
      </c>
      <c r="L60" s="99">
        <f t="shared" si="6"/>
        <v>4.0136986301369859</v>
      </c>
      <c r="M60" s="99">
        <v>57160.505586912739</v>
      </c>
      <c r="N60" s="100">
        <f t="shared" si="7"/>
        <v>242839.49441308726</v>
      </c>
      <c r="O60" s="122">
        <f>$O$11-L60</f>
        <v>15.986301369863014</v>
      </c>
      <c r="P60" s="99">
        <f t="shared" si="8"/>
        <v>227839.49441308726</v>
      </c>
      <c r="Q60" s="100">
        <f t="shared" si="9"/>
        <v>14252.170601675552</v>
      </c>
      <c r="R60" s="100">
        <f t="shared" si="10"/>
        <v>228587.32381141171</v>
      </c>
    </row>
    <row r="61" spans="1:18">
      <c r="A61" s="107" t="s">
        <v>10</v>
      </c>
      <c r="B61" s="123">
        <v>41559</v>
      </c>
      <c r="C61" s="111">
        <v>142800</v>
      </c>
      <c r="D61" s="107"/>
      <c r="E61" s="107"/>
      <c r="F61" s="107"/>
      <c r="G61" s="99">
        <f t="shared" si="11"/>
        <v>7140</v>
      </c>
      <c r="H61" s="107"/>
      <c r="I61" s="107"/>
      <c r="J61" s="107"/>
      <c r="K61" s="107">
        <f t="shared" si="5"/>
        <v>1631</v>
      </c>
      <c r="L61" s="99">
        <f t="shared" si="6"/>
        <v>4.4684931506849317</v>
      </c>
      <c r="M61" s="99">
        <v>30293.325498204998</v>
      </c>
      <c r="N61" s="100">
        <f t="shared" si="7"/>
        <v>112506.674501795</v>
      </c>
      <c r="O61" s="122">
        <f t="shared" si="12"/>
        <v>15.531506849315068</v>
      </c>
      <c r="P61" s="99">
        <f t="shared" si="8"/>
        <v>105366.674501795</v>
      </c>
      <c r="Q61" s="100">
        <f t="shared" si="9"/>
        <v>6784.0600093764642</v>
      </c>
      <c r="R61" s="100">
        <f t="shared" si="10"/>
        <v>105722.61449241854</v>
      </c>
    </row>
    <row r="62" spans="1:18">
      <c r="A62" s="107" t="s">
        <v>10</v>
      </c>
      <c r="B62" s="123">
        <v>41563</v>
      </c>
      <c r="C62" s="111">
        <v>1182919</v>
      </c>
      <c r="D62" s="107"/>
      <c r="E62" s="107"/>
      <c r="F62" s="107"/>
      <c r="G62" s="99">
        <f t="shared" si="11"/>
        <v>59145.950000000004</v>
      </c>
      <c r="H62" s="107"/>
      <c r="I62" s="107"/>
      <c r="J62" s="107"/>
      <c r="K62" s="107">
        <f t="shared" si="5"/>
        <v>1627</v>
      </c>
      <c r="L62" s="99">
        <f t="shared" si="6"/>
        <v>4.4575342465753423</v>
      </c>
      <c r="M62" s="99">
        <v>250326.45200097573</v>
      </c>
      <c r="N62" s="100">
        <f t="shared" si="7"/>
        <v>932592.54799902427</v>
      </c>
      <c r="O62" s="122">
        <f t="shared" si="12"/>
        <v>15.542465753424658</v>
      </c>
      <c r="P62" s="99">
        <f t="shared" si="8"/>
        <v>873446.59799902432</v>
      </c>
      <c r="Q62" s="100">
        <f t="shared" si="9"/>
        <v>56197.427863501478</v>
      </c>
      <c r="R62" s="100">
        <f t="shared" si="10"/>
        <v>876395.1201355228</v>
      </c>
    </row>
    <row r="63" spans="1:18">
      <c r="A63" s="107" t="s">
        <v>10</v>
      </c>
      <c r="B63" s="123">
        <v>41575</v>
      </c>
      <c r="C63" s="111">
        <v>107100</v>
      </c>
      <c r="D63" s="107"/>
      <c r="E63" s="107"/>
      <c r="F63" s="107"/>
      <c r="G63" s="99">
        <f t="shared" si="11"/>
        <v>5355</v>
      </c>
      <c r="H63" s="107"/>
      <c r="I63" s="107"/>
      <c r="J63" s="107"/>
      <c r="K63" s="107">
        <f t="shared" si="5"/>
        <v>1615</v>
      </c>
      <c r="L63" s="99">
        <f t="shared" si="6"/>
        <v>4.4246575342465757</v>
      </c>
      <c r="M63" s="99">
        <v>22496.987418187258</v>
      </c>
      <c r="N63" s="100">
        <f t="shared" si="7"/>
        <v>84603.012581812742</v>
      </c>
      <c r="O63" s="122">
        <f t="shared" si="12"/>
        <v>15.575342465753424</v>
      </c>
      <c r="P63" s="99">
        <f t="shared" si="8"/>
        <v>79248.012581812742</v>
      </c>
      <c r="Q63" s="100">
        <f t="shared" si="9"/>
        <v>5088.0430241621198</v>
      </c>
      <c r="R63" s="100">
        <f t="shared" si="10"/>
        <v>79514.96955765062</v>
      </c>
    </row>
    <row r="64" spans="1:18">
      <c r="A64" s="107" t="s">
        <v>10</v>
      </c>
      <c r="B64" s="123">
        <v>41620</v>
      </c>
      <c r="C64" s="111">
        <v>16646</v>
      </c>
      <c r="D64" s="107"/>
      <c r="E64" s="107"/>
      <c r="F64" s="107"/>
      <c r="G64" s="99">
        <f t="shared" si="11"/>
        <v>832.30000000000007</v>
      </c>
      <c r="H64" s="107"/>
      <c r="I64" s="107"/>
      <c r="J64" s="107"/>
      <c r="K64" s="107">
        <f t="shared" si="5"/>
        <v>1570</v>
      </c>
      <c r="L64" s="99">
        <f t="shared" si="6"/>
        <v>4.3013698630136989</v>
      </c>
      <c r="M64" s="99">
        <v>3399.1071639806596</v>
      </c>
      <c r="N64" s="100">
        <f t="shared" si="7"/>
        <v>13246.89283601934</v>
      </c>
      <c r="O64" s="122">
        <f t="shared" si="12"/>
        <v>15.698630136986301</v>
      </c>
      <c r="P64" s="99">
        <f t="shared" si="8"/>
        <v>12414.592836019341</v>
      </c>
      <c r="Q64" s="100">
        <f t="shared" si="9"/>
        <v>790.80739705882365</v>
      </c>
      <c r="R64" s="100">
        <f t="shared" si="10"/>
        <v>12456.085438960517</v>
      </c>
    </row>
    <row r="65" spans="1:18">
      <c r="A65" s="107" t="s">
        <v>10</v>
      </c>
      <c r="B65" s="123">
        <v>41629</v>
      </c>
      <c r="C65" s="111">
        <v>35700</v>
      </c>
      <c r="D65" s="107"/>
      <c r="E65" s="107"/>
      <c r="F65" s="107"/>
      <c r="G65" s="99">
        <f t="shared" si="11"/>
        <v>1785</v>
      </c>
      <c r="H65" s="107"/>
      <c r="I65" s="107"/>
      <c r="J65" s="107"/>
      <c r="K65" s="107">
        <f t="shared" si="5"/>
        <v>1561</v>
      </c>
      <c r="L65" s="99">
        <f t="shared" si="6"/>
        <v>4.2767123287671236</v>
      </c>
      <c r="M65" s="99">
        <v>7248.1133106893358</v>
      </c>
      <c r="N65" s="100">
        <f t="shared" si="7"/>
        <v>28451.886689310664</v>
      </c>
      <c r="O65" s="122">
        <f t="shared" si="12"/>
        <v>15.723287671232876</v>
      </c>
      <c r="P65" s="99">
        <f t="shared" si="8"/>
        <v>26666.886689310664</v>
      </c>
      <c r="Q65" s="100">
        <f t="shared" si="9"/>
        <v>1696.0121347967229</v>
      </c>
      <c r="R65" s="100">
        <f t="shared" si="10"/>
        <v>26755.874554513943</v>
      </c>
    </row>
    <row r="66" spans="1:18">
      <c r="A66" s="107" t="s">
        <v>10</v>
      </c>
      <c r="B66" s="123">
        <v>41725</v>
      </c>
      <c r="C66" s="111">
        <v>1488955</v>
      </c>
      <c r="D66" s="107"/>
      <c r="E66" s="107"/>
      <c r="F66" s="107"/>
      <c r="G66" s="99">
        <f t="shared" si="11"/>
        <v>74447.75</v>
      </c>
      <c r="H66" s="107"/>
      <c r="I66" s="107"/>
      <c r="J66" s="107"/>
      <c r="K66" s="107">
        <f t="shared" si="5"/>
        <v>1465</v>
      </c>
      <c r="L66" s="99">
        <f t="shared" si="6"/>
        <v>4.0136986301369859</v>
      </c>
      <c r="M66" s="99">
        <v>283698.06865387229</v>
      </c>
      <c r="N66" s="100">
        <f t="shared" si="7"/>
        <v>1205256.9313461278</v>
      </c>
      <c r="O66" s="122">
        <f t="shared" si="12"/>
        <v>15.986301369863014</v>
      </c>
      <c r="P66" s="99">
        <f t="shared" si="8"/>
        <v>1130809.1813461278</v>
      </c>
      <c r="Q66" s="100">
        <f t="shared" si="9"/>
        <v>70736.135594059408</v>
      </c>
      <c r="R66" s="100">
        <f t="shared" si="10"/>
        <v>1134520.7957520683</v>
      </c>
    </row>
    <row r="67" spans="1:18">
      <c r="A67" s="107" t="s">
        <v>83</v>
      </c>
      <c r="B67" s="123">
        <v>41639</v>
      </c>
      <c r="C67" s="111">
        <v>6672114</v>
      </c>
      <c r="D67" s="107"/>
      <c r="E67" s="107"/>
      <c r="F67" s="107"/>
      <c r="G67" s="99">
        <f t="shared" si="11"/>
        <v>333605.7</v>
      </c>
      <c r="H67" s="107"/>
      <c r="I67" s="107"/>
      <c r="J67" s="107"/>
      <c r="K67" s="107">
        <f t="shared" si="5"/>
        <v>1551</v>
      </c>
      <c r="L67" s="99">
        <f t="shared" si="6"/>
        <v>4.2493150684931509</v>
      </c>
      <c r="M67" s="99">
        <v>1345945.4843233037</v>
      </c>
      <c r="N67" s="100">
        <f t="shared" si="7"/>
        <v>5326168.5156766959</v>
      </c>
      <c r="O67" s="122">
        <f t="shared" si="12"/>
        <v>15.75068493150685</v>
      </c>
      <c r="P67" s="99">
        <f t="shared" si="8"/>
        <v>4992562.8156766957</v>
      </c>
      <c r="Q67" s="100">
        <f t="shared" si="9"/>
        <v>316974.33079178882</v>
      </c>
      <c r="R67" s="100">
        <f t="shared" si="10"/>
        <v>5009194.1848849067</v>
      </c>
    </row>
    <row r="68" spans="1:18">
      <c r="A68" s="107" t="s">
        <v>84</v>
      </c>
      <c r="B68" s="123">
        <v>41499</v>
      </c>
      <c r="C68" s="111">
        <v>1808797</v>
      </c>
      <c r="D68" s="107"/>
      <c r="E68" s="107"/>
      <c r="F68" s="107"/>
      <c r="G68" s="99">
        <f t="shared" si="11"/>
        <v>90439.85</v>
      </c>
      <c r="H68" s="107"/>
      <c r="I68" s="107"/>
      <c r="J68" s="107"/>
      <c r="K68" s="107">
        <f t="shared" si="5"/>
        <v>1691</v>
      </c>
      <c r="L68" s="99">
        <f t="shared" si="6"/>
        <v>4.6328767123287671</v>
      </c>
      <c r="M68" s="99">
        <v>397838.55749526178</v>
      </c>
      <c r="N68" s="100">
        <f t="shared" si="7"/>
        <v>1410958.4425047382</v>
      </c>
      <c r="O68" s="122">
        <f t="shared" si="12"/>
        <v>15.367123287671234</v>
      </c>
      <c r="P68" s="99">
        <f t="shared" si="8"/>
        <v>1320518.5925047381</v>
      </c>
      <c r="Q68" s="100">
        <f t="shared" si="9"/>
        <v>85931.411350370719</v>
      </c>
      <c r="R68" s="100">
        <f t="shared" si="10"/>
        <v>1325027.0311543676</v>
      </c>
    </row>
    <row r="69" spans="1:18">
      <c r="A69" s="107" t="s">
        <v>79</v>
      </c>
      <c r="B69" s="123">
        <v>41494</v>
      </c>
      <c r="C69" s="111">
        <v>10939</v>
      </c>
      <c r="D69" s="107"/>
      <c r="E69" s="107"/>
      <c r="F69" s="107"/>
      <c r="G69" s="99">
        <f t="shared" si="11"/>
        <v>546.95000000000005</v>
      </c>
      <c r="H69" s="107"/>
      <c r="I69" s="107"/>
      <c r="J69" s="107"/>
      <c r="K69" s="107">
        <f t="shared" si="5"/>
        <v>1696</v>
      </c>
      <c r="L69" s="99">
        <f t="shared" si="6"/>
        <v>4.646575342465753</v>
      </c>
      <c r="M69" s="99">
        <v>2413.1126636201257</v>
      </c>
      <c r="N69" s="100">
        <f t="shared" si="7"/>
        <v>8525.8873363798739</v>
      </c>
      <c r="O69" s="122">
        <f t="shared" si="12"/>
        <v>15.353424657534248</v>
      </c>
      <c r="P69" s="99">
        <f t="shared" si="8"/>
        <v>7978.9373363798741</v>
      </c>
      <c r="Q69" s="100">
        <f t="shared" si="9"/>
        <v>519.68453386485612</v>
      </c>
      <c r="R69" s="100">
        <f t="shared" si="10"/>
        <v>8006.2028025150175</v>
      </c>
    </row>
    <row r="70" spans="1:18">
      <c r="A70" s="125" t="s">
        <v>85</v>
      </c>
      <c r="B70" s="123">
        <v>42413</v>
      </c>
      <c r="C70" s="126">
        <v>249753</v>
      </c>
      <c r="D70" s="107"/>
      <c r="E70" s="107"/>
      <c r="F70" s="107"/>
      <c r="G70" s="99">
        <f t="shared" si="11"/>
        <v>12487.650000000001</v>
      </c>
      <c r="H70" s="107"/>
      <c r="I70" s="107"/>
      <c r="J70" s="107"/>
      <c r="K70" s="107">
        <f t="shared" si="5"/>
        <v>777</v>
      </c>
      <c r="L70" s="99">
        <f t="shared" si="6"/>
        <v>2.128767123287671</v>
      </c>
      <c r="M70" s="99">
        <v>25254.133828767121</v>
      </c>
      <c r="N70" s="100">
        <f t="shared" si="7"/>
        <v>224498.86617123289</v>
      </c>
      <c r="O70" s="122">
        <f t="shared" si="12"/>
        <v>17.87123287671233</v>
      </c>
      <c r="P70" s="99">
        <f t="shared" si="8"/>
        <v>212011.2161712329</v>
      </c>
      <c r="Q70" s="100">
        <f t="shared" si="9"/>
        <v>11863.2675</v>
      </c>
      <c r="R70" s="100">
        <f t="shared" si="10"/>
        <v>212635.5986712329</v>
      </c>
    </row>
    <row r="71" spans="1:18">
      <c r="A71" s="125" t="s">
        <v>86</v>
      </c>
      <c r="B71" s="123">
        <v>42363</v>
      </c>
      <c r="C71" s="126">
        <v>469200</v>
      </c>
      <c r="D71" s="107"/>
      <c r="E71" s="107"/>
      <c r="F71" s="107"/>
      <c r="G71" s="99">
        <f t="shared" si="11"/>
        <v>23460</v>
      </c>
      <c r="H71" s="107"/>
      <c r="I71" s="107"/>
      <c r="J71" s="107"/>
      <c r="K71" s="107">
        <f t="shared" si="5"/>
        <v>827</v>
      </c>
      <c r="L71" s="99">
        <f t="shared" si="6"/>
        <v>2.2657534246575342</v>
      </c>
      <c r="M71" s="99">
        <v>50496.846575342461</v>
      </c>
      <c r="N71" s="100">
        <f t="shared" si="7"/>
        <v>418703.15342465753</v>
      </c>
      <c r="O71" s="122">
        <f t="shared" si="12"/>
        <v>17.734246575342468</v>
      </c>
      <c r="P71" s="99">
        <f t="shared" si="8"/>
        <v>395243.15342465753</v>
      </c>
      <c r="Q71" s="100">
        <f t="shared" si="9"/>
        <v>22286.999999999996</v>
      </c>
      <c r="R71" s="100">
        <f t="shared" si="10"/>
        <v>396416.15342465753</v>
      </c>
    </row>
    <row r="72" spans="1:18">
      <c r="A72" s="125" t="s">
        <v>87</v>
      </c>
      <c r="B72" s="123">
        <v>42145</v>
      </c>
      <c r="C72" s="126">
        <v>974100</v>
      </c>
      <c r="D72" s="107"/>
      <c r="E72" s="107"/>
      <c r="F72" s="107"/>
      <c r="G72" s="99">
        <f t="shared" si="11"/>
        <v>48705</v>
      </c>
      <c r="H72" s="107"/>
      <c r="I72" s="107"/>
      <c r="J72" s="107"/>
      <c r="K72" s="107">
        <f t="shared" si="5"/>
        <v>1045</v>
      </c>
      <c r="L72" s="99">
        <f t="shared" si="6"/>
        <v>2.8630136986301369</v>
      </c>
      <c r="M72" s="99">
        <v>132470.92808219179</v>
      </c>
      <c r="N72" s="100">
        <f t="shared" si="7"/>
        <v>841629.07191780815</v>
      </c>
      <c r="O72" s="122">
        <f t="shared" si="12"/>
        <v>17.136986301369863</v>
      </c>
      <c r="P72" s="99">
        <f t="shared" si="8"/>
        <v>792924.07191780815</v>
      </c>
      <c r="Q72" s="100">
        <f t="shared" si="9"/>
        <v>46269.75</v>
      </c>
      <c r="R72" s="100">
        <f t="shared" si="10"/>
        <v>795359.32191780815</v>
      </c>
    </row>
    <row r="73" spans="1:18">
      <c r="A73" s="125" t="s">
        <v>88</v>
      </c>
      <c r="B73" s="123">
        <v>42240</v>
      </c>
      <c r="C73" s="126">
        <v>5214750</v>
      </c>
      <c r="D73" s="107"/>
      <c r="E73" s="107"/>
      <c r="F73" s="107"/>
      <c r="G73" s="99">
        <f t="shared" si="11"/>
        <v>260737.5</v>
      </c>
      <c r="H73" s="107"/>
      <c r="I73" s="107"/>
      <c r="J73" s="107"/>
      <c r="K73" s="107">
        <f t="shared" si="5"/>
        <v>950</v>
      </c>
      <c r="L73" s="99">
        <f t="shared" si="6"/>
        <v>2.6027397260273974</v>
      </c>
      <c r="M73" s="99">
        <v>644700.25684931502</v>
      </c>
      <c r="N73" s="100">
        <f t="shared" si="7"/>
        <v>4570049.743150685</v>
      </c>
      <c r="O73" s="122">
        <f t="shared" si="12"/>
        <v>17.397260273972602</v>
      </c>
      <c r="P73" s="99">
        <f t="shared" si="8"/>
        <v>4309312.243150685</v>
      </c>
      <c r="Q73" s="100">
        <f t="shared" si="9"/>
        <v>247700.625</v>
      </c>
      <c r="R73" s="100">
        <f t="shared" si="10"/>
        <v>4322349.118150685</v>
      </c>
    </row>
    <row r="74" spans="1:18">
      <c r="A74" s="125" t="s">
        <v>89</v>
      </c>
      <c r="B74" s="123">
        <v>42339</v>
      </c>
      <c r="C74" s="127">
        <v>1436500</v>
      </c>
      <c r="D74" s="107"/>
      <c r="E74" s="107"/>
      <c r="F74" s="107"/>
      <c r="G74" s="99">
        <f t="shared" si="11"/>
        <v>71825</v>
      </c>
      <c r="H74" s="107"/>
      <c r="I74" s="107"/>
      <c r="J74" s="107"/>
      <c r="K74" s="107">
        <f t="shared" si="5"/>
        <v>851</v>
      </c>
      <c r="L74" s="99">
        <f t="shared" si="6"/>
        <v>2.3315068493150686</v>
      </c>
      <c r="M74" s="99">
        <v>159087.45547945204</v>
      </c>
      <c r="N74" s="100">
        <f t="shared" si="7"/>
        <v>1277412.5445205481</v>
      </c>
      <c r="O74" s="122">
        <f t="shared" si="12"/>
        <v>17.668493150684931</v>
      </c>
      <c r="P74" s="99">
        <f t="shared" si="8"/>
        <v>1205587.5445205481</v>
      </c>
      <c r="Q74" s="100">
        <f t="shared" si="9"/>
        <v>68233.750000000015</v>
      </c>
      <c r="R74" s="100">
        <f t="shared" si="10"/>
        <v>1209178.7945205481</v>
      </c>
    </row>
    <row r="75" spans="1:18">
      <c r="A75" s="125" t="s">
        <v>90</v>
      </c>
      <c r="B75" s="123">
        <v>42399</v>
      </c>
      <c r="C75" s="126">
        <v>178500</v>
      </c>
      <c r="D75" s="107"/>
      <c r="E75" s="107"/>
      <c r="F75" s="107"/>
      <c r="G75" s="99">
        <f t="shared" si="11"/>
        <v>8925</v>
      </c>
      <c r="H75" s="107"/>
      <c r="I75" s="107"/>
      <c r="J75" s="107"/>
      <c r="K75" s="107">
        <f t="shared" si="5"/>
        <v>791</v>
      </c>
      <c r="L75" s="99">
        <f t="shared" si="6"/>
        <v>2.1671232876712327</v>
      </c>
      <c r="M75" s="99">
        <v>18374.496575342469</v>
      </c>
      <c r="N75" s="100">
        <f t="shared" si="7"/>
        <v>160125.50342465754</v>
      </c>
      <c r="O75" s="122">
        <f t="shared" si="12"/>
        <v>17.832876712328769</v>
      </c>
      <c r="P75" s="99">
        <f t="shared" si="8"/>
        <v>151200.50342465754</v>
      </c>
      <c r="Q75" s="100">
        <f t="shared" si="9"/>
        <v>8478.75</v>
      </c>
      <c r="R75" s="100">
        <f t="shared" si="10"/>
        <v>151646.75342465754</v>
      </c>
    </row>
    <row r="76" spans="1:18" ht="15">
      <c r="A76" s="128" t="s">
        <v>91</v>
      </c>
      <c r="B76" s="129">
        <v>42563</v>
      </c>
      <c r="C76" s="130">
        <v>190000</v>
      </c>
      <c r="D76" s="107"/>
      <c r="E76" s="107"/>
      <c r="F76" s="107"/>
      <c r="G76" s="99">
        <f t="shared" si="11"/>
        <v>9500</v>
      </c>
      <c r="H76" s="107"/>
      <c r="I76" s="107"/>
      <c r="J76" s="107"/>
      <c r="K76" s="107">
        <f t="shared" ref="K76:K139" si="13">$K$2-B76</f>
        <v>627</v>
      </c>
      <c r="L76" s="99">
        <f t="shared" ref="L76:L139" si="14">K76/365</f>
        <v>1.7178082191780821</v>
      </c>
      <c r="M76" s="99">
        <v>15503.219178082192</v>
      </c>
      <c r="N76" s="100">
        <f t="shared" ref="N76:N139" si="15">C76-M76</f>
        <v>174496.78082191781</v>
      </c>
      <c r="O76" s="122">
        <f t="shared" si="12"/>
        <v>18.282191780821918</v>
      </c>
      <c r="P76" s="99">
        <f t="shared" ref="P76:P139" si="16">N76-G76</f>
        <v>164996.78082191781</v>
      </c>
      <c r="Q76" s="100">
        <f t="shared" ref="Q76:Q139" si="17">P76/O76</f>
        <v>9025</v>
      </c>
      <c r="R76" s="100">
        <f t="shared" ref="R76:R139" si="18">N76-Q76</f>
        <v>165471.78082191781</v>
      </c>
    </row>
    <row r="77" spans="1:18" ht="15">
      <c r="A77" s="128" t="s">
        <v>91</v>
      </c>
      <c r="B77" s="129">
        <v>42591</v>
      </c>
      <c r="C77" s="130">
        <v>285000</v>
      </c>
      <c r="D77" s="107"/>
      <c r="E77" s="107"/>
      <c r="F77" s="107"/>
      <c r="G77" s="99">
        <f t="shared" ref="G77:G140" si="19">C77*5%</f>
        <v>14250</v>
      </c>
      <c r="H77" s="107"/>
      <c r="I77" s="107"/>
      <c r="J77" s="107"/>
      <c r="K77" s="107">
        <f t="shared" si="13"/>
        <v>599</v>
      </c>
      <c r="L77" s="99">
        <f t="shared" si="14"/>
        <v>1.6410958904109589</v>
      </c>
      <c r="M77" s="99">
        <v>22216.335616438355</v>
      </c>
      <c r="N77" s="100">
        <f t="shared" si="15"/>
        <v>262783.66438356164</v>
      </c>
      <c r="O77" s="122">
        <f t="shared" ref="O77:O140" si="20">$O$11-L77</f>
        <v>18.358904109589041</v>
      </c>
      <c r="P77" s="99">
        <f t="shared" si="16"/>
        <v>248533.66438356164</v>
      </c>
      <c r="Q77" s="100">
        <f t="shared" si="17"/>
        <v>13537.5</v>
      </c>
      <c r="R77" s="100">
        <f t="shared" si="18"/>
        <v>249246.16438356164</v>
      </c>
    </row>
    <row r="78" spans="1:18" ht="15">
      <c r="A78" s="128" t="s">
        <v>92</v>
      </c>
      <c r="B78" s="129">
        <v>42548</v>
      </c>
      <c r="C78" s="130">
        <v>286522</v>
      </c>
      <c r="D78" s="107"/>
      <c r="E78" s="107"/>
      <c r="F78" s="107"/>
      <c r="G78" s="99">
        <f t="shared" si="19"/>
        <v>14326.1</v>
      </c>
      <c r="H78" s="107"/>
      <c r="I78" s="107"/>
      <c r="J78" s="107"/>
      <c r="K78" s="107">
        <f t="shared" si="13"/>
        <v>642</v>
      </c>
      <c r="L78" s="99">
        <f t="shared" si="14"/>
        <v>1.7589041095890412</v>
      </c>
      <c r="M78" s="99">
        <v>23938.324356164383</v>
      </c>
      <c r="N78" s="100">
        <f t="shared" si="15"/>
        <v>262583.67564383562</v>
      </c>
      <c r="O78" s="122">
        <f t="shared" si="20"/>
        <v>18.241095890410961</v>
      </c>
      <c r="P78" s="99">
        <f t="shared" si="16"/>
        <v>248257.57564383562</v>
      </c>
      <c r="Q78" s="100">
        <f t="shared" si="17"/>
        <v>13609.794999999998</v>
      </c>
      <c r="R78" s="100">
        <f t="shared" si="18"/>
        <v>248973.88064383564</v>
      </c>
    </row>
    <row r="79" spans="1:18" ht="15">
      <c r="A79" s="128" t="s">
        <v>92</v>
      </c>
      <c r="B79" s="129">
        <v>42753</v>
      </c>
      <c r="C79" s="130">
        <v>467363</v>
      </c>
      <c r="D79" s="107"/>
      <c r="E79" s="107"/>
      <c r="F79" s="107"/>
      <c r="G79" s="99">
        <f t="shared" si="19"/>
        <v>23368.15</v>
      </c>
      <c r="H79" s="107"/>
      <c r="I79" s="107"/>
      <c r="J79" s="107"/>
      <c r="K79" s="107">
        <f t="shared" si="13"/>
        <v>437</v>
      </c>
      <c r="L79" s="99">
        <f t="shared" si="14"/>
        <v>1.1972602739726028</v>
      </c>
      <c r="M79" s="99">
        <v>26578.869787671229</v>
      </c>
      <c r="N79" s="100">
        <f t="shared" si="15"/>
        <v>440784.13021232875</v>
      </c>
      <c r="O79" s="122">
        <f t="shared" si="20"/>
        <v>18.802739726027397</v>
      </c>
      <c r="P79" s="99">
        <f t="shared" si="16"/>
        <v>417415.98021232872</v>
      </c>
      <c r="Q79" s="100">
        <f t="shared" si="17"/>
        <v>22199.742499999997</v>
      </c>
      <c r="R79" s="100">
        <f t="shared" si="18"/>
        <v>418584.38771232875</v>
      </c>
    </row>
    <row r="80" spans="1:18" ht="15">
      <c r="A80" s="128" t="s">
        <v>93</v>
      </c>
      <c r="B80" s="129">
        <v>42467</v>
      </c>
      <c r="C80" s="130">
        <v>688500</v>
      </c>
      <c r="D80" s="107"/>
      <c r="E80" s="107"/>
      <c r="F80" s="107"/>
      <c r="G80" s="99">
        <f t="shared" si="19"/>
        <v>34425</v>
      </c>
      <c r="H80" s="107"/>
      <c r="I80" s="107"/>
      <c r="J80" s="107"/>
      <c r="K80" s="107">
        <f t="shared" si="13"/>
        <v>723</v>
      </c>
      <c r="L80" s="99">
        <f t="shared" si="14"/>
        <v>1.9808219178082191</v>
      </c>
      <c r="M80" s="99">
        <v>64780.304794520547</v>
      </c>
      <c r="N80" s="100">
        <f t="shared" si="15"/>
        <v>623719.69520547939</v>
      </c>
      <c r="O80" s="122">
        <f t="shared" si="20"/>
        <v>18.019178082191782</v>
      </c>
      <c r="P80" s="99">
        <f t="shared" si="16"/>
        <v>589294.69520547939</v>
      </c>
      <c r="Q80" s="100">
        <f t="shared" si="17"/>
        <v>32703.749999999993</v>
      </c>
      <c r="R80" s="100">
        <f t="shared" si="18"/>
        <v>591015.94520547939</v>
      </c>
    </row>
    <row r="81" spans="1:18" ht="15">
      <c r="A81" s="128" t="s">
        <v>93</v>
      </c>
      <c r="B81" s="129">
        <v>42514</v>
      </c>
      <c r="C81" s="130">
        <v>54591</v>
      </c>
      <c r="D81" s="107"/>
      <c r="E81" s="107"/>
      <c r="F81" s="107"/>
      <c r="G81" s="99">
        <f t="shared" si="19"/>
        <v>2729.55</v>
      </c>
      <c r="H81" s="107"/>
      <c r="I81" s="107"/>
      <c r="J81" s="107"/>
      <c r="K81" s="107">
        <f t="shared" si="13"/>
        <v>676</v>
      </c>
      <c r="L81" s="99">
        <f t="shared" si="14"/>
        <v>1.8520547945205479</v>
      </c>
      <c r="M81" s="99">
        <v>4802.5123561643832</v>
      </c>
      <c r="N81" s="100">
        <f t="shared" si="15"/>
        <v>49788.487643835615</v>
      </c>
      <c r="O81" s="122">
        <f t="shared" si="20"/>
        <v>18.147945205479452</v>
      </c>
      <c r="P81" s="99">
        <f t="shared" si="16"/>
        <v>47058.937643835612</v>
      </c>
      <c r="Q81" s="100">
        <f t="shared" si="17"/>
        <v>2593.0724999999998</v>
      </c>
      <c r="R81" s="100">
        <f t="shared" si="18"/>
        <v>47195.415143835613</v>
      </c>
    </row>
    <row r="82" spans="1:18" ht="15">
      <c r="A82" s="128" t="s">
        <v>94</v>
      </c>
      <c r="B82" s="129">
        <v>42578</v>
      </c>
      <c r="C82" s="130">
        <v>114615</v>
      </c>
      <c r="D82" s="107"/>
      <c r="E82" s="107"/>
      <c r="F82" s="107"/>
      <c r="G82" s="99">
        <f t="shared" si="19"/>
        <v>5730.75</v>
      </c>
      <c r="H82" s="107"/>
      <c r="I82" s="107"/>
      <c r="J82" s="107"/>
      <c r="K82" s="107">
        <f t="shared" si="13"/>
        <v>612</v>
      </c>
      <c r="L82" s="99">
        <f t="shared" si="14"/>
        <v>1.6767123287671233</v>
      </c>
      <c r="M82" s="99">
        <v>9128.3782191780829</v>
      </c>
      <c r="N82" s="100">
        <f t="shared" si="15"/>
        <v>105486.62178082192</v>
      </c>
      <c r="O82" s="122">
        <f t="shared" si="20"/>
        <v>18.323287671232876</v>
      </c>
      <c r="P82" s="99">
        <f t="shared" si="16"/>
        <v>99755.871780821923</v>
      </c>
      <c r="Q82" s="100">
        <f t="shared" si="17"/>
        <v>5444.2125000000005</v>
      </c>
      <c r="R82" s="100">
        <f t="shared" si="18"/>
        <v>100042.40928082193</v>
      </c>
    </row>
    <row r="83" spans="1:18" ht="15">
      <c r="A83" s="128" t="s">
        <v>95</v>
      </c>
      <c r="B83" s="129">
        <v>42705</v>
      </c>
      <c r="C83" s="130">
        <v>940858</v>
      </c>
      <c r="D83" s="107"/>
      <c r="E83" s="107"/>
      <c r="F83" s="107"/>
      <c r="G83" s="99">
        <f t="shared" si="19"/>
        <v>47042.9</v>
      </c>
      <c r="H83" s="107"/>
      <c r="I83" s="107"/>
      <c r="J83" s="107"/>
      <c r="K83" s="107">
        <f t="shared" si="13"/>
        <v>485</v>
      </c>
      <c r="L83" s="99">
        <f t="shared" si="14"/>
        <v>1.3287671232876712</v>
      </c>
      <c r="M83" s="99">
        <v>59383.605958904103</v>
      </c>
      <c r="N83" s="100">
        <f t="shared" si="15"/>
        <v>881474.39404109586</v>
      </c>
      <c r="O83" s="122">
        <f t="shared" si="20"/>
        <v>18.671232876712327</v>
      </c>
      <c r="P83" s="99">
        <f t="shared" si="16"/>
        <v>834431.49404109584</v>
      </c>
      <c r="Q83" s="100">
        <f t="shared" si="17"/>
        <v>44690.754999999997</v>
      </c>
      <c r="R83" s="100">
        <f t="shared" si="18"/>
        <v>836783.63904109586</v>
      </c>
    </row>
    <row r="84" spans="1:18" ht="15">
      <c r="A84" s="128" t="s">
        <v>95</v>
      </c>
      <c r="B84" s="129">
        <v>42710</v>
      </c>
      <c r="C84" s="130">
        <v>1597269</v>
      </c>
      <c r="D84" s="107"/>
      <c r="E84" s="107"/>
      <c r="F84" s="107"/>
      <c r="G84" s="99">
        <f t="shared" si="19"/>
        <v>79863.450000000012</v>
      </c>
      <c r="H84" s="107"/>
      <c r="I84" s="107"/>
      <c r="J84" s="107"/>
      <c r="K84" s="107">
        <f t="shared" si="13"/>
        <v>480</v>
      </c>
      <c r="L84" s="99">
        <f t="shared" si="14"/>
        <v>1.3150684931506849</v>
      </c>
      <c r="M84" s="99">
        <v>99774.611506849324</v>
      </c>
      <c r="N84" s="100">
        <f t="shared" si="15"/>
        <v>1497494.3884931507</v>
      </c>
      <c r="O84" s="122">
        <f t="shared" si="20"/>
        <v>18.684931506849317</v>
      </c>
      <c r="P84" s="99">
        <f t="shared" si="16"/>
        <v>1417630.9384931508</v>
      </c>
      <c r="Q84" s="100">
        <f t="shared" si="17"/>
        <v>75870.277499999997</v>
      </c>
      <c r="R84" s="100">
        <f t="shared" si="18"/>
        <v>1421624.1109931506</v>
      </c>
    </row>
    <row r="85" spans="1:18" ht="15">
      <c r="A85" s="128" t="s">
        <v>96</v>
      </c>
      <c r="B85" s="129">
        <v>42504</v>
      </c>
      <c r="C85" s="130">
        <v>418200</v>
      </c>
      <c r="D85" s="107"/>
      <c r="E85" s="107"/>
      <c r="F85" s="107"/>
      <c r="G85" s="99">
        <f t="shared" si="19"/>
        <v>20910</v>
      </c>
      <c r="H85" s="107"/>
      <c r="I85" s="107"/>
      <c r="J85" s="107"/>
      <c r="K85" s="107">
        <f t="shared" si="13"/>
        <v>686</v>
      </c>
      <c r="L85" s="99">
        <f t="shared" si="14"/>
        <v>1.8794520547945206</v>
      </c>
      <c r="M85" s="99">
        <v>37334.375342465755</v>
      </c>
      <c r="N85" s="100">
        <f t="shared" si="15"/>
        <v>380865.62465753424</v>
      </c>
      <c r="O85" s="122">
        <f t="shared" si="20"/>
        <v>18.12054794520548</v>
      </c>
      <c r="P85" s="99">
        <f t="shared" si="16"/>
        <v>359955.62465753424</v>
      </c>
      <c r="Q85" s="100">
        <f t="shared" si="17"/>
        <v>19864.5</v>
      </c>
      <c r="R85" s="100">
        <f t="shared" si="18"/>
        <v>361001.12465753424</v>
      </c>
    </row>
    <row r="86" spans="1:18" ht="15">
      <c r="A86" s="128" t="s">
        <v>97</v>
      </c>
      <c r="B86" s="129">
        <v>42608</v>
      </c>
      <c r="C86" s="131">
        <v>20834.400000000001</v>
      </c>
      <c r="D86" s="107"/>
      <c r="E86" s="107"/>
      <c r="F86" s="107"/>
      <c r="G86" s="99">
        <f t="shared" si="19"/>
        <v>1041.72</v>
      </c>
      <c r="H86" s="107"/>
      <c r="I86" s="107"/>
      <c r="J86" s="107"/>
      <c r="K86" s="107">
        <f t="shared" si="13"/>
        <v>582</v>
      </c>
      <c r="L86" s="99">
        <f t="shared" si="14"/>
        <v>1.5945205479452054</v>
      </c>
      <c r="M86" s="99">
        <v>1577.9917479452054</v>
      </c>
      <c r="N86" s="100">
        <f t="shared" si="15"/>
        <v>19256.408252054796</v>
      </c>
      <c r="O86" s="122">
        <f t="shared" si="20"/>
        <v>18.405479452054795</v>
      </c>
      <c r="P86" s="99">
        <f t="shared" si="16"/>
        <v>18214.688252054795</v>
      </c>
      <c r="Q86" s="100">
        <f t="shared" si="17"/>
        <v>989.63400000000001</v>
      </c>
      <c r="R86" s="100">
        <f t="shared" si="18"/>
        <v>18266.774252054798</v>
      </c>
    </row>
    <row r="87" spans="1:18" ht="15">
      <c r="A87" s="128" t="s">
        <v>98</v>
      </c>
      <c r="B87" s="129">
        <v>42497</v>
      </c>
      <c r="C87" s="131">
        <v>32179</v>
      </c>
      <c r="D87" s="107"/>
      <c r="E87" s="107"/>
      <c r="F87" s="107"/>
      <c r="G87" s="99">
        <f t="shared" si="19"/>
        <v>1608.95</v>
      </c>
      <c r="H87" s="107"/>
      <c r="I87" s="107"/>
      <c r="J87" s="107"/>
      <c r="K87" s="107">
        <f t="shared" si="13"/>
        <v>693</v>
      </c>
      <c r="L87" s="99">
        <f t="shared" si="14"/>
        <v>1.8986301369863015</v>
      </c>
      <c r="M87" s="99">
        <v>2902.0609109589041</v>
      </c>
      <c r="N87" s="100">
        <f t="shared" si="15"/>
        <v>29276.939089041094</v>
      </c>
      <c r="O87" s="122">
        <f t="shared" si="20"/>
        <v>18.101369863013698</v>
      </c>
      <c r="P87" s="99">
        <f t="shared" si="16"/>
        <v>27667.989089041093</v>
      </c>
      <c r="Q87" s="100">
        <f t="shared" si="17"/>
        <v>1528.5024999999998</v>
      </c>
      <c r="R87" s="100">
        <f t="shared" si="18"/>
        <v>27748.436589041095</v>
      </c>
    </row>
    <row r="88" spans="1:18" ht="15">
      <c r="A88" s="128" t="s">
        <v>99</v>
      </c>
      <c r="B88" s="129">
        <v>42551</v>
      </c>
      <c r="C88" s="131">
        <v>17117</v>
      </c>
      <c r="D88" s="107"/>
      <c r="E88" s="107"/>
      <c r="F88" s="107"/>
      <c r="G88" s="99">
        <f t="shared" si="19"/>
        <v>855.85</v>
      </c>
      <c r="H88" s="107"/>
      <c r="I88" s="107"/>
      <c r="J88" s="107"/>
      <c r="K88" s="107">
        <f t="shared" si="13"/>
        <v>639</v>
      </c>
      <c r="L88" s="99">
        <f t="shared" si="14"/>
        <v>1.7506849315068493</v>
      </c>
      <c r="M88" s="99">
        <v>1423.4075136986303</v>
      </c>
      <c r="N88" s="100">
        <f t="shared" si="15"/>
        <v>15693.59248630137</v>
      </c>
      <c r="O88" s="122">
        <f t="shared" si="20"/>
        <v>18.24931506849315</v>
      </c>
      <c r="P88" s="99">
        <f t="shared" si="16"/>
        <v>14837.742486301369</v>
      </c>
      <c r="Q88" s="100">
        <f t="shared" si="17"/>
        <v>813.0575</v>
      </c>
      <c r="R88" s="100">
        <f t="shared" si="18"/>
        <v>14880.534986301369</v>
      </c>
    </row>
    <row r="89" spans="1:18" ht="15">
      <c r="A89" s="128" t="s">
        <v>99</v>
      </c>
      <c r="B89" s="129">
        <v>42557</v>
      </c>
      <c r="C89" s="131">
        <v>16300</v>
      </c>
      <c r="D89" s="107"/>
      <c r="E89" s="107"/>
      <c r="F89" s="107"/>
      <c r="G89" s="99">
        <f t="shared" si="19"/>
        <v>815</v>
      </c>
      <c r="H89" s="107"/>
      <c r="I89" s="107"/>
      <c r="J89" s="107"/>
      <c r="K89" s="107">
        <f t="shared" si="13"/>
        <v>633</v>
      </c>
      <c r="L89" s="99">
        <f t="shared" si="14"/>
        <v>1.7342465753424658</v>
      </c>
      <c r="M89" s="99">
        <v>1342.740410958904</v>
      </c>
      <c r="N89" s="100">
        <f t="shared" si="15"/>
        <v>14957.259589041096</v>
      </c>
      <c r="O89" s="122">
        <f t="shared" si="20"/>
        <v>18.265753424657532</v>
      </c>
      <c r="P89" s="99">
        <f t="shared" si="16"/>
        <v>14142.259589041096</v>
      </c>
      <c r="Q89" s="100">
        <f t="shared" si="17"/>
        <v>774.25000000000011</v>
      </c>
      <c r="R89" s="100">
        <f t="shared" si="18"/>
        <v>14183.009589041096</v>
      </c>
    </row>
    <row r="90" spans="1:18" ht="15">
      <c r="A90" s="128" t="s">
        <v>99</v>
      </c>
      <c r="B90" s="129">
        <v>42577</v>
      </c>
      <c r="C90" s="131">
        <v>50952.38</v>
      </c>
      <c r="D90" s="107"/>
      <c r="E90" s="107"/>
      <c r="F90" s="107"/>
      <c r="G90" s="99">
        <f t="shared" si="19"/>
        <v>2547.6190000000001</v>
      </c>
      <c r="H90" s="107"/>
      <c r="I90" s="107"/>
      <c r="J90" s="107"/>
      <c r="K90" s="107">
        <f t="shared" si="13"/>
        <v>613</v>
      </c>
      <c r="L90" s="99">
        <f t="shared" si="14"/>
        <v>1.6794520547945206</v>
      </c>
      <c r="M90" s="99">
        <v>4064.6737661643838</v>
      </c>
      <c r="N90" s="100">
        <f t="shared" si="15"/>
        <v>46887.706233835612</v>
      </c>
      <c r="O90" s="122">
        <f t="shared" si="20"/>
        <v>18.32054794520548</v>
      </c>
      <c r="P90" s="99">
        <f t="shared" si="16"/>
        <v>44340.087233835613</v>
      </c>
      <c r="Q90" s="100">
        <f t="shared" si="17"/>
        <v>2420.2380499999999</v>
      </c>
      <c r="R90" s="100">
        <f t="shared" si="18"/>
        <v>44467.468183835612</v>
      </c>
    </row>
    <row r="91" spans="1:18" ht="15">
      <c r="A91" s="128" t="s">
        <v>99</v>
      </c>
      <c r="B91" s="129">
        <v>42627</v>
      </c>
      <c r="C91" s="131">
        <v>112857.14</v>
      </c>
      <c r="D91" s="107"/>
      <c r="E91" s="107"/>
      <c r="F91" s="107"/>
      <c r="G91" s="99">
        <f t="shared" si="19"/>
        <v>5642.857</v>
      </c>
      <c r="H91" s="107"/>
      <c r="I91" s="107"/>
      <c r="J91" s="107"/>
      <c r="K91" s="107">
        <f t="shared" si="13"/>
        <v>563</v>
      </c>
      <c r="L91" s="99">
        <f t="shared" si="14"/>
        <v>1.5424657534246575</v>
      </c>
      <c r="M91" s="99">
        <v>8268.7179902739717</v>
      </c>
      <c r="N91" s="100">
        <f t="shared" si="15"/>
        <v>104588.42200972603</v>
      </c>
      <c r="O91" s="122">
        <f t="shared" si="20"/>
        <v>18.457534246575342</v>
      </c>
      <c r="P91" s="99">
        <f t="shared" si="16"/>
        <v>98945.565009726022</v>
      </c>
      <c r="Q91" s="100">
        <f t="shared" si="17"/>
        <v>5360.7141499999998</v>
      </c>
      <c r="R91" s="100">
        <f t="shared" si="18"/>
        <v>99227.707859726026</v>
      </c>
    </row>
    <row r="92" spans="1:18" ht="15">
      <c r="A92" s="128" t="s">
        <v>100</v>
      </c>
      <c r="B92" s="129">
        <v>42494</v>
      </c>
      <c r="C92" s="131">
        <v>227094</v>
      </c>
      <c r="D92" s="107"/>
      <c r="E92" s="107"/>
      <c r="F92" s="107"/>
      <c r="G92" s="99">
        <f t="shared" si="19"/>
        <v>11354.7</v>
      </c>
      <c r="H92" s="107"/>
      <c r="I92" s="107"/>
      <c r="J92" s="107"/>
      <c r="K92" s="107">
        <f t="shared" si="13"/>
        <v>696</v>
      </c>
      <c r="L92" s="99">
        <f t="shared" si="14"/>
        <v>1.9068493150684931</v>
      </c>
      <c r="M92" s="99">
        <v>20569.116821917807</v>
      </c>
      <c r="N92" s="100">
        <f t="shared" si="15"/>
        <v>206524.88317808218</v>
      </c>
      <c r="O92" s="122">
        <f t="shared" si="20"/>
        <v>18.093150684931508</v>
      </c>
      <c r="P92" s="99">
        <f t="shared" si="16"/>
        <v>195170.18317808217</v>
      </c>
      <c r="Q92" s="100">
        <f t="shared" si="17"/>
        <v>10786.964999999998</v>
      </c>
      <c r="R92" s="100">
        <f t="shared" si="18"/>
        <v>195737.91817808218</v>
      </c>
    </row>
    <row r="93" spans="1:18" ht="15">
      <c r="A93" s="128" t="s">
        <v>100</v>
      </c>
      <c r="B93" s="129">
        <v>42497</v>
      </c>
      <c r="C93" s="131">
        <v>22393</v>
      </c>
      <c r="D93" s="107"/>
      <c r="E93" s="107"/>
      <c r="F93" s="107"/>
      <c r="G93" s="99">
        <f t="shared" si="19"/>
        <v>1119.6500000000001</v>
      </c>
      <c r="H93" s="107"/>
      <c r="I93" s="107"/>
      <c r="J93" s="107"/>
      <c r="K93" s="107">
        <f t="shared" si="13"/>
        <v>693</v>
      </c>
      <c r="L93" s="99">
        <f t="shared" si="14"/>
        <v>1.8986301369863015</v>
      </c>
      <c r="M93" s="99">
        <v>2019.5111712328767</v>
      </c>
      <c r="N93" s="100">
        <f t="shared" si="15"/>
        <v>20373.488828767124</v>
      </c>
      <c r="O93" s="122">
        <f t="shared" si="20"/>
        <v>18.101369863013698</v>
      </c>
      <c r="P93" s="99">
        <f t="shared" si="16"/>
        <v>19253.838828767122</v>
      </c>
      <c r="Q93" s="100">
        <f t="shared" si="17"/>
        <v>1063.6675</v>
      </c>
      <c r="R93" s="100">
        <f t="shared" si="18"/>
        <v>19309.821328767124</v>
      </c>
    </row>
    <row r="94" spans="1:18" ht="15">
      <c r="A94" s="128" t="s">
        <v>100</v>
      </c>
      <c r="B94" s="129">
        <v>42497</v>
      </c>
      <c r="C94" s="131">
        <v>162066</v>
      </c>
      <c r="D94" s="107"/>
      <c r="E94" s="107"/>
      <c r="F94" s="107"/>
      <c r="G94" s="99">
        <f t="shared" si="19"/>
        <v>8103.3</v>
      </c>
      <c r="H94" s="107"/>
      <c r="I94" s="107"/>
      <c r="J94" s="107"/>
      <c r="K94" s="107">
        <f t="shared" si="13"/>
        <v>693</v>
      </c>
      <c r="L94" s="99">
        <f t="shared" si="14"/>
        <v>1.8986301369863015</v>
      </c>
      <c r="M94" s="99">
        <v>14615.911109589044</v>
      </c>
      <c r="N94" s="100">
        <f t="shared" si="15"/>
        <v>147450.08889041096</v>
      </c>
      <c r="O94" s="122">
        <f t="shared" si="20"/>
        <v>18.101369863013698</v>
      </c>
      <c r="P94" s="99">
        <f t="shared" si="16"/>
        <v>139346.78889041097</v>
      </c>
      <c r="Q94" s="100">
        <f t="shared" si="17"/>
        <v>7698.1350000000011</v>
      </c>
      <c r="R94" s="100">
        <f t="shared" si="18"/>
        <v>139751.95389041095</v>
      </c>
    </row>
    <row r="95" spans="1:18" ht="15">
      <c r="A95" s="128" t="s">
        <v>100</v>
      </c>
      <c r="B95" s="129">
        <v>42497</v>
      </c>
      <c r="C95" s="131">
        <v>266873</v>
      </c>
      <c r="D95" s="107"/>
      <c r="E95" s="107"/>
      <c r="F95" s="107"/>
      <c r="G95" s="99">
        <f t="shared" si="19"/>
        <v>13343.650000000001</v>
      </c>
      <c r="H95" s="107"/>
      <c r="I95" s="107"/>
      <c r="J95" s="107"/>
      <c r="K95" s="107">
        <f t="shared" si="13"/>
        <v>693</v>
      </c>
      <c r="L95" s="99">
        <f t="shared" si="14"/>
        <v>1.8986301369863015</v>
      </c>
      <c r="M95" s="99">
        <v>24067.923226027397</v>
      </c>
      <c r="N95" s="100">
        <f t="shared" si="15"/>
        <v>242805.0767739726</v>
      </c>
      <c r="O95" s="122">
        <f t="shared" si="20"/>
        <v>18.101369863013698</v>
      </c>
      <c r="P95" s="99">
        <f t="shared" si="16"/>
        <v>229461.42677397261</v>
      </c>
      <c r="Q95" s="100">
        <f t="shared" si="17"/>
        <v>12676.467500000001</v>
      </c>
      <c r="R95" s="100">
        <f t="shared" si="18"/>
        <v>230128.6092739726</v>
      </c>
    </row>
    <row r="96" spans="1:18" ht="15">
      <c r="A96" s="128" t="s">
        <v>100</v>
      </c>
      <c r="B96" s="129">
        <v>42497</v>
      </c>
      <c r="C96" s="131">
        <v>174234</v>
      </c>
      <c r="D96" s="107"/>
      <c r="E96" s="107"/>
      <c r="F96" s="107"/>
      <c r="G96" s="99">
        <f t="shared" si="19"/>
        <v>8711.7000000000007</v>
      </c>
      <c r="H96" s="107"/>
      <c r="I96" s="107"/>
      <c r="J96" s="107"/>
      <c r="K96" s="107">
        <f t="shared" si="13"/>
        <v>693</v>
      </c>
      <c r="L96" s="99">
        <f t="shared" si="14"/>
        <v>1.8986301369863015</v>
      </c>
      <c r="M96" s="99">
        <v>15713.281356164382</v>
      </c>
      <c r="N96" s="100">
        <f t="shared" si="15"/>
        <v>158520.71864383563</v>
      </c>
      <c r="O96" s="122">
        <f t="shared" si="20"/>
        <v>18.101369863013698</v>
      </c>
      <c r="P96" s="99">
        <f t="shared" si="16"/>
        <v>149809.01864383562</v>
      </c>
      <c r="Q96" s="100">
        <f t="shared" si="17"/>
        <v>8276.1149999999998</v>
      </c>
      <c r="R96" s="100">
        <f t="shared" si="18"/>
        <v>150244.60364383564</v>
      </c>
    </row>
    <row r="97" spans="1:18" ht="15">
      <c r="A97" s="128" t="s">
        <v>100</v>
      </c>
      <c r="B97" s="129">
        <v>42506</v>
      </c>
      <c r="C97" s="131">
        <v>35243.21</v>
      </c>
      <c r="D97" s="107"/>
      <c r="E97" s="107"/>
      <c r="F97" s="107"/>
      <c r="G97" s="99">
        <f t="shared" si="19"/>
        <v>1762.1605</v>
      </c>
      <c r="H97" s="107"/>
      <c r="I97" s="107"/>
      <c r="J97" s="107"/>
      <c r="K97" s="107">
        <f t="shared" si="13"/>
        <v>684</v>
      </c>
      <c r="L97" s="99">
        <f t="shared" si="14"/>
        <v>1.8739726027397261</v>
      </c>
      <c r="M97" s="99">
        <v>3137.1284736986304</v>
      </c>
      <c r="N97" s="100">
        <f t="shared" si="15"/>
        <v>32106.081526301368</v>
      </c>
      <c r="O97" s="122">
        <f t="shared" si="20"/>
        <v>18.126027397260273</v>
      </c>
      <c r="P97" s="99">
        <f t="shared" si="16"/>
        <v>30343.921026301367</v>
      </c>
      <c r="Q97" s="100">
        <f t="shared" si="17"/>
        <v>1674.052475</v>
      </c>
      <c r="R97" s="100">
        <f t="shared" si="18"/>
        <v>30432.029051301368</v>
      </c>
    </row>
    <row r="98" spans="1:18" ht="15">
      <c r="A98" s="128" t="s">
        <v>100</v>
      </c>
      <c r="B98" s="129">
        <v>42510</v>
      </c>
      <c r="C98" s="131">
        <v>29089.81</v>
      </c>
      <c r="D98" s="107"/>
      <c r="E98" s="107"/>
      <c r="F98" s="107"/>
      <c r="G98" s="99">
        <f t="shared" si="19"/>
        <v>1454.4905000000001</v>
      </c>
      <c r="H98" s="107"/>
      <c r="I98" s="107"/>
      <c r="J98" s="107"/>
      <c r="K98" s="107">
        <f t="shared" si="13"/>
        <v>680</v>
      </c>
      <c r="L98" s="99">
        <f t="shared" si="14"/>
        <v>1.8630136986301369</v>
      </c>
      <c r="M98" s="99">
        <v>2574.2489397260274</v>
      </c>
      <c r="N98" s="100">
        <f t="shared" si="15"/>
        <v>26515.561060273973</v>
      </c>
      <c r="O98" s="122">
        <f t="shared" si="20"/>
        <v>18.136986301369863</v>
      </c>
      <c r="P98" s="99">
        <f t="shared" si="16"/>
        <v>25061.070560273973</v>
      </c>
      <c r="Q98" s="100">
        <f t="shared" si="17"/>
        <v>1381.765975</v>
      </c>
      <c r="R98" s="100">
        <f t="shared" si="18"/>
        <v>25133.795085273974</v>
      </c>
    </row>
    <row r="99" spans="1:18" ht="15">
      <c r="A99" s="128" t="s">
        <v>100</v>
      </c>
      <c r="B99" s="129">
        <v>42514</v>
      </c>
      <c r="C99" s="131">
        <v>24294</v>
      </c>
      <c r="D99" s="107"/>
      <c r="E99" s="107"/>
      <c r="F99" s="107"/>
      <c r="G99" s="99">
        <f t="shared" si="19"/>
        <v>1214.7</v>
      </c>
      <c r="H99" s="107"/>
      <c r="I99" s="107"/>
      <c r="J99" s="107"/>
      <c r="K99" s="107">
        <f t="shared" si="13"/>
        <v>676</v>
      </c>
      <c r="L99" s="99">
        <f t="shared" si="14"/>
        <v>1.8520547945205479</v>
      </c>
      <c r="M99" s="99">
        <v>2137.2064109589041</v>
      </c>
      <c r="N99" s="100">
        <f t="shared" si="15"/>
        <v>22156.793589041095</v>
      </c>
      <c r="O99" s="122">
        <f t="shared" si="20"/>
        <v>18.147945205479452</v>
      </c>
      <c r="P99" s="99">
        <f t="shared" si="16"/>
        <v>20942.093589041095</v>
      </c>
      <c r="Q99" s="100">
        <f t="shared" si="17"/>
        <v>1153.9649999999999</v>
      </c>
      <c r="R99" s="100">
        <f t="shared" si="18"/>
        <v>21002.828589041095</v>
      </c>
    </row>
    <row r="100" spans="1:18" ht="15">
      <c r="A100" s="128" t="s">
        <v>100</v>
      </c>
      <c r="B100" s="129">
        <v>42516</v>
      </c>
      <c r="C100" s="131">
        <v>204040</v>
      </c>
      <c r="D100" s="107"/>
      <c r="E100" s="107"/>
      <c r="F100" s="107"/>
      <c r="G100" s="99">
        <f t="shared" si="19"/>
        <v>10202</v>
      </c>
      <c r="H100" s="107"/>
      <c r="I100" s="107"/>
      <c r="J100" s="107"/>
      <c r="K100" s="107">
        <f t="shared" si="13"/>
        <v>674</v>
      </c>
      <c r="L100" s="99">
        <f t="shared" si="14"/>
        <v>1.8465753424657534</v>
      </c>
      <c r="M100" s="99">
        <v>17896.823561643836</v>
      </c>
      <c r="N100" s="100">
        <f t="shared" si="15"/>
        <v>186143.17643835617</v>
      </c>
      <c r="O100" s="122">
        <f t="shared" si="20"/>
        <v>18.153424657534245</v>
      </c>
      <c r="P100" s="99">
        <f t="shared" si="16"/>
        <v>175941.17643835617</v>
      </c>
      <c r="Q100" s="100">
        <f t="shared" si="17"/>
        <v>9691.9000000000015</v>
      </c>
      <c r="R100" s="100">
        <f t="shared" si="18"/>
        <v>176451.27643835617</v>
      </c>
    </row>
    <row r="101" spans="1:18" ht="15">
      <c r="A101" s="128" t="s">
        <v>100</v>
      </c>
      <c r="B101" s="129">
        <v>42517</v>
      </c>
      <c r="C101" s="131">
        <v>35276</v>
      </c>
      <c r="D101" s="107"/>
      <c r="E101" s="107"/>
      <c r="F101" s="107"/>
      <c r="G101" s="99">
        <f t="shared" si="19"/>
        <v>1763.8000000000002</v>
      </c>
      <c r="H101" s="107"/>
      <c r="I101" s="107"/>
      <c r="J101" s="107"/>
      <c r="K101" s="107">
        <f t="shared" si="13"/>
        <v>673</v>
      </c>
      <c r="L101" s="99">
        <f t="shared" si="14"/>
        <v>1.8438356164383563</v>
      </c>
      <c r="M101" s="99">
        <v>3089.549397260274</v>
      </c>
      <c r="N101" s="100">
        <f t="shared" si="15"/>
        <v>32186.450602739726</v>
      </c>
      <c r="O101" s="122">
        <f t="shared" si="20"/>
        <v>18.156164383561645</v>
      </c>
      <c r="P101" s="99">
        <f t="shared" si="16"/>
        <v>30422.650602739726</v>
      </c>
      <c r="Q101" s="100">
        <f t="shared" si="17"/>
        <v>1675.61</v>
      </c>
      <c r="R101" s="100">
        <f t="shared" si="18"/>
        <v>30510.840602739725</v>
      </c>
    </row>
    <row r="102" spans="1:18" ht="15">
      <c r="A102" s="128" t="s">
        <v>100</v>
      </c>
      <c r="B102" s="129">
        <v>42522</v>
      </c>
      <c r="C102" s="131">
        <v>730880</v>
      </c>
      <c r="D102" s="107"/>
      <c r="E102" s="107"/>
      <c r="F102" s="107"/>
      <c r="G102" s="99">
        <f t="shared" si="19"/>
        <v>36544</v>
      </c>
      <c r="H102" s="107"/>
      <c r="I102" s="107"/>
      <c r="J102" s="107"/>
      <c r="K102" s="107">
        <f t="shared" si="13"/>
        <v>668</v>
      </c>
      <c r="L102" s="99">
        <f t="shared" si="14"/>
        <v>1.8301369863013699</v>
      </c>
      <c r="M102" s="99">
        <v>63536.499726027396</v>
      </c>
      <c r="N102" s="100">
        <f t="shared" si="15"/>
        <v>667343.50027397263</v>
      </c>
      <c r="O102" s="122">
        <f t="shared" si="20"/>
        <v>18.169863013698631</v>
      </c>
      <c r="P102" s="99">
        <f t="shared" si="16"/>
        <v>630799.50027397263</v>
      </c>
      <c r="Q102" s="100">
        <f t="shared" si="17"/>
        <v>34716.800000000003</v>
      </c>
      <c r="R102" s="100">
        <f t="shared" si="18"/>
        <v>632626.70027397259</v>
      </c>
    </row>
    <row r="103" spans="1:18" ht="15">
      <c r="A103" s="128" t="s">
        <v>100</v>
      </c>
      <c r="B103" s="129">
        <v>42522</v>
      </c>
      <c r="C103" s="131">
        <v>177255.52</v>
      </c>
      <c r="D103" s="107"/>
      <c r="E103" s="107"/>
      <c r="F103" s="107"/>
      <c r="G103" s="99">
        <f t="shared" si="19"/>
        <v>8862.7759999999998</v>
      </c>
      <c r="H103" s="107"/>
      <c r="I103" s="107"/>
      <c r="J103" s="107"/>
      <c r="K103" s="107">
        <f t="shared" si="13"/>
        <v>668</v>
      </c>
      <c r="L103" s="99">
        <f t="shared" si="14"/>
        <v>1.8301369863013699</v>
      </c>
      <c r="M103" s="99">
        <v>15409.0894509589</v>
      </c>
      <c r="N103" s="100">
        <f t="shared" si="15"/>
        <v>161846.43054904108</v>
      </c>
      <c r="O103" s="122">
        <f t="shared" si="20"/>
        <v>18.169863013698631</v>
      </c>
      <c r="P103" s="99">
        <f t="shared" si="16"/>
        <v>152983.65454904106</v>
      </c>
      <c r="Q103" s="100">
        <f t="shared" si="17"/>
        <v>8419.6371999999974</v>
      </c>
      <c r="R103" s="100">
        <f t="shared" si="18"/>
        <v>153426.79334904108</v>
      </c>
    </row>
    <row r="104" spans="1:18" ht="15">
      <c r="A104" s="128" t="s">
        <v>100</v>
      </c>
      <c r="B104" s="129">
        <v>42522</v>
      </c>
      <c r="C104" s="131">
        <v>43880.41</v>
      </c>
      <c r="D104" s="107"/>
      <c r="E104" s="107"/>
      <c r="F104" s="107"/>
      <c r="G104" s="99">
        <f t="shared" si="19"/>
        <v>2194.0205000000001</v>
      </c>
      <c r="H104" s="107"/>
      <c r="I104" s="107"/>
      <c r="J104" s="107"/>
      <c r="K104" s="107">
        <f t="shared" si="13"/>
        <v>668</v>
      </c>
      <c r="L104" s="99">
        <f t="shared" si="14"/>
        <v>1.8301369863013699</v>
      </c>
      <c r="M104" s="99">
        <v>3814.5901624657536</v>
      </c>
      <c r="N104" s="100">
        <f t="shared" si="15"/>
        <v>40065.819837534247</v>
      </c>
      <c r="O104" s="122">
        <f t="shared" si="20"/>
        <v>18.169863013698631</v>
      </c>
      <c r="P104" s="99">
        <f t="shared" si="16"/>
        <v>37871.799337534248</v>
      </c>
      <c r="Q104" s="100">
        <f t="shared" si="17"/>
        <v>2084.3194749999998</v>
      </c>
      <c r="R104" s="100">
        <f t="shared" si="18"/>
        <v>37981.500362534251</v>
      </c>
    </row>
    <row r="105" spans="1:18" ht="15">
      <c r="A105" s="128" t="s">
        <v>100</v>
      </c>
      <c r="B105" s="129">
        <v>42532</v>
      </c>
      <c r="C105" s="131">
        <v>163268</v>
      </c>
      <c r="D105" s="107"/>
      <c r="E105" s="107"/>
      <c r="F105" s="107"/>
      <c r="G105" s="99">
        <f t="shared" si="19"/>
        <v>8163.4000000000005</v>
      </c>
      <c r="H105" s="107"/>
      <c r="I105" s="107"/>
      <c r="J105" s="107"/>
      <c r="K105" s="107">
        <f t="shared" si="13"/>
        <v>658</v>
      </c>
      <c r="L105" s="99">
        <f t="shared" si="14"/>
        <v>1.8027397260273972</v>
      </c>
      <c r="M105" s="99">
        <v>13980.661205479453</v>
      </c>
      <c r="N105" s="100">
        <f t="shared" si="15"/>
        <v>149287.33879452053</v>
      </c>
      <c r="O105" s="122">
        <f t="shared" si="20"/>
        <v>18.197260273972603</v>
      </c>
      <c r="P105" s="99">
        <f t="shared" si="16"/>
        <v>141123.93879452054</v>
      </c>
      <c r="Q105" s="100">
        <f t="shared" si="17"/>
        <v>7755.23</v>
      </c>
      <c r="R105" s="100">
        <f t="shared" si="18"/>
        <v>141532.10879452052</v>
      </c>
    </row>
    <row r="106" spans="1:18" ht="15">
      <c r="A106" s="128" t="s">
        <v>100</v>
      </c>
      <c r="B106" s="129">
        <v>42532</v>
      </c>
      <c r="C106" s="131">
        <v>47035</v>
      </c>
      <c r="D106" s="107"/>
      <c r="E106" s="107"/>
      <c r="F106" s="107"/>
      <c r="G106" s="99">
        <f t="shared" si="19"/>
        <v>2351.75</v>
      </c>
      <c r="H106" s="107"/>
      <c r="I106" s="107"/>
      <c r="J106" s="107"/>
      <c r="K106" s="107">
        <f t="shared" si="13"/>
        <v>658</v>
      </c>
      <c r="L106" s="99">
        <f t="shared" si="14"/>
        <v>1.8027397260273972</v>
      </c>
      <c r="M106" s="99">
        <v>4027.6134931506849</v>
      </c>
      <c r="N106" s="100">
        <f t="shared" si="15"/>
        <v>43007.386506849318</v>
      </c>
      <c r="O106" s="122">
        <f t="shared" si="20"/>
        <v>18.197260273972603</v>
      </c>
      <c r="P106" s="99">
        <f t="shared" si="16"/>
        <v>40655.636506849318</v>
      </c>
      <c r="Q106" s="100">
        <f t="shared" si="17"/>
        <v>2234.1625000000004</v>
      </c>
      <c r="R106" s="100">
        <f t="shared" si="18"/>
        <v>40773.224006849319</v>
      </c>
    </row>
    <row r="107" spans="1:18" ht="15">
      <c r="A107" s="128" t="s">
        <v>100</v>
      </c>
      <c r="B107" s="129">
        <v>42532</v>
      </c>
      <c r="C107" s="131">
        <v>27608</v>
      </c>
      <c r="D107" s="107"/>
      <c r="E107" s="107"/>
      <c r="F107" s="107"/>
      <c r="G107" s="99">
        <f t="shared" si="19"/>
        <v>1380.4</v>
      </c>
      <c r="H107" s="107"/>
      <c r="I107" s="107"/>
      <c r="J107" s="107"/>
      <c r="K107" s="107">
        <f t="shared" si="13"/>
        <v>658</v>
      </c>
      <c r="L107" s="99">
        <f t="shared" si="14"/>
        <v>1.8027397260273972</v>
      </c>
      <c r="M107" s="99">
        <v>2364.076821917808</v>
      </c>
      <c r="N107" s="100">
        <f t="shared" si="15"/>
        <v>25243.923178082194</v>
      </c>
      <c r="O107" s="122">
        <f t="shared" si="20"/>
        <v>18.197260273972603</v>
      </c>
      <c r="P107" s="99">
        <f t="shared" si="16"/>
        <v>23863.523178082192</v>
      </c>
      <c r="Q107" s="100">
        <f t="shared" si="17"/>
        <v>1311.38</v>
      </c>
      <c r="R107" s="100">
        <f t="shared" si="18"/>
        <v>23932.543178082193</v>
      </c>
    </row>
    <row r="108" spans="1:18" ht="15">
      <c r="A108" s="128" t="s">
        <v>100</v>
      </c>
      <c r="B108" s="129">
        <v>42532</v>
      </c>
      <c r="C108" s="131">
        <v>53988</v>
      </c>
      <c r="D108" s="107"/>
      <c r="E108" s="107"/>
      <c r="F108" s="107"/>
      <c r="G108" s="99">
        <f t="shared" si="19"/>
        <v>2699.4</v>
      </c>
      <c r="H108" s="107"/>
      <c r="I108" s="107"/>
      <c r="J108" s="107"/>
      <c r="K108" s="107">
        <f t="shared" si="13"/>
        <v>658</v>
      </c>
      <c r="L108" s="99">
        <f t="shared" si="14"/>
        <v>1.8027397260273972</v>
      </c>
      <c r="M108" s="99">
        <v>4622.9998356164378</v>
      </c>
      <c r="N108" s="100">
        <f t="shared" si="15"/>
        <v>49365.000164383564</v>
      </c>
      <c r="O108" s="122">
        <f t="shared" si="20"/>
        <v>18.197260273972603</v>
      </c>
      <c r="P108" s="99">
        <f t="shared" si="16"/>
        <v>46665.600164383563</v>
      </c>
      <c r="Q108" s="100">
        <f t="shared" si="17"/>
        <v>2564.4299999999998</v>
      </c>
      <c r="R108" s="100">
        <f t="shared" si="18"/>
        <v>46800.570164383564</v>
      </c>
    </row>
    <row r="109" spans="1:18" ht="15">
      <c r="A109" s="128" t="s">
        <v>100</v>
      </c>
      <c r="B109" s="129">
        <v>42532</v>
      </c>
      <c r="C109" s="131">
        <v>135788</v>
      </c>
      <c r="D109" s="107"/>
      <c r="E109" s="107"/>
      <c r="F109" s="107"/>
      <c r="G109" s="99">
        <f t="shared" si="19"/>
        <v>6789.4000000000005</v>
      </c>
      <c r="H109" s="107"/>
      <c r="I109" s="107"/>
      <c r="J109" s="107"/>
      <c r="K109" s="107">
        <f t="shared" si="13"/>
        <v>658</v>
      </c>
      <c r="L109" s="99">
        <f t="shared" si="14"/>
        <v>1.8027397260273972</v>
      </c>
      <c r="M109" s="99">
        <v>11627.545041095891</v>
      </c>
      <c r="N109" s="100">
        <f t="shared" si="15"/>
        <v>124160.45495890411</v>
      </c>
      <c r="O109" s="122">
        <f t="shared" si="20"/>
        <v>18.197260273972603</v>
      </c>
      <c r="P109" s="99">
        <f t="shared" si="16"/>
        <v>117371.05495890412</v>
      </c>
      <c r="Q109" s="100">
        <f t="shared" si="17"/>
        <v>6449.93</v>
      </c>
      <c r="R109" s="100">
        <f t="shared" si="18"/>
        <v>117710.52495890411</v>
      </c>
    </row>
    <row r="110" spans="1:18" ht="15">
      <c r="A110" s="128" t="s">
        <v>100</v>
      </c>
      <c r="B110" s="129">
        <v>42537</v>
      </c>
      <c r="C110" s="131">
        <v>32925</v>
      </c>
      <c r="D110" s="107"/>
      <c r="E110" s="107"/>
      <c r="F110" s="107"/>
      <c r="G110" s="99">
        <f t="shared" si="19"/>
        <v>1646.25</v>
      </c>
      <c r="H110" s="107"/>
      <c r="I110" s="107"/>
      <c r="J110" s="107"/>
      <c r="K110" s="107">
        <f t="shared" si="13"/>
        <v>653</v>
      </c>
      <c r="L110" s="99">
        <f t="shared" si="14"/>
        <v>1.789041095890411</v>
      </c>
      <c r="M110" s="99">
        <v>2797.9484589041094</v>
      </c>
      <c r="N110" s="100">
        <f t="shared" si="15"/>
        <v>30127.051541095891</v>
      </c>
      <c r="O110" s="122">
        <f t="shared" si="20"/>
        <v>18.210958904109589</v>
      </c>
      <c r="P110" s="99">
        <f t="shared" si="16"/>
        <v>28480.801541095891</v>
      </c>
      <c r="Q110" s="100">
        <f t="shared" si="17"/>
        <v>1563.9375</v>
      </c>
      <c r="R110" s="100">
        <f t="shared" si="18"/>
        <v>28563.114041095891</v>
      </c>
    </row>
    <row r="111" spans="1:18" ht="15">
      <c r="A111" s="128" t="s">
        <v>100</v>
      </c>
      <c r="B111" s="129">
        <v>42537</v>
      </c>
      <c r="C111" s="131">
        <v>19325</v>
      </c>
      <c r="D111" s="107"/>
      <c r="E111" s="107"/>
      <c r="F111" s="107"/>
      <c r="G111" s="99">
        <f t="shared" si="19"/>
        <v>966.25</v>
      </c>
      <c r="H111" s="107"/>
      <c r="I111" s="107"/>
      <c r="J111" s="107"/>
      <c r="K111" s="107">
        <f t="shared" si="13"/>
        <v>653</v>
      </c>
      <c r="L111" s="99">
        <f t="shared" si="14"/>
        <v>1.789041095890411</v>
      </c>
      <c r="M111" s="99">
        <v>1642.227910958904</v>
      </c>
      <c r="N111" s="100">
        <f t="shared" si="15"/>
        <v>17682.772089041096</v>
      </c>
      <c r="O111" s="122">
        <f t="shared" si="20"/>
        <v>18.210958904109589</v>
      </c>
      <c r="P111" s="99">
        <f t="shared" si="16"/>
        <v>16716.522089041096</v>
      </c>
      <c r="Q111" s="100">
        <f t="shared" si="17"/>
        <v>917.9375</v>
      </c>
      <c r="R111" s="100">
        <f t="shared" si="18"/>
        <v>16764.834589041096</v>
      </c>
    </row>
    <row r="112" spans="1:18" ht="15">
      <c r="A112" s="128" t="s">
        <v>100</v>
      </c>
      <c r="B112" s="129">
        <v>42549</v>
      </c>
      <c r="C112" s="131">
        <v>166054</v>
      </c>
      <c r="D112" s="107"/>
      <c r="E112" s="107"/>
      <c r="F112" s="107"/>
      <c r="G112" s="99">
        <f t="shared" si="19"/>
        <v>8302.7000000000007</v>
      </c>
      <c r="H112" s="107"/>
      <c r="I112" s="107"/>
      <c r="J112" s="107"/>
      <c r="K112" s="107">
        <f t="shared" si="13"/>
        <v>641</v>
      </c>
      <c r="L112" s="99">
        <f t="shared" si="14"/>
        <v>1.7561643835616438</v>
      </c>
      <c r="M112" s="99">
        <v>13851.860726027397</v>
      </c>
      <c r="N112" s="100">
        <f t="shared" si="15"/>
        <v>152202.1392739726</v>
      </c>
      <c r="O112" s="122">
        <f t="shared" si="20"/>
        <v>18.243835616438357</v>
      </c>
      <c r="P112" s="99">
        <f t="shared" si="16"/>
        <v>143899.43927397259</v>
      </c>
      <c r="Q112" s="100">
        <f t="shared" si="17"/>
        <v>7887.5649999999987</v>
      </c>
      <c r="R112" s="100">
        <f t="shared" si="18"/>
        <v>144314.5742739726</v>
      </c>
    </row>
    <row r="113" spans="1:18" ht="15">
      <c r="A113" s="128" t="s">
        <v>100</v>
      </c>
      <c r="B113" s="129">
        <v>42550</v>
      </c>
      <c r="C113" s="131">
        <v>136256</v>
      </c>
      <c r="D113" s="107"/>
      <c r="E113" s="107"/>
      <c r="F113" s="107"/>
      <c r="G113" s="99">
        <f t="shared" si="19"/>
        <v>6812.8</v>
      </c>
      <c r="H113" s="107"/>
      <c r="I113" s="107"/>
      <c r="J113" s="107"/>
      <c r="K113" s="107">
        <f t="shared" si="13"/>
        <v>640</v>
      </c>
      <c r="L113" s="99">
        <f t="shared" si="14"/>
        <v>1.7534246575342465</v>
      </c>
      <c r="M113" s="99">
        <v>11348.444931506849</v>
      </c>
      <c r="N113" s="100">
        <f t="shared" si="15"/>
        <v>124907.55506849315</v>
      </c>
      <c r="O113" s="122">
        <f t="shared" si="20"/>
        <v>18.246575342465754</v>
      </c>
      <c r="P113" s="99">
        <f t="shared" si="16"/>
        <v>118094.75506849315</v>
      </c>
      <c r="Q113" s="100">
        <f t="shared" si="17"/>
        <v>6472.16</v>
      </c>
      <c r="R113" s="100">
        <f t="shared" si="18"/>
        <v>118435.39506849315</v>
      </c>
    </row>
    <row r="114" spans="1:18" ht="15">
      <c r="A114" s="128" t="s">
        <v>100</v>
      </c>
      <c r="B114" s="129">
        <v>42550</v>
      </c>
      <c r="C114" s="131">
        <v>35276</v>
      </c>
      <c r="D114" s="107"/>
      <c r="E114" s="107"/>
      <c r="F114" s="107"/>
      <c r="G114" s="99">
        <f t="shared" si="19"/>
        <v>1763.8000000000002</v>
      </c>
      <c r="H114" s="107"/>
      <c r="I114" s="107"/>
      <c r="J114" s="107"/>
      <c r="K114" s="107">
        <f t="shared" si="13"/>
        <v>640</v>
      </c>
      <c r="L114" s="99">
        <f t="shared" si="14"/>
        <v>1.7534246575342465</v>
      </c>
      <c r="M114" s="99">
        <v>2938.0558904109589</v>
      </c>
      <c r="N114" s="100">
        <f t="shared" si="15"/>
        <v>32337.94410958904</v>
      </c>
      <c r="O114" s="122">
        <f t="shared" si="20"/>
        <v>18.246575342465754</v>
      </c>
      <c r="P114" s="99">
        <f t="shared" si="16"/>
        <v>30574.14410958904</v>
      </c>
      <c r="Q114" s="100">
        <f t="shared" si="17"/>
        <v>1675.61</v>
      </c>
      <c r="R114" s="100">
        <f t="shared" si="18"/>
        <v>30662.334109589039</v>
      </c>
    </row>
    <row r="115" spans="1:18" ht="15">
      <c r="A115" s="128" t="s">
        <v>100</v>
      </c>
      <c r="B115" s="129">
        <v>42550</v>
      </c>
      <c r="C115" s="131">
        <v>31084</v>
      </c>
      <c r="D115" s="107"/>
      <c r="E115" s="107"/>
      <c r="F115" s="107"/>
      <c r="G115" s="99">
        <f t="shared" si="19"/>
        <v>1554.2</v>
      </c>
      <c r="H115" s="107"/>
      <c r="I115" s="107"/>
      <c r="J115" s="107"/>
      <c r="K115" s="107">
        <f t="shared" si="13"/>
        <v>640</v>
      </c>
      <c r="L115" s="99">
        <f t="shared" si="14"/>
        <v>1.7534246575342465</v>
      </c>
      <c r="M115" s="99">
        <v>2588.9139726027397</v>
      </c>
      <c r="N115" s="100">
        <f t="shared" si="15"/>
        <v>28495.086027397261</v>
      </c>
      <c r="O115" s="122">
        <f t="shared" si="20"/>
        <v>18.246575342465754</v>
      </c>
      <c r="P115" s="99">
        <f t="shared" si="16"/>
        <v>26940.88602739726</v>
      </c>
      <c r="Q115" s="100">
        <f t="shared" si="17"/>
        <v>1476.49</v>
      </c>
      <c r="R115" s="100">
        <f t="shared" si="18"/>
        <v>27018.59602739726</v>
      </c>
    </row>
    <row r="116" spans="1:18" ht="15">
      <c r="A116" s="128" t="s">
        <v>100</v>
      </c>
      <c r="B116" s="129">
        <v>42552</v>
      </c>
      <c r="C116" s="131">
        <v>899446</v>
      </c>
      <c r="D116" s="107"/>
      <c r="E116" s="107"/>
      <c r="F116" s="107"/>
      <c r="G116" s="99">
        <f t="shared" si="19"/>
        <v>44972.3</v>
      </c>
      <c r="H116" s="107"/>
      <c r="I116" s="107"/>
      <c r="J116" s="107"/>
      <c r="K116" s="107">
        <f t="shared" si="13"/>
        <v>638</v>
      </c>
      <c r="L116" s="99">
        <f t="shared" si="14"/>
        <v>1.747945205479452</v>
      </c>
      <c r="M116" s="99">
        <v>74678.660356164386</v>
      </c>
      <c r="N116" s="100">
        <f t="shared" si="15"/>
        <v>824767.33964383556</v>
      </c>
      <c r="O116" s="122">
        <f t="shared" si="20"/>
        <v>18.252054794520546</v>
      </c>
      <c r="P116" s="99">
        <f t="shared" si="16"/>
        <v>779795.03964383551</v>
      </c>
      <c r="Q116" s="100">
        <f t="shared" si="17"/>
        <v>42723.684999999998</v>
      </c>
      <c r="R116" s="100">
        <f t="shared" si="18"/>
        <v>782043.6546438355</v>
      </c>
    </row>
    <row r="117" spans="1:18" ht="15">
      <c r="A117" s="128" t="s">
        <v>100</v>
      </c>
      <c r="B117" s="129">
        <v>42554</v>
      </c>
      <c r="C117" s="131">
        <v>116188</v>
      </c>
      <c r="D117" s="107"/>
      <c r="E117" s="107"/>
      <c r="F117" s="107"/>
      <c r="G117" s="99">
        <f t="shared" si="19"/>
        <v>5809.4000000000005</v>
      </c>
      <c r="H117" s="107"/>
      <c r="I117" s="107"/>
      <c r="J117" s="107"/>
      <c r="K117" s="107">
        <f t="shared" si="13"/>
        <v>636</v>
      </c>
      <c r="L117" s="99">
        <f t="shared" si="14"/>
        <v>1.7424657534246575</v>
      </c>
      <c r="M117" s="99">
        <v>9616.546520547945</v>
      </c>
      <c r="N117" s="100">
        <f t="shared" si="15"/>
        <v>106571.45347945206</v>
      </c>
      <c r="O117" s="122">
        <f t="shared" si="20"/>
        <v>18.257534246575343</v>
      </c>
      <c r="P117" s="99">
        <f t="shared" si="16"/>
        <v>100762.05347945206</v>
      </c>
      <c r="Q117" s="100">
        <f t="shared" si="17"/>
        <v>5518.93</v>
      </c>
      <c r="R117" s="100">
        <f t="shared" si="18"/>
        <v>101052.52347945207</v>
      </c>
    </row>
    <row r="118" spans="1:18" ht="15">
      <c r="A118" s="128" t="s">
        <v>100</v>
      </c>
      <c r="B118" s="129">
        <v>42562</v>
      </c>
      <c r="C118" s="131">
        <v>238995.7</v>
      </c>
      <c r="D118" s="107"/>
      <c r="E118" s="107"/>
      <c r="F118" s="107"/>
      <c r="G118" s="99">
        <f t="shared" si="19"/>
        <v>11949.785000000002</v>
      </c>
      <c r="H118" s="107"/>
      <c r="I118" s="107"/>
      <c r="J118" s="107"/>
      <c r="K118" s="107">
        <f t="shared" si="13"/>
        <v>628</v>
      </c>
      <c r="L118" s="99">
        <f t="shared" si="14"/>
        <v>1.7205479452054795</v>
      </c>
      <c r="M118" s="99">
        <v>19532.169126027395</v>
      </c>
      <c r="N118" s="100">
        <f t="shared" si="15"/>
        <v>219463.53087397263</v>
      </c>
      <c r="O118" s="122">
        <f t="shared" si="20"/>
        <v>18.279452054794522</v>
      </c>
      <c r="P118" s="99">
        <f t="shared" si="16"/>
        <v>207513.74587397263</v>
      </c>
      <c r="Q118" s="100">
        <f t="shared" si="17"/>
        <v>11352.295750000001</v>
      </c>
      <c r="R118" s="100">
        <f t="shared" si="18"/>
        <v>208111.23512397264</v>
      </c>
    </row>
    <row r="119" spans="1:18" ht="15">
      <c r="A119" s="128" t="s">
        <v>100</v>
      </c>
      <c r="B119" s="129">
        <v>42563</v>
      </c>
      <c r="C119" s="131">
        <v>333028.27</v>
      </c>
      <c r="D119" s="107"/>
      <c r="E119" s="107"/>
      <c r="F119" s="107"/>
      <c r="G119" s="99">
        <f t="shared" si="19"/>
        <v>16651.413500000002</v>
      </c>
      <c r="H119" s="107"/>
      <c r="I119" s="107"/>
      <c r="J119" s="107"/>
      <c r="K119" s="107">
        <f t="shared" si="13"/>
        <v>627</v>
      </c>
      <c r="L119" s="99">
        <f t="shared" si="14"/>
        <v>1.7178082191780821</v>
      </c>
      <c r="M119" s="99">
        <v>27173.738222671233</v>
      </c>
      <c r="N119" s="100">
        <f t="shared" si="15"/>
        <v>305854.53177732881</v>
      </c>
      <c r="O119" s="122">
        <f t="shared" si="20"/>
        <v>18.282191780821918</v>
      </c>
      <c r="P119" s="99">
        <f t="shared" si="16"/>
        <v>289203.11827732879</v>
      </c>
      <c r="Q119" s="100">
        <f t="shared" si="17"/>
        <v>15818.842825000002</v>
      </c>
      <c r="R119" s="100">
        <f t="shared" si="18"/>
        <v>290035.68895232881</v>
      </c>
    </row>
    <row r="120" spans="1:18" ht="15">
      <c r="A120" s="128" t="s">
        <v>100</v>
      </c>
      <c r="B120" s="129">
        <v>42563</v>
      </c>
      <c r="C120" s="131">
        <v>315850.25</v>
      </c>
      <c r="D120" s="107"/>
      <c r="E120" s="107"/>
      <c r="F120" s="107"/>
      <c r="G120" s="99">
        <f t="shared" si="19"/>
        <v>15792.512500000001</v>
      </c>
      <c r="H120" s="107"/>
      <c r="I120" s="107"/>
      <c r="J120" s="107"/>
      <c r="K120" s="107">
        <f t="shared" si="13"/>
        <v>627</v>
      </c>
      <c r="L120" s="99">
        <f t="shared" si="14"/>
        <v>1.7178082191780821</v>
      </c>
      <c r="M120" s="99">
        <v>25772.08238527397</v>
      </c>
      <c r="N120" s="100">
        <f t="shared" si="15"/>
        <v>290078.167614726</v>
      </c>
      <c r="O120" s="122">
        <f t="shared" si="20"/>
        <v>18.282191780821918</v>
      </c>
      <c r="P120" s="99">
        <f t="shared" si="16"/>
        <v>274285.65511472599</v>
      </c>
      <c r="Q120" s="100">
        <f t="shared" si="17"/>
        <v>15002.886874999998</v>
      </c>
      <c r="R120" s="100">
        <f t="shared" si="18"/>
        <v>275075.28073972597</v>
      </c>
    </row>
    <row r="121" spans="1:18" ht="15">
      <c r="A121" s="128" t="s">
        <v>100</v>
      </c>
      <c r="B121" s="129">
        <v>42564</v>
      </c>
      <c r="C121" s="131">
        <v>36441</v>
      </c>
      <c r="D121" s="107"/>
      <c r="E121" s="107"/>
      <c r="F121" s="107"/>
      <c r="G121" s="99">
        <f t="shared" si="19"/>
        <v>1822.0500000000002</v>
      </c>
      <c r="H121" s="107"/>
      <c r="I121" s="107"/>
      <c r="J121" s="107"/>
      <c r="K121" s="107">
        <f t="shared" si="13"/>
        <v>626</v>
      </c>
      <c r="L121" s="99">
        <f t="shared" si="14"/>
        <v>1.715068493150685</v>
      </c>
      <c r="M121" s="99">
        <v>2968.6935205479449</v>
      </c>
      <c r="N121" s="100">
        <f t="shared" si="15"/>
        <v>33472.306479452054</v>
      </c>
      <c r="O121" s="122">
        <f t="shared" si="20"/>
        <v>18.284931506849315</v>
      </c>
      <c r="P121" s="99">
        <f t="shared" si="16"/>
        <v>31650.256479452055</v>
      </c>
      <c r="Q121" s="100">
        <f t="shared" si="17"/>
        <v>1730.9475</v>
      </c>
      <c r="R121" s="100">
        <f t="shared" si="18"/>
        <v>31741.358979452056</v>
      </c>
    </row>
    <row r="122" spans="1:18" ht="15">
      <c r="A122" s="128" t="s">
        <v>100</v>
      </c>
      <c r="B122" s="129">
        <v>42565</v>
      </c>
      <c r="C122" s="131">
        <v>23142.68</v>
      </c>
      <c r="D122" s="107"/>
      <c r="E122" s="107"/>
      <c r="F122" s="107"/>
      <c r="G122" s="99">
        <f t="shared" si="19"/>
        <v>1157.134</v>
      </c>
      <c r="H122" s="107"/>
      <c r="I122" s="107"/>
      <c r="J122" s="107"/>
      <c r="K122" s="107">
        <f t="shared" si="13"/>
        <v>625</v>
      </c>
      <c r="L122" s="99">
        <f t="shared" si="14"/>
        <v>1.7123287671232876</v>
      </c>
      <c r="M122" s="99">
        <v>1882.3241438356165</v>
      </c>
      <c r="N122" s="100">
        <f t="shared" si="15"/>
        <v>21260.355856164384</v>
      </c>
      <c r="O122" s="122">
        <f t="shared" si="20"/>
        <v>18.287671232876711</v>
      </c>
      <c r="P122" s="99">
        <f t="shared" si="16"/>
        <v>20103.221856164382</v>
      </c>
      <c r="Q122" s="100">
        <f t="shared" si="17"/>
        <v>1099.2773</v>
      </c>
      <c r="R122" s="100">
        <f t="shared" si="18"/>
        <v>20161.078556164382</v>
      </c>
    </row>
    <row r="123" spans="1:18" ht="15">
      <c r="A123" s="128" t="s">
        <v>100</v>
      </c>
      <c r="B123" s="129">
        <v>42566</v>
      </c>
      <c r="C123" s="131">
        <v>150256</v>
      </c>
      <c r="D123" s="107"/>
      <c r="E123" s="107"/>
      <c r="F123" s="107"/>
      <c r="G123" s="99">
        <f t="shared" si="19"/>
        <v>7512.8</v>
      </c>
      <c r="H123" s="107"/>
      <c r="I123" s="107"/>
      <c r="J123" s="107"/>
      <c r="K123" s="107">
        <f t="shared" si="13"/>
        <v>624</v>
      </c>
      <c r="L123" s="99">
        <f t="shared" si="14"/>
        <v>1.7095890410958905</v>
      </c>
      <c r="M123" s="99">
        <v>12201.610520547945</v>
      </c>
      <c r="N123" s="100">
        <f t="shared" si="15"/>
        <v>138054.38947945205</v>
      </c>
      <c r="O123" s="122">
        <f t="shared" si="20"/>
        <v>18.290410958904111</v>
      </c>
      <c r="P123" s="99">
        <f t="shared" si="16"/>
        <v>130541.58947945204</v>
      </c>
      <c r="Q123" s="100">
        <f t="shared" si="17"/>
        <v>7137.1599999999989</v>
      </c>
      <c r="R123" s="100">
        <f t="shared" si="18"/>
        <v>130917.22947945204</v>
      </c>
    </row>
    <row r="124" spans="1:18" ht="15">
      <c r="A124" s="128" t="s">
        <v>100</v>
      </c>
      <c r="B124" s="129">
        <v>42566</v>
      </c>
      <c r="C124" s="131">
        <v>31084</v>
      </c>
      <c r="D124" s="107"/>
      <c r="E124" s="107"/>
      <c r="F124" s="107"/>
      <c r="G124" s="99">
        <f t="shared" si="19"/>
        <v>1554.2</v>
      </c>
      <c r="H124" s="107"/>
      <c r="I124" s="107"/>
      <c r="J124" s="107"/>
      <c r="K124" s="107">
        <f t="shared" si="13"/>
        <v>624</v>
      </c>
      <c r="L124" s="99">
        <f t="shared" si="14"/>
        <v>1.7095890410958905</v>
      </c>
      <c r="M124" s="99">
        <v>2524.191123287671</v>
      </c>
      <c r="N124" s="100">
        <f t="shared" si="15"/>
        <v>28559.80887671233</v>
      </c>
      <c r="O124" s="122">
        <f t="shared" si="20"/>
        <v>18.290410958904111</v>
      </c>
      <c r="P124" s="99">
        <f t="shared" si="16"/>
        <v>27005.608876712329</v>
      </c>
      <c r="Q124" s="100">
        <f t="shared" si="17"/>
        <v>1476.4899999999998</v>
      </c>
      <c r="R124" s="100">
        <f t="shared" si="18"/>
        <v>27083.318876712328</v>
      </c>
    </row>
    <row r="125" spans="1:18" ht="15">
      <c r="A125" s="128" t="s">
        <v>100</v>
      </c>
      <c r="B125" s="129">
        <v>42566</v>
      </c>
      <c r="C125" s="131">
        <v>70553</v>
      </c>
      <c r="D125" s="107"/>
      <c r="E125" s="107"/>
      <c r="F125" s="107"/>
      <c r="G125" s="99">
        <f t="shared" si="19"/>
        <v>3527.65</v>
      </c>
      <c r="H125" s="107"/>
      <c r="I125" s="107"/>
      <c r="J125" s="107"/>
      <c r="K125" s="107">
        <f t="shared" si="13"/>
        <v>624</v>
      </c>
      <c r="L125" s="99">
        <f t="shared" si="14"/>
        <v>1.7095890410958905</v>
      </c>
      <c r="M125" s="99">
        <v>5729.2901917808222</v>
      </c>
      <c r="N125" s="100">
        <f t="shared" si="15"/>
        <v>64823.709808219181</v>
      </c>
      <c r="O125" s="122">
        <f t="shared" si="20"/>
        <v>18.290410958904111</v>
      </c>
      <c r="P125" s="99">
        <f t="shared" si="16"/>
        <v>61296.059808219179</v>
      </c>
      <c r="Q125" s="100">
        <f t="shared" si="17"/>
        <v>3351.2674999999999</v>
      </c>
      <c r="R125" s="100">
        <f t="shared" si="18"/>
        <v>61472.442308219179</v>
      </c>
    </row>
    <row r="126" spans="1:18" ht="15">
      <c r="A126" s="128" t="s">
        <v>100</v>
      </c>
      <c r="B126" s="129">
        <v>42583</v>
      </c>
      <c r="C126" s="131">
        <v>20706</v>
      </c>
      <c r="D126" s="107"/>
      <c r="E126" s="107"/>
      <c r="F126" s="107"/>
      <c r="G126" s="99">
        <f t="shared" si="19"/>
        <v>1035.3</v>
      </c>
      <c r="H126" s="107"/>
      <c r="I126" s="107"/>
      <c r="J126" s="107"/>
      <c r="K126" s="107">
        <f t="shared" si="13"/>
        <v>607</v>
      </c>
      <c r="L126" s="99">
        <f t="shared" si="14"/>
        <v>1.6630136986301369</v>
      </c>
      <c r="M126" s="99">
        <v>1635.6321780821918</v>
      </c>
      <c r="N126" s="100">
        <f t="shared" si="15"/>
        <v>19070.367821917807</v>
      </c>
      <c r="O126" s="122">
        <f t="shared" si="20"/>
        <v>18.336986301369862</v>
      </c>
      <c r="P126" s="99">
        <f t="shared" si="16"/>
        <v>18035.067821917808</v>
      </c>
      <c r="Q126" s="100">
        <f t="shared" si="17"/>
        <v>983.53500000000008</v>
      </c>
      <c r="R126" s="100">
        <f t="shared" si="18"/>
        <v>18086.832821917807</v>
      </c>
    </row>
    <row r="127" spans="1:18" ht="15">
      <c r="A127" s="128" t="s">
        <v>100</v>
      </c>
      <c r="B127" s="129">
        <v>42583</v>
      </c>
      <c r="C127" s="131">
        <v>58794</v>
      </c>
      <c r="D127" s="107"/>
      <c r="E127" s="107"/>
      <c r="F127" s="107"/>
      <c r="G127" s="99">
        <f t="shared" si="19"/>
        <v>2939.7000000000003</v>
      </c>
      <c r="H127" s="107"/>
      <c r="I127" s="107"/>
      <c r="J127" s="107"/>
      <c r="K127" s="107">
        <f t="shared" si="13"/>
        <v>607</v>
      </c>
      <c r="L127" s="99">
        <f t="shared" si="14"/>
        <v>1.6630136986301369</v>
      </c>
      <c r="M127" s="99">
        <v>4644.3233013698627</v>
      </c>
      <c r="N127" s="100">
        <f t="shared" si="15"/>
        <v>54149.676698630137</v>
      </c>
      <c r="O127" s="122">
        <f t="shared" si="20"/>
        <v>18.336986301369862</v>
      </c>
      <c r="P127" s="99">
        <f t="shared" si="16"/>
        <v>51209.97669863014</v>
      </c>
      <c r="Q127" s="100">
        <f t="shared" si="17"/>
        <v>2792.7150000000001</v>
      </c>
      <c r="R127" s="100">
        <f t="shared" si="18"/>
        <v>51356.961698630141</v>
      </c>
    </row>
    <row r="128" spans="1:18" ht="15">
      <c r="A128" s="128" t="s">
        <v>100</v>
      </c>
      <c r="B128" s="129">
        <v>42583</v>
      </c>
      <c r="C128" s="131">
        <v>168457</v>
      </c>
      <c r="D128" s="107"/>
      <c r="E128" s="107"/>
      <c r="F128" s="107"/>
      <c r="G128" s="99">
        <f t="shared" si="19"/>
        <v>8422.85</v>
      </c>
      <c r="H128" s="107"/>
      <c r="I128" s="107"/>
      <c r="J128" s="107"/>
      <c r="K128" s="107">
        <f t="shared" si="13"/>
        <v>607</v>
      </c>
      <c r="L128" s="99">
        <f t="shared" si="14"/>
        <v>1.6630136986301369</v>
      </c>
      <c r="M128" s="99">
        <v>13306.949184931507</v>
      </c>
      <c r="N128" s="100">
        <f t="shared" si="15"/>
        <v>155150.05081506851</v>
      </c>
      <c r="O128" s="122">
        <f t="shared" si="20"/>
        <v>18.336986301369862</v>
      </c>
      <c r="P128" s="99">
        <f t="shared" si="16"/>
        <v>146727.2008150685</v>
      </c>
      <c r="Q128" s="100">
        <f t="shared" si="17"/>
        <v>8001.7075000000004</v>
      </c>
      <c r="R128" s="100">
        <f t="shared" si="18"/>
        <v>147148.34331506852</v>
      </c>
    </row>
    <row r="129" spans="1:18" ht="15">
      <c r="A129" s="128" t="s">
        <v>100</v>
      </c>
      <c r="B129" s="129">
        <v>42590</v>
      </c>
      <c r="C129" s="131">
        <v>47035</v>
      </c>
      <c r="D129" s="107"/>
      <c r="E129" s="107"/>
      <c r="F129" s="107"/>
      <c r="G129" s="99">
        <f t="shared" si="19"/>
        <v>2351.75</v>
      </c>
      <c r="H129" s="107"/>
      <c r="I129" s="107"/>
      <c r="J129" s="107"/>
      <c r="K129" s="107">
        <f t="shared" si="13"/>
        <v>600</v>
      </c>
      <c r="L129" s="99">
        <f t="shared" si="14"/>
        <v>1.6438356164383561</v>
      </c>
      <c r="M129" s="99">
        <v>3672.5958904109589</v>
      </c>
      <c r="N129" s="100">
        <f t="shared" si="15"/>
        <v>43362.404109589042</v>
      </c>
      <c r="O129" s="122">
        <f t="shared" si="20"/>
        <v>18.356164383561644</v>
      </c>
      <c r="P129" s="99">
        <f t="shared" si="16"/>
        <v>41010.654109589042</v>
      </c>
      <c r="Q129" s="100">
        <f t="shared" si="17"/>
        <v>2234.1624999999999</v>
      </c>
      <c r="R129" s="100">
        <f t="shared" si="18"/>
        <v>41128.241609589044</v>
      </c>
    </row>
    <row r="130" spans="1:18" ht="15">
      <c r="A130" s="128" t="s">
        <v>100</v>
      </c>
      <c r="B130" s="129">
        <v>42594</v>
      </c>
      <c r="C130" s="131">
        <v>13804</v>
      </c>
      <c r="D130" s="107"/>
      <c r="E130" s="107"/>
      <c r="F130" s="107"/>
      <c r="G130" s="99">
        <f t="shared" si="19"/>
        <v>690.2</v>
      </c>
      <c r="H130" s="107"/>
      <c r="I130" s="107"/>
      <c r="J130" s="107"/>
      <c r="K130" s="107">
        <f t="shared" si="13"/>
        <v>596</v>
      </c>
      <c r="L130" s="99">
        <f t="shared" si="14"/>
        <v>1.6328767123287671</v>
      </c>
      <c r="M130" s="99">
        <v>1070.6609315068492</v>
      </c>
      <c r="N130" s="100">
        <f t="shared" si="15"/>
        <v>12733.339068493151</v>
      </c>
      <c r="O130" s="122">
        <f t="shared" si="20"/>
        <v>18.367123287671234</v>
      </c>
      <c r="P130" s="99">
        <f t="shared" si="16"/>
        <v>12043.13906849315</v>
      </c>
      <c r="Q130" s="100">
        <f t="shared" si="17"/>
        <v>655.68999999999994</v>
      </c>
      <c r="R130" s="100">
        <f t="shared" si="18"/>
        <v>12077.64906849315</v>
      </c>
    </row>
    <row r="131" spans="1:18" ht="15">
      <c r="A131" s="128" t="s">
        <v>100</v>
      </c>
      <c r="B131" s="129">
        <v>42594</v>
      </c>
      <c r="C131" s="131">
        <v>199592</v>
      </c>
      <c r="D131" s="107"/>
      <c r="E131" s="107"/>
      <c r="F131" s="107"/>
      <c r="G131" s="99">
        <f t="shared" si="19"/>
        <v>9979.6</v>
      </c>
      <c r="H131" s="107"/>
      <c r="I131" s="107"/>
      <c r="J131" s="107"/>
      <c r="K131" s="107">
        <f t="shared" si="13"/>
        <v>596</v>
      </c>
      <c r="L131" s="99">
        <f t="shared" si="14"/>
        <v>1.6328767123287671</v>
      </c>
      <c r="M131" s="99">
        <v>15480.683616438355</v>
      </c>
      <c r="N131" s="100">
        <f t="shared" si="15"/>
        <v>184111.31638356164</v>
      </c>
      <c r="O131" s="122">
        <f t="shared" si="20"/>
        <v>18.367123287671234</v>
      </c>
      <c r="P131" s="99">
        <f t="shared" si="16"/>
        <v>174131.71638356164</v>
      </c>
      <c r="Q131" s="100">
        <f t="shared" si="17"/>
        <v>9480.619999999999</v>
      </c>
      <c r="R131" s="100">
        <f t="shared" si="18"/>
        <v>174630.69638356165</v>
      </c>
    </row>
    <row r="132" spans="1:18" ht="15">
      <c r="A132" s="128" t="s">
        <v>100</v>
      </c>
      <c r="B132" s="129">
        <v>42594</v>
      </c>
      <c r="C132" s="131">
        <v>145706.26</v>
      </c>
      <c r="D132" s="107"/>
      <c r="E132" s="107"/>
      <c r="F132" s="107"/>
      <c r="G132" s="99">
        <f t="shared" si="19"/>
        <v>7285.313000000001</v>
      </c>
      <c r="H132" s="107"/>
      <c r="I132" s="107"/>
      <c r="J132" s="107"/>
      <c r="K132" s="107">
        <f t="shared" si="13"/>
        <v>596</v>
      </c>
      <c r="L132" s="99">
        <f t="shared" si="14"/>
        <v>1.6328767123287671</v>
      </c>
      <c r="M132" s="99">
        <v>11301.217042739729</v>
      </c>
      <c r="N132" s="100">
        <f t="shared" si="15"/>
        <v>134405.04295726027</v>
      </c>
      <c r="O132" s="122">
        <f t="shared" si="20"/>
        <v>18.367123287671234</v>
      </c>
      <c r="P132" s="99">
        <f t="shared" si="16"/>
        <v>127119.72995726028</v>
      </c>
      <c r="Q132" s="100">
        <f t="shared" si="17"/>
        <v>6921.0473499999998</v>
      </c>
      <c r="R132" s="100">
        <f t="shared" si="18"/>
        <v>127483.99560726028</v>
      </c>
    </row>
    <row r="133" spans="1:18" ht="15">
      <c r="A133" s="128" t="s">
        <v>100</v>
      </c>
      <c r="B133" s="129">
        <v>42594</v>
      </c>
      <c r="C133" s="131">
        <v>142843.25</v>
      </c>
      <c r="D133" s="107"/>
      <c r="E133" s="107"/>
      <c r="F133" s="107"/>
      <c r="G133" s="99">
        <f t="shared" si="19"/>
        <v>7142.1625000000004</v>
      </c>
      <c r="H133" s="107"/>
      <c r="I133" s="107"/>
      <c r="J133" s="107"/>
      <c r="K133" s="107">
        <f t="shared" si="13"/>
        <v>596</v>
      </c>
      <c r="L133" s="99">
        <f t="shared" si="14"/>
        <v>1.6328767123287671</v>
      </c>
      <c r="M133" s="99">
        <v>11079.157280821917</v>
      </c>
      <c r="N133" s="100">
        <f t="shared" si="15"/>
        <v>131764.09271917809</v>
      </c>
      <c r="O133" s="122">
        <f t="shared" si="20"/>
        <v>18.367123287671234</v>
      </c>
      <c r="P133" s="99">
        <f t="shared" si="16"/>
        <v>124621.93021917809</v>
      </c>
      <c r="Q133" s="100">
        <f t="shared" si="17"/>
        <v>6785.0543749999997</v>
      </c>
      <c r="R133" s="100">
        <f t="shared" si="18"/>
        <v>124979.03834417809</v>
      </c>
    </row>
    <row r="134" spans="1:18" ht="15">
      <c r="A134" s="128" t="s">
        <v>100</v>
      </c>
      <c r="B134" s="129">
        <v>42609</v>
      </c>
      <c r="C134" s="131">
        <v>99579</v>
      </c>
      <c r="D134" s="107"/>
      <c r="E134" s="107"/>
      <c r="F134" s="107"/>
      <c r="G134" s="99">
        <f t="shared" si="19"/>
        <v>4978.9500000000007</v>
      </c>
      <c r="H134" s="107"/>
      <c r="I134" s="107"/>
      <c r="J134" s="107"/>
      <c r="K134" s="107">
        <f t="shared" si="13"/>
        <v>581</v>
      </c>
      <c r="L134" s="99">
        <f t="shared" si="14"/>
        <v>1.5917808219178082</v>
      </c>
      <c r="M134" s="99">
        <v>7529.1272671232882</v>
      </c>
      <c r="N134" s="100">
        <f t="shared" si="15"/>
        <v>92049.872732876713</v>
      </c>
      <c r="O134" s="122">
        <f t="shared" si="20"/>
        <v>18.408219178082192</v>
      </c>
      <c r="P134" s="99">
        <f t="shared" si="16"/>
        <v>87070.922732876716</v>
      </c>
      <c r="Q134" s="100">
        <f t="shared" si="17"/>
        <v>4730.0025000000005</v>
      </c>
      <c r="R134" s="100">
        <f t="shared" si="18"/>
        <v>87319.87023287671</v>
      </c>
    </row>
    <row r="135" spans="1:18" ht="15">
      <c r="A135" s="128" t="s">
        <v>100</v>
      </c>
      <c r="B135" s="129">
        <v>42614</v>
      </c>
      <c r="C135" s="131">
        <v>53681.25</v>
      </c>
      <c r="D135" s="107"/>
      <c r="E135" s="107"/>
      <c r="F135" s="107"/>
      <c r="G135" s="99">
        <f t="shared" si="19"/>
        <v>2684.0625</v>
      </c>
      <c r="H135" s="107"/>
      <c r="I135" s="107"/>
      <c r="J135" s="107"/>
      <c r="K135" s="107">
        <f t="shared" si="13"/>
        <v>576</v>
      </c>
      <c r="L135" s="99">
        <f t="shared" si="14"/>
        <v>1.5780821917808219</v>
      </c>
      <c r="M135" s="99">
        <v>4023.8876712328765</v>
      </c>
      <c r="N135" s="100">
        <f t="shared" si="15"/>
        <v>49657.362328767122</v>
      </c>
      <c r="O135" s="122">
        <f t="shared" si="20"/>
        <v>18.421917808219177</v>
      </c>
      <c r="P135" s="99">
        <f t="shared" si="16"/>
        <v>46973.299828767122</v>
      </c>
      <c r="Q135" s="100">
        <f t="shared" si="17"/>
        <v>2549.859375</v>
      </c>
      <c r="R135" s="100">
        <f t="shared" si="18"/>
        <v>47107.502953767122</v>
      </c>
    </row>
    <row r="136" spans="1:18" ht="15">
      <c r="A136" s="128" t="s">
        <v>100</v>
      </c>
      <c r="B136" s="129">
        <v>42615</v>
      </c>
      <c r="C136" s="131">
        <v>178835</v>
      </c>
      <c r="D136" s="107"/>
      <c r="E136" s="107"/>
      <c r="F136" s="107"/>
      <c r="G136" s="99">
        <f t="shared" si="19"/>
        <v>8941.75</v>
      </c>
      <c r="H136" s="107"/>
      <c r="I136" s="107"/>
      <c r="J136" s="107"/>
      <c r="K136" s="107">
        <f t="shared" si="13"/>
        <v>575</v>
      </c>
      <c r="L136" s="99">
        <f t="shared" si="14"/>
        <v>1.5753424657534247</v>
      </c>
      <c r="M136" s="99">
        <v>13382.002568493152</v>
      </c>
      <c r="N136" s="100">
        <f t="shared" si="15"/>
        <v>165452.99743150684</v>
      </c>
      <c r="O136" s="122">
        <f t="shared" si="20"/>
        <v>18.424657534246574</v>
      </c>
      <c r="P136" s="99">
        <f t="shared" si="16"/>
        <v>156511.24743150684</v>
      </c>
      <c r="Q136" s="100">
        <f t="shared" si="17"/>
        <v>8494.6625000000004</v>
      </c>
      <c r="R136" s="100">
        <f t="shared" si="18"/>
        <v>156958.33493150683</v>
      </c>
    </row>
    <row r="137" spans="1:18" ht="15">
      <c r="A137" s="128" t="s">
        <v>100</v>
      </c>
      <c r="B137" s="129">
        <v>42616</v>
      </c>
      <c r="C137" s="131">
        <v>27608</v>
      </c>
      <c r="D137" s="107"/>
      <c r="E137" s="107"/>
      <c r="F137" s="107"/>
      <c r="G137" s="99">
        <f t="shared" si="19"/>
        <v>1380.4</v>
      </c>
      <c r="H137" s="107"/>
      <c r="I137" s="107"/>
      <c r="J137" s="107"/>
      <c r="K137" s="107">
        <f t="shared" si="13"/>
        <v>574</v>
      </c>
      <c r="L137" s="99">
        <f t="shared" si="14"/>
        <v>1.5726027397260274</v>
      </c>
      <c r="M137" s="99">
        <v>2062.2797808219175</v>
      </c>
      <c r="N137" s="100">
        <f t="shared" si="15"/>
        <v>25545.720219178082</v>
      </c>
      <c r="O137" s="122">
        <f t="shared" si="20"/>
        <v>18.427397260273974</v>
      </c>
      <c r="P137" s="99">
        <f t="shared" si="16"/>
        <v>24165.32021917808</v>
      </c>
      <c r="Q137" s="100">
        <f t="shared" si="17"/>
        <v>1311.3799999999999</v>
      </c>
      <c r="R137" s="100">
        <f t="shared" si="18"/>
        <v>24234.340219178081</v>
      </c>
    </row>
    <row r="138" spans="1:18" ht="15">
      <c r="A138" s="128" t="s">
        <v>100</v>
      </c>
      <c r="B138" s="129">
        <v>42616</v>
      </c>
      <c r="C138" s="131">
        <v>70553</v>
      </c>
      <c r="D138" s="107"/>
      <c r="E138" s="107"/>
      <c r="F138" s="107"/>
      <c r="G138" s="99">
        <f t="shared" si="19"/>
        <v>3527.65</v>
      </c>
      <c r="H138" s="107"/>
      <c r="I138" s="107"/>
      <c r="J138" s="107"/>
      <c r="K138" s="107">
        <f t="shared" si="13"/>
        <v>574</v>
      </c>
      <c r="L138" s="99">
        <f t="shared" si="14"/>
        <v>1.5726027397260274</v>
      </c>
      <c r="M138" s="99">
        <v>5270.212452054795</v>
      </c>
      <c r="N138" s="100">
        <f t="shared" si="15"/>
        <v>65282.787547945205</v>
      </c>
      <c r="O138" s="122">
        <f t="shared" si="20"/>
        <v>18.427397260273974</v>
      </c>
      <c r="P138" s="99">
        <f t="shared" si="16"/>
        <v>61755.137547945204</v>
      </c>
      <c r="Q138" s="100">
        <f t="shared" si="17"/>
        <v>3351.2674999999995</v>
      </c>
      <c r="R138" s="100">
        <f t="shared" si="18"/>
        <v>61931.520047945203</v>
      </c>
    </row>
    <row r="139" spans="1:18" ht="15">
      <c r="A139" s="128" t="s">
        <v>100</v>
      </c>
      <c r="B139" s="129">
        <v>42617</v>
      </c>
      <c r="C139" s="131">
        <v>4859</v>
      </c>
      <c r="D139" s="107"/>
      <c r="E139" s="107"/>
      <c r="F139" s="107"/>
      <c r="G139" s="99">
        <f t="shared" si="19"/>
        <v>242.95000000000002</v>
      </c>
      <c r="H139" s="107"/>
      <c r="I139" s="107"/>
      <c r="J139" s="107"/>
      <c r="K139" s="107">
        <f t="shared" si="13"/>
        <v>573</v>
      </c>
      <c r="L139" s="99">
        <f t="shared" si="14"/>
        <v>1.5698630136986302</v>
      </c>
      <c r="M139" s="99">
        <v>362.3283082191781</v>
      </c>
      <c r="N139" s="100">
        <f t="shared" si="15"/>
        <v>4496.6716917808217</v>
      </c>
      <c r="O139" s="122">
        <f t="shared" si="20"/>
        <v>18.43013698630137</v>
      </c>
      <c r="P139" s="99">
        <f t="shared" si="16"/>
        <v>4253.7216917808219</v>
      </c>
      <c r="Q139" s="100">
        <f t="shared" si="17"/>
        <v>230.80249999999998</v>
      </c>
      <c r="R139" s="100">
        <f t="shared" si="18"/>
        <v>4265.8691917808219</v>
      </c>
    </row>
    <row r="140" spans="1:18" ht="15">
      <c r="A140" s="128" t="s">
        <v>100</v>
      </c>
      <c r="B140" s="129">
        <v>42619</v>
      </c>
      <c r="C140" s="131">
        <v>7288</v>
      </c>
      <c r="D140" s="107"/>
      <c r="E140" s="107"/>
      <c r="F140" s="107"/>
      <c r="G140" s="99">
        <f t="shared" si="19"/>
        <v>364.40000000000003</v>
      </c>
      <c r="H140" s="107"/>
      <c r="I140" s="107"/>
      <c r="J140" s="107"/>
      <c r="K140" s="107">
        <f t="shared" ref="K140:K203" si="21">$K$2-B140</f>
        <v>571</v>
      </c>
      <c r="L140" s="99">
        <f t="shared" ref="L140:L203" si="22">K140/365</f>
        <v>1.5643835616438355</v>
      </c>
      <c r="M140" s="99">
        <v>541.5583013698631</v>
      </c>
      <c r="N140" s="100">
        <f t="shared" ref="N140:N203" si="23">C140-M140</f>
        <v>6746.4416986301367</v>
      </c>
      <c r="O140" s="122">
        <f t="shared" si="20"/>
        <v>18.435616438356163</v>
      </c>
      <c r="P140" s="99">
        <f t="shared" ref="P140:P203" si="24">N140-G140</f>
        <v>6382.041698630137</v>
      </c>
      <c r="Q140" s="100">
        <f t="shared" ref="Q140:Q203" si="25">P140/O140</f>
        <v>346.18</v>
      </c>
      <c r="R140" s="100">
        <f t="shared" ref="R140:R203" si="26">N140-Q140</f>
        <v>6400.2616986301364</v>
      </c>
    </row>
    <row r="141" spans="1:18" ht="15">
      <c r="A141" s="128" t="s">
        <v>100</v>
      </c>
      <c r="B141" s="129">
        <v>42621</v>
      </c>
      <c r="C141" s="131">
        <v>235016</v>
      </c>
      <c r="D141" s="107"/>
      <c r="E141" s="107"/>
      <c r="F141" s="107"/>
      <c r="G141" s="99">
        <f t="shared" ref="G141:G217" si="27">C141*5%</f>
        <v>11750.800000000001</v>
      </c>
      <c r="H141" s="107"/>
      <c r="I141" s="107"/>
      <c r="J141" s="107"/>
      <c r="K141" s="107">
        <f t="shared" si="21"/>
        <v>569</v>
      </c>
      <c r="L141" s="99">
        <f t="shared" si="22"/>
        <v>1.558904109589041</v>
      </c>
      <c r="M141" s="99">
        <v>17402.451890410957</v>
      </c>
      <c r="N141" s="100">
        <f t="shared" si="23"/>
        <v>217613.54810958903</v>
      </c>
      <c r="O141" s="122">
        <f t="shared" ref="O141:O204" si="28">$O$11-L141</f>
        <v>18.44109589041096</v>
      </c>
      <c r="P141" s="99">
        <f t="shared" si="24"/>
        <v>205862.74810958904</v>
      </c>
      <c r="Q141" s="100">
        <f t="shared" si="25"/>
        <v>11163.26</v>
      </c>
      <c r="R141" s="100">
        <f t="shared" si="26"/>
        <v>206450.28810958902</v>
      </c>
    </row>
    <row r="142" spans="1:18" ht="15">
      <c r="A142" s="128" t="s">
        <v>100</v>
      </c>
      <c r="B142" s="129">
        <v>42626</v>
      </c>
      <c r="C142" s="131">
        <v>21834.15</v>
      </c>
      <c r="D142" s="107"/>
      <c r="E142" s="107"/>
      <c r="F142" s="107"/>
      <c r="G142" s="99">
        <f t="shared" si="27"/>
        <v>1091.7075000000002</v>
      </c>
      <c r="H142" s="107"/>
      <c r="I142" s="107"/>
      <c r="J142" s="107"/>
      <c r="K142" s="107">
        <f t="shared" si="21"/>
        <v>564</v>
      </c>
      <c r="L142" s="99">
        <f t="shared" si="22"/>
        <v>1.5452054794520549</v>
      </c>
      <c r="M142" s="99">
        <v>1602.5667904109587</v>
      </c>
      <c r="N142" s="100">
        <f t="shared" si="23"/>
        <v>20231.583209589044</v>
      </c>
      <c r="O142" s="122">
        <f t="shared" si="28"/>
        <v>18.454794520547946</v>
      </c>
      <c r="P142" s="99">
        <f t="shared" si="24"/>
        <v>19139.875709589043</v>
      </c>
      <c r="Q142" s="100">
        <f t="shared" si="25"/>
        <v>1037.1221250000001</v>
      </c>
      <c r="R142" s="100">
        <f t="shared" si="26"/>
        <v>19194.461084589042</v>
      </c>
    </row>
    <row r="143" spans="1:18" ht="15">
      <c r="A143" s="128" t="s">
        <v>100</v>
      </c>
      <c r="B143" s="129">
        <v>42627</v>
      </c>
      <c r="C143" s="131">
        <v>43880.41</v>
      </c>
      <c r="D143" s="107"/>
      <c r="E143" s="107"/>
      <c r="F143" s="107"/>
      <c r="G143" s="99">
        <f t="shared" si="27"/>
        <v>2194.0205000000001</v>
      </c>
      <c r="H143" s="107"/>
      <c r="I143" s="107"/>
      <c r="J143" s="107"/>
      <c r="K143" s="107">
        <f t="shared" si="21"/>
        <v>563</v>
      </c>
      <c r="L143" s="99">
        <f t="shared" si="22"/>
        <v>1.5424657534246575</v>
      </c>
      <c r="M143" s="99">
        <v>3214.9914093835623</v>
      </c>
      <c r="N143" s="100">
        <f t="shared" si="23"/>
        <v>40665.418590616442</v>
      </c>
      <c r="O143" s="122">
        <f t="shared" si="28"/>
        <v>18.457534246575342</v>
      </c>
      <c r="P143" s="99">
        <f t="shared" si="24"/>
        <v>38471.398090616443</v>
      </c>
      <c r="Q143" s="100">
        <f t="shared" si="25"/>
        <v>2084.3194750000002</v>
      </c>
      <c r="R143" s="100">
        <f t="shared" si="26"/>
        <v>38581.099115616438</v>
      </c>
    </row>
    <row r="144" spans="1:18" ht="15">
      <c r="A144" s="128" t="s">
        <v>100</v>
      </c>
      <c r="B144" s="129">
        <v>42629</v>
      </c>
      <c r="C144" s="131">
        <v>241105.5</v>
      </c>
      <c r="D144" s="107"/>
      <c r="E144" s="107"/>
      <c r="F144" s="107"/>
      <c r="G144" s="99">
        <f t="shared" si="27"/>
        <v>12055.275000000001</v>
      </c>
      <c r="H144" s="107"/>
      <c r="I144" s="107"/>
      <c r="J144" s="107"/>
      <c r="K144" s="107">
        <f t="shared" si="21"/>
        <v>561</v>
      </c>
      <c r="L144" s="99">
        <f t="shared" si="22"/>
        <v>1.536986301369863</v>
      </c>
      <c r="M144" s="99">
        <v>17602.352907534249</v>
      </c>
      <c r="N144" s="100">
        <f t="shared" si="23"/>
        <v>223503.14709246575</v>
      </c>
      <c r="O144" s="122">
        <f t="shared" si="28"/>
        <v>18.463013698630135</v>
      </c>
      <c r="P144" s="99">
        <f t="shared" si="24"/>
        <v>211447.87209246575</v>
      </c>
      <c r="Q144" s="100">
        <f t="shared" si="25"/>
        <v>11452.511250000001</v>
      </c>
      <c r="R144" s="100">
        <f t="shared" si="26"/>
        <v>212050.63584246574</v>
      </c>
    </row>
    <row r="145" spans="1:18" ht="15">
      <c r="A145" s="128" t="s">
        <v>100</v>
      </c>
      <c r="B145" s="129">
        <v>42629</v>
      </c>
      <c r="C145" s="131">
        <v>269940</v>
      </c>
      <c r="D145" s="107"/>
      <c r="E145" s="107"/>
      <c r="F145" s="107"/>
      <c r="G145" s="99">
        <f t="shared" si="27"/>
        <v>13497</v>
      </c>
      <c r="H145" s="107"/>
      <c r="I145" s="107"/>
      <c r="J145" s="107"/>
      <c r="K145" s="107">
        <f t="shared" si="21"/>
        <v>561</v>
      </c>
      <c r="L145" s="99">
        <f t="shared" si="22"/>
        <v>1.536986301369863</v>
      </c>
      <c r="M145" s="99">
        <v>19707.468904109592</v>
      </c>
      <c r="N145" s="100">
        <f t="shared" si="23"/>
        <v>250232.53109589042</v>
      </c>
      <c r="O145" s="122">
        <f t="shared" si="28"/>
        <v>18.463013698630135</v>
      </c>
      <c r="P145" s="99">
        <f t="shared" si="24"/>
        <v>236735.53109589042</v>
      </c>
      <c r="Q145" s="100">
        <f t="shared" si="25"/>
        <v>12822.150000000001</v>
      </c>
      <c r="R145" s="100">
        <f t="shared" si="26"/>
        <v>237410.38109589042</v>
      </c>
    </row>
    <row r="146" spans="1:18" ht="15">
      <c r="A146" s="128" t="s">
        <v>100</v>
      </c>
      <c r="B146" s="129">
        <v>42632</v>
      </c>
      <c r="C146" s="131">
        <v>146831</v>
      </c>
      <c r="D146" s="107"/>
      <c r="E146" s="107"/>
      <c r="F146" s="107"/>
      <c r="G146" s="99">
        <f t="shared" si="27"/>
        <v>7341.55</v>
      </c>
      <c r="H146" s="107"/>
      <c r="I146" s="107"/>
      <c r="J146" s="107"/>
      <c r="K146" s="107">
        <f t="shared" si="21"/>
        <v>558</v>
      </c>
      <c r="L146" s="99">
        <f t="shared" si="22"/>
        <v>1.5287671232876712</v>
      </c>
      <c r="M146" s="99">
        <v>10662.344260273974</v>
      </c>
      <c r="N146" s="100">
        <f t="shared" si="23"/>
        <v>136168.65573972603</v>
      </c>
      <c r="O146" s="122">
        <f t="shared" si="28"/>
        <v>18.471232876712328</v>
      </c>
      <c r="P146" s="99">
        <f t="shared" si="24"/>
        <v>128827.10573972603</v>
      </c>
      <c r="Q146" s="100">
        <f t="shared" si="25"/>
        <v>6974.4725000000008</v>
      </c>
      <c r="R146" s="100">
        <f t="shared" si="26"/>
        <v>129194.18323972603</v>
      </c>
    </row>
    <row r="147" spans="1:18" ht="15">
      <c r="A147" s="128" t="s">
        <v>100</v>
      </c>
      <c r="B147" s="129">
        <v>42632</v>
      </c>
      <c r="C147" s="131">
        <v>9407</v>
      </c>
      <c r="D147" s="107"/>
      <c r="E147" s="107"/>
      <c r="F147" s="107"/>
      <c r="G147" s="99">
        <f t="shared" si="27"/>
        <v>470.35</v>
      </c>
      <c r="H147" s="107"/>
      <c r="I147" s="107"/>
      <c r="J147" s="107"/>
      <c r="K147" s="107">
        <f t="shared" si="21"/>
        <v>558</v>
      </c>
      <c r="L147" s="99">
        <f t="shared" si="22"/>
        <v>1.5287671232876712</v>
      </c>
      <c r="M147" s="99">
        <v>683.10283561643837</v>
      </c>
      <c r="N147" s="100">
        <f t="shared" si="23"/>
        <v>8723.8971643835612</v>
      </c>
      <c r="O147" s="122">
        <f t="shared" si="28"/>
        <v>18.471232876712328</v>
      </c>
      <c r="P147" s="99">
        <f t="shared" si="24"/>
        <v>8253.5471643835608</v>
      </c>
      <c r="Q147" s="100">
        <f t="shared" si="25"/>
        <v>446.83249999999998</v>
      </c>
      <c r="R147" s="100">
        <f t="shared" si="26"/>
        <v>8277.0646643835607</v>
      </c>
    </row>
    <row r="148" spans="1:18" ht="15">
      <c r="A148" s="128" t="s">
        <v>100</v>
      </c>
      <c r="B148" s="129">
        <v>42635</v>
      </c>
      <c r="C148" s="131">
        <v>53394.04</v>
      </c>
      <c r="D148" s="107"/>
      <c r="E148" s="107"/>
      <c r="F148" s="107"/>
      <c r="G148" s="99">
        <f t="shared" si="27"/>
        <v>2669.7020000000002</v>
      </c>
      <c r="H148" s="107"/>
      <c r="I148" s="107"/>
      <c r="J148" s="107"/>
      <c r="K148" s="107">
        <f t="shared" si="21"/>
        <v>555</v>
      </c>
      <c r="L148" s="99">
        <f t="shared" si="22"/>
        <v>1.5205479452054795</v>
      </c>
      <c r="M148" s="99">
        <v>3856.4393958904111</v>
      </c>
      <c r="N148" s="100">
        <f t="shared" si="23"/>
        <v>49537.60060410959</v>
      </c>
      <c r="O148" s="122">
        <f t="shared" si="28"/>
        <v>18.479452054794521</v>
      </c>
      <c r="P148" s="99">
        <f t="shared" si="24"/>
        <v>46867.898604109592</v>
      </c>
      <c r="Q148" s="100">
        <f t="shared" si="25"/>
        <v>2536.2168999999999</v>
      </c>
      <c r="R148" s="100">
        <f t="shared" si="26"/>
        <v>47001.38370410959</v>
      </c>
    </row>
    <row r="149" spans="1:18" ht="15">
      <c r="A149" s="128" t="s">
        <v>100</v>
      </c>
      <c r="B149" s="129">
        <v>42639</v>
      </c>
      <c r="C149" s="131">
        <v>35276</v>
      </c>
      <c r="D149" s="107"/>
      <c r="E149" s="107"/>
      <c r="F149" s="107"/>
      <c r="G149" s="99">
        <f t="shared" si="27"/>
        <v>1763.8000000000002</v>
      </c>
      <c r="H149" s="107"/>
      <c r="I149" s="107"/>
      <c r="J149" s="107"/>
      <c r="K149" s="107">
        <f t="shared" si="21"/>
        <v>551</v>
      </c>
      <c r="L149" s="99">
        <f t="shared" si="22"/>
        <v>1.5095890410958903</v>
      </c>
      <c r="M149" s="99">
        <v>2529.4824931506846</v>
      </c>
      <c r="N149" s="100">
        <f t="shared" si="23"/>
        <v>32746.517506849315</v>
      </c>
      <c r="O149" s="122">
        <f t="shared" si="28"/>
        <v>18.490410958904111</v>
      </c>
      <c r="P149" s="99">
        <f t="shared" si="24"/>
        <v>30982.717506849316</v>
      </c>
      <c r="Q149" s="100">
        <f t="shared" si="25"/>
        <v>1675.61</v>
      </c>
      <c r="R149" s="100">
        <f t="shared" si="26"/>
        <v>31070.907506849315</v>
      </c>
    </row>
    <row r="150" spans="1:18" ht="15">
      <c r="A150" s="128" t="s">
        <v>100</v>
      </c>
      <c r="B150" s="129">
        <v>42639</v>
      </c>
      <c r="C150" s="131">
        <v>20706</v>
      </c>
      <c r="D150" s="107"/>
      <c r="E150" s="107"/>
      <c r="F150" s="107"/>
      <c r="G150" s="99">
        <f t="shared" si="27"/>
        <v>1035.3</v>
      </c>
      <c r="H150" s="107"/>
      <c r="I150" s="107"/>
      <c r="J150" s="107"/>
      <c r="K150" s="107">
        <f t="shared" si="21"/>
        <v>551</v>
      </c>
      <c r="L150" s="99">
        <f t="shared" si="22"/>
        <v>1.5095890410958903</v>
      </c>
      <c r="M150" s="99">
        <v>1484.7336575342467</v>
      </c>
      <c r="N150" s="100">
        <f t="shared" si="23"/>
        <v>19221.266342465755</v>
      </c>
      <c r="O150" s="122">
        <f t="shared" si="28"/>
        <v>18.490410958904111</v>
      </c>
      <c r="P150" s="99">
        <f t="shared" si="24"/>
        <v>18185.966342465756</v>
      </c>
      <c r="Q150" s="100">
        <f t="shared" si="25"/>
        <v>983.53500000000008</v>
      </c>
      <c r="R150" s="100">
        <f t="shared" si="26"/>
        <v>18237.731342465755</v>
      </c>
    </row>
    <row r="151" spans="1:18" ht="15">
      <c r="A151" s="128" t="s">
        <v>100</v>
      </c>
      <c r="B151" s="129">
        <v>42647</v>
      </c>
      <c r="C151" s="131">
        <v>166888.85999999999</v>
      </c>
      <c r="D151" s="107"/>
      <c r="E151" s="107"/>
      <c r="F151" s="107"/>
      <c r="G151" s="99">
        <f t="shared" si="27"/>
        <v>8344.4429999999993</v>
      </c>
      <c r="H151" s="107"/>
      <c r="I151" s="107"/>
      <c r="J151" s="107"/>
      <c r="K151" s="107">
        <f t="shared" si="21"/>
        <v>543</v>
      </c>
      <c r="L151" s="99">
        <f t="shared" si="22"/>
        <v>1.4876712328767123</v>
      </c>
      <c r="M151" s="99">
        <v>11793.098415205481</v>
      </c>
      <c r="N151" s="100">
        <f t="shared" si="23"/>
        <v>155095.7615847945</v>
      </c>
      <c r="O151" s="122">
        <f t="shared" si="28"/>
        <v>18.512328767123286</v>
      </c>
      <c r="P151" s="99">
        <f t="shared" si="24"/>
        <v>146751.3185847945</v>
      </c>
      <c r="Q151" s="100">
        <f t="shared" si="25"/>
        <v>7927.2208499999997</v>
      </c>
      <c r="R151" s="100">
        <f t="shared" si="26"/>
        <v>147168.54073479449</v>
      </c>
    </row>
    <row r="152" spans="1:18" ht="15">
      <c r="A152" s="128" t="s">
        <v>100</v>
      </c>
      <c r="B152" s="129">
        <v>42647</v>
      </c>
      <c r="C152" s="131">
        <v>61811.51</v>
      </c>
      <c r="D152" s="107"/>
      <c r="E152" s="107"/>
      <c r="F152" s="107"/>
      <c r="G152" s="99">
        <f t="shared" si="27"/>
        <v>3090.5755000000004</v>
      </c>
      <c r="H152" s="107"/>
      <c r="I152" s="107"/>
      <c r="J152" s="107"/>
      <c r="K152" s="107">
        <f t="shared" si="21"/>
        <v>543</v>
      </c>
      <c r="L152" s="99">
        <f t="shared" si="22"/>
        <v>1.4876712328767123</v>
      </c>
      <c r="M152" s="99">
        <v>4367.8722511643837</v>
      </c>
      <c r="N152" s="100">
        <f t="shared" si="23"/>
        <v>57443.637748835616</v>
      </c>
      <c r="O152" s="122">
        <f t="shared" si="28"/>
        <v>18.512328767123286</v>
      </c>
      <c r="P152" s="99">
        <f t="shared" si="24"/>
        <v>54353.062248835617</v>
      </c>
      <c r="Q152" s="100">
        <f t="shared" si="25"/>
        <v>2936.0467250000002</v>
      </c>
      <c r="R152" s="100">
        <f t="shared" si="26"/>
        <v>54507.591023835615</v>
      </c>
    </row>
    <row r="153" spans="1:18" ht="15">
      <c r="A153" s="128" t="s">
        <v>100</v>
      </c>
      <c r="B153" s="129">
        <v>42648</v>
      </c>
      <c r="C153" s="131">
        <v>206443</v>
      </c>
      <c r="D153" s="107"/>
      <c r="E153" s="107"/>
      <c r="F153" s="107"/>
      <c r="G153" s="99">
        <f t="shared" si="27"/>
        <v>10322.150000000001</v>
      </c>
      <c r="H153" s="107"/>
      <c r="I153" s="107"/>
      <c r="J153" s="107"/>
      <c r="K153" s="107">
        <f t="shared" si="21"/>
        <v>542</v>
      </c>
      <c r="L153" s="99">
        <f t="shared" si="22"/>
        <v>1.484931506849315</v>
      </c>
      <c r="M153" s="99">
        <v>14561.301465753424</v>
      </c>
      <c r="N153" s="100">
        <f t="shared" si="23"/>
        <v>191881.69853424656</v>
      </c>
      <c r="O153" s="122">
        <f t="shared" si="28"/>
        <v>18.515068493150686</v>
      </c>
      <c r="P153" s="99">
        <f t="shared" si="24"/>
        <v>181559.54853424657</v>
      </c>
      <c r="Q153" s="100">
        <f t="shared" si="25"/>
        <v>9806.0424999999996</v>
      </c>
      <c r="R153" s="100">
        <f t="shared" si="26"/>
        <v>182075.65603424655</v>
      </c>
    </row>
    <row r="154" spans="1:18" ht="15">
      <c r="A154" s="128" t="s">
        <v>100</v>
      </c>
      <c r="B154" s="129">
        <v>42648</v>
      </c>
      <c r="C154" s="131">
        <v>61146</v>
      </c>
      <c r="D154" s="107"/>
      <c r="E154" s="107"/>
      <c r="F154" s="107"/>
      <c r="G154" s="99">
        <f t="shared" si="27"/>
        <v>3057.3</v>
      </c>
      <c r="H154" s="107"/>
      <c r="I154" s="107"/>
      <c r="J154" s="107"/>
      <c r="K154" s="107">
        <f t="shared" si="21"/>
        <v>542</v>
      </c>
      <c r="L154" s="99">
        <f t="shared" si="22"/>
        <v>1.484931506849315</v>
      </c>
      <c r="M154" s="99">
        <v>4312.8870410958898</v>
      </c>
      <c r="N154" s="100">
        <f t="shared" si="23"/>
        <v>56833.112958904108</v>
      </c>
      <c r="O154" s="122">
        <f t="shared" si="28"/>
        <v>18.515068493150686</v>
      </c>
      <c r="P154" s="99">
        <f t="shared" si="24"/>
        <v>53775.812958904105</v>
      </c>
      <c r="Q154" s="100">
        <f t="shared" si="25"/>
        <v>2904.4349999999995</v>
      </c>
      <c r="R154" s="100">
        <f t="shared" si="26"/>
        <v>53928.677958904111</v>
      </c>
    </row>
    <row r="155" spans="1:18" ht="15">
      <c r="A155" s="128" t="s">
        <v>100</v>
      </c>
      <c r="B155" s="129">
        <v>42648</v>
      </c>
      <c r="C155" s="131">
        <v>20072.259999999998</v>
      </c>
      <c r="D155" s="107"/>
      <c r="E155" s="107"/>
      <c r="F155" s="107"/>
      <c r="G155" s="99">
        <f t="shared" si="27"/>
        <v>1003.6129999999999</v>
      </c>
      <c r="H155" s="107"/>
      <c r="I155" s="107"/>
      <c r="J155" s="107"/>
      <c r="K155" s="107">
        <f t="shared" si="21"/>
        <v>542</v>
      </c>
      <c r="L155" s="99">
        <f t="shared" si="22"/>
        <v>1.484931506849315</v>
      </c>
      <c r="M155" s="99">
        <v>1415.7817361643833</v>
      </c>
      <c r="N155" s="100">
        <f t="shared" si="23"/>
        <v>18656.478263835616</v>
      </c>
      <c r="O155" s="122">
        <f t="shared" si="28"/>
        <v>18.515068493150686</v>
      </c>
      <c r="P155" s="99">
        <f t="shared" si="24"/>
        <v>17652.865263835614</v>
      </c>
      <c r="Q155" s="100">
        <f t="shared" si="25"/>
        <v>953.43234999999981</v>
      </c>
      <c r="R155" s="100">
        <f t="shared" si="26"/>
        <v>17703.045913835616</v>
      </c>
    </row>
    <row r="156" spans="1:18" ht="15">
      <c r="A156" s="128" t="s">
        <v>100</v>
      </c>
      <c r="B156" s="129">
        <v>42650</v>
      </c>
      <c r="C156" s="131">
        <v>71297</v>
      </c>
      <c r="D156" s="107"/>
      <c r="E156" s="107"/>
      <c r="F156" s="107"/>
      <c r="G156" s="99">
        <f t="shared" si="27"/>
        <v>3564.8500000000004</v>
      </c>
      <c r="H156" s="107"/>
      <c r="I156" s="107"/>
      <c r="J156" s="107"/>
      <c r="K156" s="107">
        <f t="shared" si="21"/>
        <v>540</v>
      </c>
      <c r="L156" s="99">
        <f t="shared" si="22"/>
        <v>1.4794520547945205</v>
      </c>
      <c r="M156" s="99">
        <v>5010.3234246575339</v>
      </c>
      <c r="N156" s="100">
        <f t="shared" si="23"/>
        <v>66286.67657534247</v>
      </c>
      <c r="O156" s="122">
        <f t="shared" si="28"/>
        <v>18.520547945205479</v>
      </c>
      <c r="P156" s="99">
        <f t="shared" si="24"/>
        <v>62721.826575342471</v>
      </c>
      <c r="Q156" s="100">
        <f t="shared" si="25"/>
        <v>3386.6075000000005</v>
      </c>
      <c r="R156" s="100">
        <f t="shared" si="26"/>
        <v>62900.069075342471</v>
      </c>
    </row>
    <row r="157" spans="1:18" ht="15">
      <c r="A157" s="128" t="s">
        <v>100</v>
      </c>
      <c r="B157" s="129">
        <v>42662</v>
      </c>
      <c r="C157" s="131">
        <v>30163.33</v>
      </c>
      <c r="D157" s="107"/>
      <c r="E157" s="107"/>
      <c r="F157" s="107"/>
      <c r="G157" s="99">
        <f t="shared" si="27"/>
        <v>1508.1665000000003</v>
      </c>
      <c r="H157" s="107"/>
      <c r="I157" s="107"/>
      <c r="J157" s="107"/>
      <c r="K157" s="107">
        <f t="shared" si="21"/>
        <v>528</v>
      </c>
      <c r="L157" s="99">
        <f t="shared" si="22"/>
        <v>1.4465753424657535</v>
      </c>
      <c r="M157" s="99">
        <v>2072.592647671233</v>
      </c>
      <c r="N157" s="100">
        <f t="shared" si="23"/>
        <v>28090.737352328768</v>
      </c>
      <c r="O157" s="122">
        <f t="shared" si="28"/>
        <v>18.553424657534247</v>
      </c>
      <c r="P157" s="99">
        <f t="shared" si="24"/>
        <v>26582.570852328769</v>
      </c>
      <c r="Q157" s="100">
        <f t="shared" si="25"/>
        <v>1432.7581749999999</v>
      </c>
      <c r="R157" s="100">
        <f t="shared" si="26"/>
        <v>26657.979177328769</v>
      </c>
    </row>
    <row r="158" spans="1:18" ht="15">
      <c r="A158" s="128" t="s">
        <v>100</v>
      </c>
      <c r="B158" s="129">
        <v>42670</v>
      </c>
      <c r="C158" s="131">
        <v>175308</v>
      </c>
      <c r="D158" s="107"/>
      <c r="E158" s="107"/>
      <c r="F158" s="107"/>
      <c r="G158" s="99">
        <f t="shared" si="27"/>
        <v>8765.4</v>
      </c>
      <c r="H158" s="107"/>
      <c r="I158" s="107"/>
      <c r="J158" s="107"/>
      <c r="K158" s="107">
        <f t="shared" si="21"/>
        <v>520</v>
      </c>
      <c r="L158" s="99">
        <f t="shared" si="22"/>
        <v>1.4246575342465753</v>
      </c>
      <c r="M158" s="99">
        <v>11863.308493150684</v>
      </c>
      <c r="N158" s="100">
        <f t="shared" si="23"/>
        <v>163444.69150684931</v>
      </c>
      <c r="O158" s="122">
        <f t="shared" si="28"/>
        <v>18.575342465753426</v>
      </c>
      <c r="P158" s="99">
        <f t="shared" si="24"/>
        <v>154679.29150684932</v>
      </c>
      <c r="Q158" s="100">
        <f t="shared" si="25"/>
        <v>8327.1299999999992</v>
      </c>
      <c r="R158" s="100">
        <f t="shared" si="26"/>
        <v>155117.56150684931</v>
      </c>
    </row>
    <row r="159" spans="1:18" ht="15">
      <c r="A159" s="128" t="s">
        <v>100</v>
      </c>
      <c r="B159" s="129">
        <v>42670</v>
      </c>
      <c r="C159" s="131">
        <v>70553</v>
      </c>
      <c r="D159" s="107"/>
      <c r="E159" s="107"/>
      <c r="F159" s="107"/>
      <c r="G159" s="99">
        <f t="shared" si="27"/>
        <v>3527.65</v>
      </c>
      <c r="H159" s="107"/>
      <c r="I159" s="107"/>
      <c r="J159" s="107"/>
      <c r="K159" s="107">
        <f t="shared" si="21"/>
        <v>520</v>
      </c>
      <c r="L159" s="99">
        <f t="shared" si="22"/>
        <v>1.4246575342465753</v>
      </c>
      <c r="M159" s="99">
        <v>4774.4084931506859</v>
      </c>
      <c r="N159" s="100">
        <f t="shared" si="23"/>
        <v>65778.59150684932</v>
      </c>
      <c r="O159" s="122">
        <f t="shared" si="28"/>
        <v>18.575342465753426</v>
      </c>
      <c r="P159" s="99">
        <f t="shared" si="24"/>
        <v>62250.941506849318</v>
      </c>
      <c r="Q159" s="100">
        <f t="shared" si="25"/>
        <v>3351.2674999999999</v>
      </c>
      <c r="R159" s="100">
        <f t="shared" si="26"/>
        <v>62427.324006849318</v>
      </c>
    </row>
    <row r="160" spans="1:18" ht="15">
      <c r="A160" s="128" t="s">
        <v>100</v>
      </c>
      <c r="B160" s="129">
        <v>42679</v>
      </c>
      <c r="C160" s="131">
        <v>241105.51</v>
      </c>
      <c r="D160" s="107"/>
      <c r="E160" s="107"/>
      <c r="F160" s="107"/>
      <c r="G160" s="99">
        <f t="shared" si="27"/>
        <v>12055.275500000002</v>
      </c>
      <c r="H160" s="107"/>
      <c r="I160" s="107"/>
      <c r="J160" s="107"/>
      <c r="K160" s="107">
        <f t="shared" si="21"/>
        <v>511</v>
      </c>
      <c r="L160" s="99">
        <f t="shared" si="22"/>
        <v>1.4</v>
      </c>
      <c r="M160" s="99">
        <v>16033.516415000002</v>
      </c>
      <c r="N160" s="100">
        <f t="shared" si="23"/>
        <v>225071.99358500002</v>
      </c>
      <c r="O160" s="122">
        <f t="shared" si="28"/>
        <v>18.600000000000001</v>
      </c>
      <c r="P160" s="99">
        <f t="shared" si="24"/>
        <v>213016.71808500003</v>
      </c>
      <c r="Q160" s="100">
        <f t="shared" si="25"/>
        <v>11452.511725</v>
      </c>
      <c r="R160" s="100">
        <f t="shared" si="26"/>
        <v>213619.48186000003</v>
      </c>
    </row>
    <row r="161" spans="1:18" ht="15">
      <c r="A161" s="128" t="s">
        <v>100</v>
      </c>
      <c r="B161" s="129">
        <v>42679</v>
      </c>
      <c r="C161" s="131">
        <v>269940</v>
      </c>
      <c r="D161" s="107"/>
      <c r="E161" s="107"/>
      <c r="F161" s="107"/>
      <c r="G161" s="99">
        <f t="shared" si="27"/>
        <v>13497</v>
      </c>
      <c r="H161" s="107"/>
      <c r="I161" s="107"/>
      <c r="J161" s="107"/>
      <c r="K161" s="107">
        <f t="shared" si="21"/>
        <v>511</v>
      </c>
      <c r="L161" s="99">
        <f t="shared" si="22"/>
        <v>1.4</v>
      </c>
      <c r="M161" s="99">
        <v>17951.009999999998</v>
      </c>
      <c r="N161" s="100">
        <f t="shared" si="23"/>
        <v>251988.99</v>
      </c>
      <c r="O161" s="122">
        <f t="shared" si="28"/>
        <v>18.600000000000001</v>
      </c>
      <c r="P161" s="99">
        <f t="shared" si="24"/>
        <v>238491.99</v>
      </c>
      <c r="Q161" s="100">
        <f t="shared" si="25"/>
        <v>12822.149999999998</v>
      </c>
      <c r="R161" s="100">
        <f t="shared" si="26"/>
        <v>239166.84</v>
      </c>
    </row>
    <row r="162" spans="1:18" ht="15">
      <c r="A162" s="128" t="s">
        <v>100</v>
      </c>
      <c r="B162" s="129">
        <v>42689</v>
      </c>
      <c r="C162" s="131">
        <v>41514</v>
      </c>
      <c r="D162" s="107"/>
      <c r="E162" s="107"/>
      <c r="F162" s="107"/>
      <c r="G162" s="99">
        <f t="shared" si="27"/>
        <v>2075.7000000000003</v>
      </c>
      <c r="H162" s="107"/>
      <c r="I162" s="107"/>
      <c r="J162" s="107"/>
      <c r="K162" s="107">
        <f t="shared" si="21"/>
        <v>501</v>
      </c>
      <c r="L162" s="99">
        <f t="shared" si="22"/>
        <v>1.3726027397260274</v>
      </c>
      <c r="M162" s="99">
        <v>2706.6559315068494</v>
      </c>
      <c r="N162" s="100">
        <f t="shared" si="23"/>
        <v>38807.344068493148</v>
      </c>
      <c r="O162" s="122">
        <f t="shared" si="28"/>
        <v>18.627397260273973</v>
      </c>
      <c r="P162" s="99">
        <f t="shared" si="24"/>
        <v>36731.644068493151</v>
      </c>
      <c r="Q162" s="100">
        <f t="shared" si="25"/>
        <v>1971.915</v>
      </c>
      <c r="R162" s="100">
        <f t="shared" si="26"/>
        <v>36835.429068493147</v>
      </c>
    </row>
    <row r="163" spans="1:18" ht="15">
      <c r="A163" s="128" t="s">
        <v>100</v>
      </c>
      <c r="B163" s="129">
        <v>42689</v>
      </c>
      <c r="C163" s="131">
        <v>70553</v>
      </c>
      <c r="D163" s="107"/>
      <c r="E163" s="107"/>
      <c r="F163" s="107"/>
      <c r="G163" s="99">
        <f t="shared" si="27"/>
        <v>3527.65</v>
      </c>
      <c r="H163" s="107"/>
      <c r="I163" s="107"/>
      <c r="J163" s="107"/>
      <c r="K163" s="107">
        <f t="shared" si="21"/>
        <v>501</v>
      </c>
      <c r="L163" s="99">
        <f t="shared" si="22"/>
        <v>1.3726027397260274</v>
      </c>
      <c r="M163" s="99">
        <v>4599.9589520547943</v>
      </c>
      <c r="N163" s="100">
        <f t="shared" si="23"/>
        <v>65953.041047945211</v>
      </c>
      <c r="O163" s="122">
        <f t="shared" si="28"/>
        <v>18.627397260273973</v>
      </c>
      <c r="P163" s="99">
        <f t="shared" si="24"/>
        <v>62425.39104794521</v>
      </c>
      <c r="Q163" s="100">
        <f t="shared" si="25"/>
        <v>3351.2674999999999</v>
      </c>
      <c r="R163" s="100">
        <f t="shared" si="26"/>
        <v>62601.773547945209</v>
      </c>
    </row>
    <row r="164" spans="1:18" ht="15">
      <c r="A164" s="128" t="s">
        <v>100</v>
      </c>
      <c r="B164" s="129">
        <v>42689</v>
      </c>
      <c r="C164" s="131">
        <v>196064</v>
      </c>
      <c r="D164" s="107"/>
      <c r="E164" s="107"/>
      <c r="F164" s="107"/>
      <c r="G164" s="99">
        <f t="shared" si="27"/>
        <v>9803.2000000000007</v>
      </c>
      <c r="H164" s="107"/>
      <c r="I164" s="107"/>
      <c r="J164" s="107"/>
      <c r="K164" s="107">
        <f t="shared" si="21"/>
        <v>501</v>
      </c>
      <c r="L164" s="99">
        <f t="shared" si="22"/>
        <v>1.3726027397260274</v>
      </c>
      <c r="M164" s="99">
        <v>12783.10421917808</v>
      </c>
      <c r="N164" s="100">
        <f t="shared" si="23"/>
        <v>183280.89578082191</v>
      </c>
      <c r="O164" s="122">
        <f t="shared" si="28"/>
        <v>18.627397260273973</v>
      </c>
      <c r="P164" s="99">
        <f t="shared" si="24"/>
        <v>173477.6957808219</v>
      </c>
      <c r="Q164" s="100">
        <f t="shared" si="25"/>
        <v>9313.0399999999991</v>
      </c>
      <c r="R164" s="100">
        <f t="shared" si="26"/>
        <v>173967.8557808219</v>
      </c>
    </row>
    <row r="165" spans="1:18" ht="15">
      <c r="A165" s="128" t="s">
        <v>100</v>
      </c>
      <c r="B165" s="129">
        <v>42691</v>
      </c>
      <c r="C165" s="131">
        <v>134672</v>
      </c>
      <c r="D165" s="107"/>
      <c r="E165" s="107"/>
      <c r="F165" s="107"/>
      <c r="G165" s="99">
        <f t="shared" si="27"/>
        <v>6733.6</v>
      </c>
      <c r="H165" s="107"/>
      <c r="I165" s="107"/>
      <c r="J165" s="107"/>
      <c r="K165" s="107">
        <f t="shared" si="21"/>
        <v>499</v>
      </c>
      <c r="L165" s="99">
        <f t="shared" si="22"/>
        <v>1.3671232876712329</v>
      </c>
      <c r="M165" s="99">
        <v>8745.378301369863</v>
      </c>
      <c r="N165" s="100">
        <f t="shared" si="23"/>
        <v>125926.62169863013</v>
      </c>
      <c r="O165" s="122">
        <f t="shared" si="28"/>
        <v>18.632876712328766</v>
      </c>
      <c r="P165" s="99">
        <f t="shared" si="24"/>
        <v>119193.02169863012</v>
      </c>
      <c r="Q165" s="100">
        <f t="shared" si="25"/>
        <v>6396.9199999999992</v>
      </c>
      <c r="R165" s="100">
        <f t="shared" si="26"/>
        <v>119529.70169863013</v>
      </c>
    </row>
    <row r="166" spans="1:18" ht="15">
      <c r="A166" s="128" t="s">
        <v>100</v>
      </c>
      <c r="B166" s="129">
        <v>42709</v>
      </c>
      <c r="C166" s="131">
        <v>228324</v>
      </c>
      <c r="D166" s="107"/>
      <c r="E166" s="107"/>
      <c r="F166" s="107"/>
      <c r="G166" s="99">
        <f t="shared" si="27"/>
        <v>11416.2</v>
      </c>
      <c r="H166" s="107"/>
      <c r="I166" s="107"/>
      <c r="J166" s="107"/>
      <c r="K166" s="107">
        <f t="shared" si="21"/>
        <v>481</v>
      </c>
      <c r="L166" s="99">
        <f t="shared" si="22"/>
        <v>1.3178082191780822</v>
      </c>
      <c r="M166" s="99">
        <v>14292.14408219178</v>
      </c>
      <c r="N166" s="100">
        <f t="shared" si="23"/>
        <v>214031.85591780822</v>
      </c>
      <c r="O166" s="122">
        <f t="shared" si="28"/>
        <v>18.682191780821917</v>
      </c>
      <c r="P166" s="99">
        <f t="shared" si="24"/>
        <v>202615.65591780821</v>
      </c>
      <c r="Q166" s="100">
        <f t="shared" si="25"/>
        <v>10845.39</v>
      </c>
      <c r="R166" s="100">
        <f t="shared" si="26"/>
        <v>203186.46591780824</v>
      </c>
    </row>
    <row r="167" spans="1:18" ht="15">
      <c r="A167" s="128" t="s">
        <v>100</v>
      </c>
      <c r="B167" s="129">
        <v>42709</v>
      </c>
      <c r="C167" s="131">
        <v>23518</v>
      </c>
      <c r="D167" s="107"/>
      <c r="E167" s="107"/>
      <c r="F167" s="107"/>
      <c r="G167" s="99">
        <f t="shared" si="27"/>
        <v>1175.9000000000001</v>
      </c>
      <c r="H167" s="107"/>
      <c r="I167" s="107"/>
      <c r="J167" s="107"/>
      <c r="K167" s="107">
        <f t="shared" si="21"/>
        <v>481</v>
      </c>
      <c r="L167" s="99">
        <f t="shared" si="22"/>
        <v>1.3178082191780822</v>
      </c>
      <c r="M167" s="99">
        <v>1472.1301506849316</v>
      </c>
      <c r="N167" s="100">
        <f t="shared" si="23"/>
        <v>22045.86984931507</v>
      </c>
      <c r="O167" s="122">
        <f t="shared" si="28"/>
        <v>18.682191780821917</v>
      </c>
      <c r="P167" s="99">
        <f t="shared" si="24"/>
        <v>20869.969849315068</v>
      </c>
      <c r="Q167" s="100">
        <f t="shared" si="25"/>
        <v>1117.105</v>
      </c>
      <c r="R167" s="100">
        <f t="shared" si="26"/>
        <v>20928.76484931507</v>
      </c>
    </row>
    <row r="168" spans="1:18" ht="15">
      <c r="A168" s="128" t="s">
        <v>100</v>
      </c>
      <c r="B168" s="129">
        <v>42718</v>
      </c>
      <c r="C168" s="131">
        <v>30163.360000000001</v>
      </c>
      <c r="D168" s="107"/>
      <c r="E168" s="107"/>
      <c r="F168" s="107"/>
      <c r="G168" s="99">
        <f t="shared" si="27"/>
        <v>1508.1680000000001</v>
      </c>
      <c r="H168" s="107"/>
      <c r="I168" s="107"/>
      <c r="J168" s="107"/>
      <c r="K168" s="107">
        <f t="shared" si="21"/>
        <v>472</v>
      </c>
      <c r="L168" s="99">
        <f t="shared" si="22"/>
        <v>1.2931506849315069</v>
      </c>
      <c r="M168" s="99">
        <v>1852.7740580821919</v>
      </c>
      <c r="N168" s="100">
        <f t="shared" si="23"/>
        <v>28310.585941917809</v>
      </c>
      <c r="O168" s="122">
        <f t="shared" si="28"/>
        <v>18.706849315068492</v>
      </c>
      <c r="P168" s="99">
        <f t="shared" si="24"/>
        <v>26802.417941917807</v>
      </c>
      <c r="Q168" s="100">
        <f t="shared" si="25"/>
        <v>1432.7596000000001</v>
      </c>
      <c r="R168" s="100">
        <f t="shared" si="26"/>
        <v>26877.826341917807</v>
      </c>
    </row>
    <row r="169" spans="1:18" ht="15">
      <c r="A169" s="128" t="s">
        <v>100</v>
      </c>
      <c r="B169" s="129">
        <v>42723</v>
      </c>
      <c r="C169" s="131">
        <v>61849.06</v>
      </c>
      <c r="D169" s="107"/>
      <c r="E169" s="107"/>
      <c r="F169" s="107"/>
      <c r="G169" s="99">
        <f t="shared" si="27"/>
        <v>3092.453</v>
      </c>
      <c r="H169" s="107"/>
      <c r="I169" s="107"/>
      <c r="J169" s="107"/>
      <c r="K169" s="107">
        <f t="shared" si="21"/>
        <v>467</v>
      </c>
      <c r="L169" s="99">
        <f t="shared" si="22"/>
        <v>1.2794520547945205</v>
      </c>
      <c r="M169" s="99">
        <v>3758.8130779452054</v>
      </c>
      <c r="N169" s="100">
        <f t="shared" si="23"/>
        <v>58090.246922054794</v>
      </c>
      <c r="O169" s="122">
        <f t="shared" si="28"/>
        <v>18.720547945205478</v>
      </c>
      <c r="P169" s="99">
        <f t="shared" si="24"/>
        <v>54997.793922054792</v>
      </c>
      <c r="Q169" s="100">
        <f t="shared" si="25"/>
        <v>2937.8303500000002</v>
      </c>
      <c r="R169" s="100">
        <f t="shared" si="26"/>
        <v>55152.41657205479</v>
      </c>
    </row>
    <row r="170" spans="1:18" ht="15">
      <c r="A170" s="128" t="s">
        <v>100</v>
      </c>
      <c r="B170" s="129">
        <v>42727</v>
      </c>
      <c r="C170" s="131">
        <v>269940</v>
      </c>
      <c r="D170" s="107"/>
      <c r="E170" s="107"/>
      <c r="F170" s="107"/>
      <c r="G170" s="99">
        <f t="shared" si="27"/>
        <v>13497</v>
      </c>
      <c r="H170" s="107"/>
      <c r="I170" s="107"/>
      <c r="J170" s="107"/>
      <c r="K170" s="107">
        <f t="shared" si="21"/>
        <v>463</v>
      </c>
      <c r="L170" s="99">
        <f t="shared" si="22"/>
        <v>1.2684931506849315</v>
      </c>
      <c r="M170" s="99">
        <v>16264.809452054797</v>
      </c>
      <c r="N170" s="100">
        <f t="shared" si="23"/>
        <v>253675.19054794521</v>
      </c>
      <c r="O170" s="122">
        <f t="shared" si="28"/>
        <v>18.731506849315068</v>
      </c>
      <c r="P170" s="99">
        <f t="shared" si="24"/>
        <v>240178.19054794521</v>
      </c>
      <c r="Q170" s="100">
        <f t="shared" si="25"/>
        <v>12822.150000000001</v>
      </c>
      <c r="R170" s="100">
        <f t="shared" si="26"/>
        <v>240853.04054794522</v>
      </c>
    </row>
    <row r="171" spans="1:18" ht="15">
      <c r="A171" s="128" t="s">
        <v>100</v>
      </c>
      <c r="B171" s="129">
        <v>42727</v>
      </c>
      <c r="C171" s="131">
        <v>241105.52</v>
      </c>
      <c r="D171" s="107"/>
      <c r="E171" s="107"/>
      <c r="F171" s="107"/>
      <c r="G171" s="99">
        <f t="shared" si="27"/>
        <v>12055.276</v>
      </c>
      <c r="H171" s="107"/>
      <c r="I171" s="107"/>
      <c r="J171" s="107"/>
      <c r="K171" s="107">
        <f t="shared" si="21"/>
        <v>463</v>
      </c>
      <c r="L171" s="99">
        <f t="shared" si="22"/>
        <v>1.2684931506849315</v>
      </c>
      <c r="M171" s="99">
        <v>14527.433283835615</v>
      </c>
      <c r="N171" s="100">
        <f t="shared" si="23"/>
        <v>226578.08671616437</v>
      </c>
      <c r="O171" s="122">
        <f t="shared" si="28"/>
        <v>18.731506849315068</v>
      </c>
      <c r="P171" s="99">
        <f t="shared" si="24"/>
        <v>214522.81071616436</v>
      </c>
      <c r="Q171" s="100">
        <f t="shared" si="25"/>
        <v>11452.512199999999</v>
      </c>
      <c r="R171" s="100">
        <f t="shared" si="26"/>
        <v>215125.57451616437</v>
      </c>
    </row>
    <row r="172" spans="1:18" ht="15">
      <c r="A172" s="128" t="s">
        <v>100</v>
      </c>
      <c r="B172" s="129">
        <v>42727</v>
      </c>
      <c r="C172" s="131">
        <v>126943</v>
      </c>
      <c r="D172" s="107"/>
      <c r="E172" s="107"/>
      <c r="F172" s="107"/>
      <c r="G172" s="99">
        <f t="shared" si="27"/>
        <v>6347.1500000000005</v>
      </c>
      <c r="H172" s="107"/>
      <c r="I172" s="107"/>
      <c r="J172" s="107"/>
      <c r="K172" s="107">
        <f t="shared" si="21"/>
        <v>463</v>
      </c>
      <c r="L172" s="99">
        <f t="shared" si="22"/>
        <v>1.2684931506849315</v>
      </c>
      <c r="M172" s="99">
        <v>7648.7504863013701</v>
      </c>
      <c r="N172" s="100">
        <f t="shared" si="23"/>
        <v>119294.24951369863</v>
      </c>
      <c r="O172" s="122">
        <f t="shared" si="28"/>
        <v>18.731506849315068</v>
      </c>
      <c r="P172" s="99">
        <f t="shared" si="24"/>
        <v>112947.09951369863</v>
      </c>
      <c r="Q172" s="100">
        <f t="shared" si="25"/>
        <v>6029.7925000000005</v>
      </c>
      <c r="R172" s="100">
        <f t="shared" si="26"/>
        <v>113264.45701369863</v>
      </c>
    </row>
    <row r="173" spans="1:18" ht="15">
      <c r="A173" s="128" t="s">
        <v>100</v>
      </c>
      <c r="B173" s="129">
        <v>42727</v>
      </c>
      <c r="C173" s="131">
        <v>70553</v>
      </c>
      <c r="D173" s="107"/>
      <c r="E173" s="107"/>
      <c r="F173" s="107"/>
      <c r="G173" s="99">
        <f t="shared" si="27"/>
        <v>3527.65</v>
      </c>
      <c r="H173" s="107"/>
      <c r="I173" s="107"/>
      <c r="J173" s="107"/>
      <c r="K173" s="107">
        <f t="shared" si="21"/>
        <v>463</v>
      </c>
      <c r="L173" s="99">
        <f t="shared" si="22"/>
        <v>1.2684931506849315</v>
      </c>
      <c r="M173" s="99">
        <v>4251.0598698630147</v>
      </c>
      <c r="N173" s="100">
        <f t="shared" si="23"/>
        <v>66301.94013013698</v>
      </c>
      <c r="O173" s="122">
        <f t="shared" si="28"/>
        <v>18.731506849315068</v>
      </c>
      <c r="P173" s="99">
        <f t="shared" si="24"/>
        <v>62774.290130136978</v>
      </c>
      <c r="Q173" s="100">
        <f t="shared" si="25"/>
        <v>3351.2674999999999</v>
      </c>
      <c r="R173" s="100">
        <f t="shared" si="26"/>
        <v>62950.672630136978</v>
      </c>
    </row>
    <row r="174" spans="1:18" ht="15">
      <c r="A174" s="128" t="s">
        <v>100</v>
      </c>
      <c r="B174" s="129">
        <v>42727</v>
      </c>
      <c r="C174" s="131">
        <v>27608</v>
      </c>
      <c r="D174" s="107"/>
      <c r="E174" s="107"/>
      <c r="F174" s="107"/>
      <c r="G174" s="99">
        <f t="shared" si="27"/>
        <v>1380.4</v>
      </c>
      <c r="H174" s="107"/>
      <c r="I174" s="107"/>
      <c r="J174" s="107"/>
      <c r="K174" s="107">
        <f t="shared" si="21"/>
        <v>463</v>
      </c>
      <c r="L174" s="99">
        <f t="shared" si="22"/>
        <v>1.2684931506849315</v>
      </c>
      <c r="M174" s="99">
        <v>1663.4765479452053</v>
      </c>
      <c r="N174" s="100">
        <f t="shared" si="23"/>
        <v>25944.523452054797</v>
      </c>
      <c r="O174" s="122">
        <f t="shared" si="28"/>
        <v>18.731506849315068</v>
      </c>
      <c r="P174" s="99">
        <f t="shared" si="24"/>
        <v>24564.123452054795</v>
      </c>
      <c r="Q174" s="100">
        <f t="shared" si="25"/>
        <v>1311.38</v>
      </c>
      <c r="R174" s="100">
        <f t="shared" si="26"/>
        <v>24633.143452054795</v>
      </c>
    </row>
    <row r="175" spans="1:18" ht="15">
      <c r="A175" s="128" t="s">
        <v>100</v>
      </c>
      <c r="B175" s="129">
        <v>42728</v>
      </c>
      <c r="C175" s="131">
        <v>112731</v>
      </c>
      <c r="D175" s="107"/>
      <c r="E175" s="107"/>
      <c r="F175" s="107"/>
      <c r="G175" s="99">
        <f t="shared" si="27"/>
        <v>5636.55</v>
      </c>
      <c r="H175" s="107"/>
      <c r="I175" s="107"/>
      <c r="J175" s="107"/>
      <c r="K175" s="107">
        <f t="shared" si="21"/>
        <v>462</v>
      </c>
      <c r="L175" s="99">
        <f t="shared" si="22"/>
        <v>1.2657534246575342</v>
      </c>
      <c r="M175" s="99">
        <v>6777.7583424657532</v>
      </c>
      <c r="N175" s="100">
        <f t="shared" si="23"/>
        <v>105953.24165753425</v>
      </c>
      <c r="O175" s="122">
        <f t="shared" si="28"/>
        <v>18.734246575342468</v>
      </c>
      <c r="P175" s="99">
        <f t="shared" si="24"/>
        <v>100316.69165753425</v>
      </c>
      <c r="Q175" s="100">
        <f t="shared" si="25"/>
        <v>5354.7224999999999</v>
      </c>
      <c r="R175" s="100">
        <f t="shared" si="26"/>
        <v>100598.51915753425</v>
      </c>
    </row>
    <row r="176" spans="1:18" ht="15">
      <c r="A176" s="128" t="s">
        <v>100</v>
      </c>
      <c r="B176" s="129">
        <v>42736</v>
      </c>
      <c r="C176" s="131">
        <v>1464900</v>
      </c>
      <c r="D176" s="107"/>
      <c r="E176" s="107"/>
      <c r="F176" s="107"/>
      <c r="G176" s="99">
        <f t="shared" si="27"/>
        <v>73245</v>
      </c>
      <c r="H176" s="107"/>
      <c r="I176" s="107"/>
      <c r="J176" s="107"/>
      <c r="K176" s="107">
        <f t="shared" si="21"/>
        <v>454</v>
      </c>
      <c r="L176" s="99">
        <f t="shared" si="22"/>
        <v>1.2438356164383562</v>
      </c>
      <c r="M176" s="99">
        <v>86549.502739726027</v>
      </c>
      <c r="N176" s="100">
        <f t="shared" si="23"/>
        <v>1378350.4972602739</v>
      </c>
      <c r="O176" s="122">
        <f t="shared" si="28"/>
        <v>18.756164383561643</v>
      </c>
      <c r="P176" s="99">
        <f t="shared" si="24"/>
        <v>1305105.4972602739</v>
      </c>
      <c r="Q176" s="100">
        <f t="shared" si="25"/>
        <v>69582.75</v>
      </c>
      <c r="R176" s="100">
        <f t="shared" si="26"/>
        <v>1308767.7472602739</v>
      </c>
    </row>
    <row r="177" spans="1:18" ht="15">
      <c r="A177" s="128" t="s">
        <v>100</v>
      </c>
      <c r="B177" s="129">
        <v>42754</v>
      </c>
      <c r="C177" s="131">
        <v>46475</v>
      </c>
      <c r="D177" s="107"/>
      <c r="E177" s="107"/>
      <c r="F177" s="107"/>
      <c r="G177" s="99">
        <f t="shared" si="27"/>
        <v>2323.75</v>
      </c>
      <c r="H177" s="107"/>
      <c r="I177" s="107"/>
      <c r="J177" s="107"/>
      <c r="K177" s="107">
        <f t="shared" si="21"/>
        <v>436</v>
      </c>
      <c r="L177" s="99">
        <f t="shared" si="22"/>
        <v>1.1945205479452055</v>
      </c>
      <c r="M177" s="99">
        <v>2636.978767123288</v>
      </c>
      <c r="N177" s="100">
        <f t="shared" si="23"/>
        <v>43838.021232876708</v>
      </c>
      <c r="O177" s="122">
        <f t="shared" si="28"/>
        <v>18.805479452054794</v>
      </c>
      <c r="P177" s="99">
        <f t="shared" si="24"/>
        <v>41514.271232876708</v>
      </c>
      <c r="Q177" s="100">
        <f t="shared" si="25"/>
        <v>2207.5625</v>
      </c>
      <c r="R177" s="100">
        <f t="shared" si="26"/>
        <v>41630.458732876708</v>
      </c>
    </row>
    <row r="178" spans="1:18" ht="15">
      <c r="A178" s="128" t="s">
        <v>100</v>
      </c>
      <c r="B178" s="129">
        <v>42770</v>
      </c>
      <c r="C178" s="131">
        <v>1634190</v>
      </c>
      <c r="D178" s="107"/>
      <c r="E178" s="107"/>
      <c r="F178" s="107"/>
      <c r="G178" s="99">
        <f t="shared" si="27"/>
        <v>81709.5</v>
      </c>
      <c r="H178" s="107"/>
      <c r="I178" s="107"/>
      <c r="J178" s="107"/>
      <c r="K178" s="107">
        <f t="shared" si="21"/>
        <v>420</v>
      </c>
      <c r="L178" s="99">
        <f t="shared" si="22"/>
        <v>1.1506849315068493</v>
      </c>
      <c r="M178" s="99">
        <v>89320.795890410955</v>
      </c>
      <c r="N178" s="100">
        <f t="shared" si="23"/>
        <v>1544869.2041095891</v>
      </c>
      <c r="O178" s="122">
        <f t="shared" si="28"/>
        <v>18.849315068493151</v>
      </c>
      <c r="P178" s="99">
        <f t="shared" si="24"/>
        <v>1463159.7041095891</v>
      </c>
      <c r="Q178" s="100">
        <f t="shared" si="25"/>
        <v>77624.024999999994</v>
      </c>
      <c r="R178" s="100">
        <f t="shared" si="26"/>
        <v>1467245.1791095892</v>
      </c>
    </row>
    <row r="179" spans="1:18" ht="15">
      <c r="A179" s="128" t="s">
        <v>100</v>
      </c>
      <c r="B179" s="129">
        <v>42774</v>
      </c>
      <c r="C179" s="131">
        <v>196064</v>
      </c>
      <c r="D179" s="107"/>
      <c r="E179" s="107"/>
      <c r="F179" s="107"/>
      <c r="G179" s="99">
        <f t="shared" si="27"/>
        <v>9803.2000000000007</v>
      </c>
      <c r="H179" s="107"/>
      <c r="I179" s="107"/>
      <c r="J179" s="107"/>
      <c r="K179" s="107">
        <f t="shared" si="21"/>
        <v>416</v>
      </c>
      <c r="L179" s="99">
        <f t="shared" si="22"/>
        <v>1.1397260273972603</v>
      </c>
      <c r="M179" s="99">
        <v>10614.31408219178</v>
      </c>
      <c r="N179" s="100">
        <f t="shared" si="23"/>
        <v>185449.68591780821</v>
      </c>
      <c r="O179" s="122">
        <f t="shared" si="28"/>
        <v>18.860273972602741</v>
      </c>
      <c r="P179" s="99">
        <f t="shared" si="24"/>
        <v>175646.4859178082</v>
      </c>
      <c r="Q179" s="100">
        <f t="shared" si="25"/>
        <v>9313.0399999999991</v>
      </c>
      <c r="R179" s="100">
        <f t="shared" si="26"/>
        <v>176136.6459178082</v>
      </c>
    </row>
    <row r="180" spans="1:18" ht="15">
      <c r="A180" s="128" t="s">
        <v>100</v>
      </c>
      <c r="B180" s="129">
        <v>42774</v>
      </c>
      <c r="C180" s="131">
        <v>58794</v>
      </c>
      <c r="D180" s="107"/>
      <c r="E180" s="107"/>
      <c r="F180" s="107"/>
      <c r="G180" s="99">
        <f t="shared" si="27"/>
        <v>2939.7000000000003</v>
      </c>
      <c r="H180" s="107"/>
      <c r="I180" s="107"/>
      <c r="J180" s="107"/>
      <c r="K180" s="107">
        <f t="shared" si="21"/>
        <v>416</v>
      </c>
      <c r="L180" s="99">
        <f t="shared" si="22"/>
        <v>1.1397260273972603</v>
      </c>
      <c r="M180" s="99">
        <v>3182.9299726027393</v>
      </c>
      <c r="N180" s="100">
        <f t="shared" si="23"/>
        <v>55611.070027397262</v>
      </c>
      <c r="O180" s="122">
        <f t="shared" si="28"/>
        <v>18.860273972602741</v>
      </c>
      <c r="P180" s="99">
        <f t="shared" si="24"/>
        <v>52671.370027397264</v>
      </c>
      <c r="Q180" s="100">
        <f t="shared" si="25"/>
        <v>2792.7150000000001</v>
      </c>
      <c r="R180" s="100">
        <f t="shared" si="26"/>
        <v>52818.355027397265</v>
      </c>
    </row>
    <row r="181" spans="1:18" ht="15">
      <c r="A181" s="128" t="s">
        <v>100</v>
      </c>
      <c r="B181" s="129">
        <v>42791</v>
      </c>
      <c r="C181" s="131">
        <v>345345.51</v>
      </c>
      <c r="D181" s="107"/>
      <c r="E181" s="107"/>
      <c r="F181" s="107"/>
      <c r="G181" s="99">
        <f t="shared" si="27"/>
        <v>17267.2755</v>
      </c>
      <c r="H181" s="107"/>
      <c r="I181" s="107"/>
      <c r="J181" s="107"/>
      <c r="K181" s="107">
        <f t="shared" si="21"/>
        <v>399</v>
      </c>
      <c r="L181" s="99">
        <f t="shared" si="22"/>
        <v>1.0931506849315069</v>
      </c>
      <c r="M181" s="99">
        <v>17931.947337739726</v>
      </c>
      <c r="N181" s="100">
        <f t="shared" si="23"/>
        <v>327413.56266226026</v>
      </c>
      <c r="O181" s="122">
        <f t="shared" si="28"/>
        <v>18.906849315068492</v>
      </c>
      <c r="P181" s="99">
        <f t="shared" si="24"/>
        <v>310146.28716226027</v>
      </c>
      <c r="Q181" s="100">
        <f t="shared" si="25"/>
        <v>16403.911725000002</v>
      </c>
      <c r="R181" s="100">
        <f t="shared" si="26"/>
        <v>311009.65093726024</v>
      </c>
    </row>
    <row r="182" spans="1:18" ht="15">
      <c r="A182" s="128" t="s">
        <v>100</v>
      </c>
      <c r="B182" s="129">
        <v>42791</v>
      </c>
      <c r="C182" s="131">
        <v>40144.49</v>
      </c>
      <c r="D182" s="107"/>
      <c r="E182" s="107"/>
      <c r="F182" s="107"/>
      <c r="G182" s="99">
        <f t="shared" si="27"/>
        <v>2007.2245</v>
      </c>
      <c r="H182" s="107"/>
      <c r="I182" s="107"/>
      <c r="J182" s="107"/>
      <c r="K182" s="107">
        <f t="shared" si="21"/>
        <v>399</v>
      </c>
      <c r="L182" s="99">
        <f t="shared" si="22"/>
        <v>1.0931506849315069</v>
      </c>
      <c r="M182" s="99">
        <v>2084.4888951369867</v>
      </c>
      <c r="N182" s="100">
        <f t="shared" si="23"/>
        <v>38060.001104863011</v>
      </c>
      <c r="O182" s="122">
        <f t="shared" si="28"/>
        <v>18.906849315068492</v>
      </c>
      <c r="P182" s="99">
        <f t="shared" si="24"/>
        <v>36052.776604863015</v>
      </c>
      <c r="Q182" s="100">
        <f t="shared" si="25"/>
        <v>1906.8632750000002</v>
      </c>
      <c r="R182" s="100">
        <f t="shared" si="26"/>
        <v>36153.137829863008</v>
      </c>
    </row>
    <row r="183" spans="1:18" ht="15">
      <c r="A183" s="128" t="s">
        <v>100</v>
      </c>
      <c r="B183" s="129">
        <v>42798</v>
      </c>
      <c r="C183" s="131">
        <v>181622</v>
      </c>
      <c r="D183" s="107"/>
      <c r="E183" s="107"/>
      <c r="F183" s="107"/>
      <c r="G183" s="99">
        <f t="shared" si="27"/>
        <v>9081.1</v>
      </c>
      <c r="H183" s="107"/>
      <c r="I183" s="107"/>
      <c r="J183" s="107"/>
      <c r="K183" s="107">
        <f t="shared" si="21"/>
        <v>392</v>
      </c>
      <c r="L183" s="99">
        <f t="shared" si="22"/>
        <v>1.0739726027397261</v>
      </c>
      <c r="M183" s="99">
        <v>9265.2099726027391</v>
      </c>
      <c r="N183" s="100">
        <f t="shared" si="23"/>
        <v>172356.79002739725</v>
      </c>
      <c r="O183" s="122">
        <f t="shared" si="28"/>
        <v>18.926027397260274</v>
      </c>
      <c r="P183" s="99">
        <f t="shared" si="24"/>
        <v>163275.69002739724</v>
      </c>
      <c r="Q183" s="100">
        <f t="shared" si="25"/>
        <v>8627.0449999999983</v>
      </c>
      <c r="R183" s="100">
        <f t="shared" si="26"/>
        <v>163729.74502739724</v>
      </c>
    </row>
    <row r="184" spans="1:18" ht="15">
      <c r="A184" s="128" t="s">
        <v>100</v>
      </c>
      <c r="B184" s="129">
        <v>42800</v>
      </c>
      <c r="C184" s="131">
        <v>29047</v>
      </c>
      <c r="D184" s="107"/>
      <c r="E184" s="107"/>
      <c r="F184" s="107"/>
      <c r="G184" s="99">
        <f t="shared" si="27"/>
        <v>1452.3500000000001</v>
      </c>
      <c r="H184" s="107"/>
      <c r="I184" s="107"/>
      <c r="J184" s="107"/>
      <c r="K184" s="107">
        <f t="shared" si="21"/>
        <v>390</v>
      </c>
      <c r="L184" s="99">
        <f t="shared" si="22"/>
        <v>1.0684931506849316</v>
      </c>
      <c r="M184" s="99">
        <v>1474.2347260273973</v>
      </c>
      <c r="N184" s="100">
        <f t="shared" si="23"/>
        <v>27572.765273972604</v>
      </c>
      <c r="O184" s="122">
        <f t="shared" si="28"/>
        <v>18.931506849315067</v>
      </c>
      <c r="P184" s="99">
        <f t="shared" si="24"/>
        <v>26120.415273972605</v>
      </c>
      <c r="Q184" s="100">
        <f t="shared" si="25"/>
        <v>1379.7325000000003</v>
      </c>
      <c r="R184" s="100">
        <f t="shared" si="26"/>
        <v>26193.032773972602</v>
      </c>
    </row>
    <row r="185" spans="1:18" ht="15">
      <c r="A185" s="128" t="s">
        <v>100</v>
      </c>
      <c r="B185" s="129">
        <v>42800</v>
      </c>
      <c r="C185" s="131">
        <v>73443.5</v>
      </c>
      <c r="D185" s="107"/>
      <c r="E185" s="107"/>
      <c r="F185" s="107"/>
      <c r="G185" s="99">
        <f t="shared" si="27"/>
        <v>3672.1750000000002</v>
      </c>
      <c r="H185" s="107"/>
      <c r="I185" s="107"/>
      <c r="J185" s="107"/>
      <c r="K185" s="107">
        <f t="shared" si="21"/>
        <v>390</v>
      </c>
      <c r="L185" s="99">
        <f t="shared" si="22"/>
        <v>1.0684931506849316</v>
      </c>
      <c r="M185" s="99">
        <v>3727.5091438356167</v>
      </c>
      <c r="N185" s="100">
        <f t="shared" si="23"/>
        <v>69715.990856164382</v>
      </c>
      <c r="O185" s="122">
        <f t="shared" si="28"/>
        <v>18.931506849315067</v>
      </c>
      <c r="P185" s="99">
        <f t="shared" si="24"/>
        <v>66043.81585616438</v>
      </c>
      <c r="Q185" s="100">
        <f t="shared" si="25"/>
        <v>3488.5662500000003</v>
      </c>
      <c r="R185" s="100">
        <f t="shared" si="26"/>
        <v>66227.424606164379</v>
      </c>
    </row>
    <row r="186" spans="1:18" ht="15">
      <c r="A186" s="128" t="s">
        <v>100</v>
      </c>
      <c r="B186" s="129">
        <v>42804</v>
      </c>
      <c r="C186" s="131">
        <v>53341</v>
      </c>
      <c r="D186" s="107"/>
      <c r="E186" s="107"/>
      <c r="F186" s="107"/>
      <c r="G186" s="99">
        <f t="shared" si="27"/>
        <v>2667.05</v>
      </c>
      <c r="H186" s="107"/>
      <c r="I186" s="107"/>
      <c r="J186" s="107"/>
      <c r="K186" s="107">
        <f t="shared" si="21"/>
        <v>386</v>
      </c>
      <c r="L186" s="99">
        <f t="shared" si="22"/>
        <v>1.0575342465753426</v>
      </c>
      <c r="M186" s="99">
        <v>2679.4718767123286</v>
      </c>
      <c r="N186" s="100">
        <f t="shared" si="23"/>
        <v>50661.528123287673</v>
      </c>
      <c r="O186" s="122">
        <f t="shared" si="28"/>
        <v>18.942465753424656</v>
      </c>
      <c r="P186" s="99">
        <f t="shared" si="24"/>
        <v>47994.47812328767</v>
      </c>
      <c r="Q186" s="100">
        <f t="shared" si="25"/>
        <v>2533.6975000000002</v>
      </c>
      <c r="R186" s="100">
        <f t="shared" si="26"/>
        <v>48127.830623287671</v>
      </c>
    </row>
    <row r="187" spans="1:18" ht="15">
      <c r="A187" s="128" t="s">
        <v>100</v>
      </c>
      <c r="B187" s="129">
        <v>42810</v>
      </c>
      <c r="C187" s="131">
        <v>42414.3</v>
      </c>
      <c r="D187" s="107"/>
      <c r="E187" s="107"/>
      <c r="F187" s="107"/>
      <c r="G187" s="99">
        <f t="shared" si="27"/>
        <v>2120.7150000000001</v>
      </c>
      <c r="H187" s="107"/>
      <c r="I187" s="107"/>
      <c r="J187" s="107"/>
      <c r="K187" s="107">
        <f t="shared" si="21"/>
        <v>380</v>
      </c>
      <c r="L187" s="99">
        <f t="shared" si="22"/>
        <v>1.0410958904109588</v>
      </c>
      <c r="M187" s="99">
        <v>2097.474287671233</v>
      </c>
      <c r="N187" s="100">
        <f t="shared" si="23"/>
        <v>40316.825712328769</v>
      </c>
      <c r="O187" s="122">
        <f t="shared" si="28"/>
        <v>18.958904109589042</v>
      </c>
      <c r="P187" s="99">
        <f t="shared" si="24"/>
        <v>38196.110712328766</v>
      </c>
      <c r="Q187" s="100">
        <f t="shared" si="25"/>
        <v>2014.6792499999999</v>
      </c>
      <c r="R187" s="100">
        <f t="shared" si="26"/>
        <v>38302.146462328768</v>
      </c>
    </row>
    <row r="188" spans="1:18" ht="15">
      <c r="A188" s="128" t="s">
        <v>100</v>
      </c>
      <c r="B188" s="129">
        <v>42812</v>
      </c>
      <c r="C188" s="131">
        <v>26585</v>
      </c>
      <c r="D188" s="107"/>
      <c r="E188" s="107"/>
      <c r="F188" s="107"/>
      <c r="G188" s="99">
        <f t="shared" si="27"/>
        <v>1329.25</v>
      </c>
      <c r="H188" s="107"/>
      <c r="I188" s="107"/>
      <c r="J188" s="107"/>
      <c r="K188" s="107">
        <f t="shared" si="21"/>
        <v>378</v>
      </c>
      <c r="L188" s="99">
        <f t="shared" si="22"/>
        <v>1.0356164383561643</v>
      </c>
      <c r="M188" s="99">
        <v>1307.7634931506848</v>
      </c>
      <c r="N188" s="100">
        <f t="shared" si="23"/>
        <v>25277.236506849316</v>
      </c>
      <c r="O188" s="122">
        <f t="shared" si="28"/>
        <v>18.964383561643835</v>
      </c>
      <c r="P188" s="99">
        <f t="shared" si="24"/>
        <v>23947.986506849316</v>
      </c>
      <c r="Q188" s="100">
        <f t="shared" si="25"/>
        <v>1262.7875000000001</v>
      </c>
      <c r="R188" s="100">
        <f t="shared" si="26"/>
        <v>24014.449006849318</v>
      </c>
    </row>
    <row r="189" spans="1:18" ht="15">
      <c r="A189" s="128" t="s">
        <v>100</v>
      </c>
      <c r="B189" s="129">
        <v>42812</v>
      </c>
      <c r="C189" s="131">
        <v>70553</v>
      </c>
      <c r="D189" s="107"/>
      <c r="E189" s="107"/>
      <c r="F189" s="107"/>
      <c r="G189" s="99">
        <f t="shared" si="27"/>
        <v>3527.65</v>
      </c>
      <c r="H189" s="107"/>
      <c r="I189" s="107"/>
      <c r="J189" s="107"/>
      <c r="K189" s="107">
        <f t="shared" si="21"/>
        <v>378</v>
      </c>
      <c r="L189" s="99">
        <f t="shared" si="22"/>
        <v>1.0356164383561643</v>
      </c>
      <c r="M189" s="99">
        <v>3470.6277123287673</v>
      </c>
      <c r="N189" s="100">
        <f t="shared" si="23"/>
        <v>67082.372287671227</v>
      </c>
      <c r="O189" s="122">
        <f t="shared" si="28"/>
        <v>18.964383561643835</v>
      </c>
      <c r="P189" s="99">
        <f t="shared" si="24"/>
        <v>63554.722287671226</v>
      </c>
      <c r="Q189" s="100">
        <f t="shared" si="25"/>
        <v>3351.2674999999995</v>
      </c>
      <c r="R189" s="100">
        <f t="shared" si="26"/>
        <v>63731.104787671225</v>
      </c>
    </row>
    <row r="190" spans="1:18" ht="15">
      <c r="A190" s="128" t="s">
        <v>100</v>
      </c>
      <c r="B190" s="129">
        <v>42813</v>
      </c>
      <c r="C190" s="131">
        <v>59678</v>
      </c>
      <c r="D190" s="107"/>
      <c r="E190" s="107"/>
      <c r="F190" s="107"/>
      <c r="G190" s="99">
        <f t="shared" si="27"/>
        <v>2983.9</v>
      </c>
      <c r="H190" s="107"/>
      <c r="I190" s="107"/>
      <c r="J190" s="107"/>
      <c r="K190" s="107">
        <f t="shared" si="21"/>
        <v>377</v>
      </c>
      <c r="L190" s="99">
        <f t="shared" si="22"/>
        <v>1.0328767123287672</v>
      </c>
      <c r="M190" s="99">
        <v>2927.900780821918</v>
      </c>
      <c r="N190" s="100">
        <f t="shared" si="23"/>
        <v>56750.099219178082</v>
      </c>
      <c r="O190" s="122">
        <f t="shared" si="28"/>
        <v>18.967123287671232</v>
      </c>
      <c r="P190" s="99">
        <f t="shared" si="24"/>
        <v>53766.199219178081</v>
      </c>
      <c r="Q190" s="100">
        <f t="shared" si="25"/>
        <v>2834.7049999999999</v>
      </c>
      <c r="R190" s="100">
        <f t="shared" si="26"/>
        <v>53915.394219178081</v>
      </c>
    </row>
    <row r="191" spans="1:18" ht="15">
      <c r="A191" s="128" t="s">
        <v>100</v>
      </c>
      <c r="B191" s="129">
        <v>42815</v>
      </c>
      <c r="C191" s="131">
        <v>220860.02</v>
      </c>
      <c r="D191" s="107"/>
      <c r="E191" s="107"/>
      <c r="F191" s="107"/>
      <c r="G191" s="99">
        <f t="shared" si="27"/>
        <v>11043.001</v>
      </c>
      <c r="H191" s="107"/>
      <c r="I191" s="107"/>
      <c r="J191" s="107"/>
      <c r="K191" s="107">
        <f t="shared" si="21"/>
        <v>375</v>
      </c>
      <c r="L191" s="99">
        <f t="shared" si="22"/>
        <v>1.0273972602739727</v>
      </c>
      <c r="M191" s="99">
        <v>10778.271523972602</v>
      </c>
      <c r="N191" s="100">
        <f t="shared" si="23"/>
        <v>210081.74847602739</v>
      </c>
      <c r="O191" s="122">
        <f t="shared" si="28"/>
        <v>18.972602739726028</v>
      </c>
      <c r="P191" s="99">
        <f t="shared" si="24"/>
        <v>199038.74747602741</v>
      </c>
      <c r="Q191" s="100">
        <f t="shared" si="25"/>
        <v>10490.85095</v>
      </c>
      <c r="R191" s="100">
        <f t="shared" si="26"/>
        <v>199590.8975260274</v>
      </c>
    </row>
    <row r="192" spans="1:18" ht="15">
      <c r="A192" s="128" t="s">
        <v>100</v>
      </c>
      <c r="B192" s="129">
        <v>42815</v>
      </c>
      <c r="C192" s="131">
        <v>141616.25</v>
      </c>
      <c r="D192" s="107"/>
      <c r="E192" s="107"/>
      <c r="F192" s="107"/>
      <c r="G192" s="99">
        <f t="shared" si="27"/>
        <v>7080.8125</v>
      </c>
      <c r="H192" s="107"/>
      <c r="I192" s="107"/>
      <c r="J192" s="107"/>
      <c r="K192" s="107">
        <f t="shared" si="21"/>
        <v>375</v>
      </c>
      <c r="L192" s="99">
        <f t="shared" si="22"/>
        <v>1.0273972602739727</v>
      </c>
      <c r="M192" s="99">
        <v>6911.0669948630139</v>
      </c>
      <c r="N192" s="100">
        <f t="shared" si="23"/>
        <v>134705.18300513699</v>
      </c>
      <c r="O192" s="122">
        <f t="shared" si="28"/>
        <v>18.972602739726028</v>
      </c>
      <c r="P192" s="99">
        <f t="shared" si="24"/>
        <v>127624.37050513699</v>
      </c>
      <c r="Q192" s="100">
        <f t="shared" si="25"/>
        <v>6726.7718750000004</v>
      </c>
      <c r="R192" s="100">
        <f t="shared" si="26"/>
        <v>127978.41113013698</v>
      </c>
    </row>
    <row r="193" spans="1:18" ht="15">
      <c r="A193" s="128" t="s">
        <v>100</v>
      </c>
      <c r="B193" s="129">
        <v>42820</v>
      </c>
      <c r="C193" s="131">
        <v>210840</v>
      </c>
      <c r="D193" s="107"/>
      <c r="E193" s="107"/>
      <c r="F193" s="107"/>
      <c r="G193" s="99">
        <f t="shared" si="27"/>
        <v>10542</v>
      </c>
      <c r="H193" s="107"/>
      <c r="I193" s="107"/>
      <c r="J193" s="107"/>
      <c r="K193" s="107">
        <f t="shared" si="21"/>
        <v>370</v>
      </c>
      <c r="L193" s="99">
        <f t="shared" si="22"/>
        <v>1.0136986301369864</v>
      </c>
      <c r="M193" s="99">
        <v>10152.090410958905</v>
      </c>
      <c r="N193" s="100">
        <f t="shared" si="23"/>
        <v>200687.90958904108</v>
      </c>
      <c r="O193" s="122">
        <f t="shared" si="28"/>
        <v>18.986301369863014</v>
      </c>
      <c r="P193" s="99">
        <f t="shared" si="24"/>
        <v>190145.90958904108</v>
      </c>
      <c r="Q193" s="100">
        <f t="shared" si="25"/>
        <v>10014.9</v>
      </c>
      <c r="R193" s="100">
        <f t="shared" si="26"/>
        <v>190673.00958904109</v>
      </c>
    </row>
    <row r="194" spans="1:18" ht="15">
      <c r="A194" s="128" t="s">
        <v>100</v>
      </c>
      <c r="B194" s="129">
        <v>42820</v>
      </c>
      <c r="C194" s="131">
        <v>58794</v>
      </c>
      <c r="D194" s="107"/>
      <c r="E194" s="107"/>
      <c r="F194" s="107"/>
      <c r="G194" s="99">
        <f t="shared" si="27"/>
        <v>2939.7000000000003</v>
      </c>
      <c r="H194" s="107"/>
      <c r="I194" s="107"/>
      <c r="J194" s="107"/>
      <c r="K194" s="107">
        <f t="shared" si="21"/>
        <v>370</v>
      </c>
      <c r="L194" s="99">
        <f t="shared" si="22"/>
        <v>1.0136986301369864</v>
      </c>
      <c r="M194" s="99">
        <v>2830.9713698630139</v>
      </c>
      <c r="N194" s="100">
        <f t="shared" si="23"/>
        <v>55963.028630136985</v>
      </c>
      <c r="O194" s="122">
        <f t="shared" si="28"/>
        <v>18.986301369863014</v>
      </c>
      <c r="P194" s="99">
        <f t="shared" si="24"/>
        <v>53023.328630136988</v>
      </c>
      <c r="Q194" s="100">
        <f t="shared" si="25"/>
        <v>2792.7150000000001</v>
      </c>
      <c r="R194" s="100">
        <f t="shared" si="26"/>
        <v>53170.313630136981</v>
      </c>
    </row>
    <row r="195" spans="1:18" ht="15">
      <c r="A195" s="128" t="s">
        <v>101</v>
      </c>
      <c r="B195" s="129">
        <v>42471</v>
      </c>
      <c r="C195" s="131">
        <v>407455</v>
      </c>
      <c r="D195" s="107"/>
      <c r="E195" s="107"/>
      <c r="F195" s="107"/>
      <c r="G195" s="99">
        <f t="shared" si="27"/>
        <v>20372.75</v>
      </c>
      <c r="H195" s="107"/>
      <c r="I195" s="107"/>
      <c r="J195" s="107"/>
      <c r="K195" s="107">
        <f t="shared" si="21"/>
        <v>719</v>
      </c>
      <c r="L195" s="99">
        <f t="shared" si="22"/>
        <v>1.9698630136986301</v>
      </c>
      <c r="M195" s="99">
        <v>38124.950376712331</v>
      </c>
      <c r="N195" s="100">
        <f t="shared" si="23"/>
        <v>369330.04962328769</v>
      </c>
      <c r="O195" s="122">
        <f t="shared" si="28"/>
        <v>18.030136986301368</v>
      </c>
      <c r="P195" s="99">
        <f t="shared" si="24"/>
        <v>348957.29962328769</v>
      </c>
      <c r="Q195" s="100">
        <f t="shared" si="25"/>
        <v>19354.112500000003</v>
      </c>
      <c r="R195" s="100">
        <f t="shared" si="26"/>
        <v>349975.9371232877</v>
      </c>
    </row>
    <row r="196" spans="1:18" ht="15">
      <c r="A196" s="128" t="s">
        <v>102</v>
      </c>
      <c r="B196" s="129">
        <v>42587</v>
      </c>
      <c r="C196" s="131">
        <v>7761</v>
      </c>
      <c r="D196" s="107"/>
      <c r="E196" s="107"/>
      <c r="F196" s="107"/>
      <c r="G196" s="99">
        <f t="shared" si="27"/>
        <v>388.05</v>
      </c>
      <c r="H196" s="107"/>
      <c r="I196" s="107"/>
      <c r="J196" s="107"/>
      <c r="K196" s="107">
        <f t="shared" si="21"/>
        <v>603</v>
      </c>
      <c r="L196" s="99">
        <f t="shared" si="22"/>
        <v>1.6520547945205479</v>
      </c>
      <c r="M196" s="99">
        <v>609.02586986301367</v>
      </c>
      <c r="N196" s="100">
        <f t="shared" si="23"/>
        <v>7151.9741301369868</v>
      </c>
      <c r="O196" s="122">
        <f t="shared" si="28"/>
        <v>18.347945205479451</v>
      </c>
      <c r="P196" s="99">
        <f t="shared" si="24"/>
        <v>6763.9241301369866</v>
      </c>
      <c r="Q196" s="100">
        <f t="shared" si="25"/>
        <v>368.64750000000004</v>
      </c>
      <c r="R196" s="100">
        <f t="shared" si="26"/>
        <v>6783.3266301369868</v>
      </c>
    </row>
    <row r="197" spans="1:18" ht="15">
      <c r="A197" s="128" t="s">
        <v>102</v>
      </c>
      <c r="B197" s="129">
        <v>42576</v>
      </c>
      <c r="C197" s="131">
        <v>180186</v>
      </c>
      <c r="D197" s="107"/>
      <c r="E197" s="107"/>
      <c r="F197" s="107"/>
      <c r="G197" s="99">
        <f t="shared" si="27"/>
        <v>9009.3000000000011</v>
      </c>
      <c r="H197" s="107"/>
      <c r="I197" s="107"/>
      <c r="J197" s="107"/>
      <c r="K197" s="107">
        <f t="shared" si="21"/>
        <v>614</v>
      </c>
      <c r="L197" s="99">
        <f t="shared" si="22"/>
        <v>1.6821917808219178</v>
      </c>
      <c r="M197" s="99">
        <v>14397.601890410959</v>
      </c>
      <c r="N197" s="100">
        <f t="shared" si="23"/>
        <v>165788.39810958903</v>
      </c>
      <c r="O197" s="122">
        <f t="shared" si="28"/>
        <v>18.317808219178083</v>
      </c>
      <c r="P197" s="99">
        <f t="shared" si="24"/>
        <v>156779.09810958905</v>
      </c>
      <c r="Q197" s="100">
        <f t="shared" si="25"/>
        <v>8558.8349999999991</v>
      </c>
      <c r="R197" s="100">
        <f t="shared" si="26"/>
        <v>157229.56310958904</v>
      </c>
    </row>
    <row r="198" spans="1:18" ht="15">
      <c r="A198" s="140" t="s">
        <v>154</v>
      </c>
      <c r="B198" s="157">
        <v>43173</v>
      </c>
      <c r="C198" s="156">
        <v>191510</v>
      </c>
      <c r="D198" s="107"/>
      <c r="E198" s="107"/>
      <c r="F198" s="107"/>
      <c r="G198" s="99">
        <f t="shared" si="27"/>
        <v>9575.5</v>
      </c>
      <c r="H198" s="107"/>
      <c r="I198" s="107"/>
      <c r="J198" s="107"/>
      <c r="K198" s="107">
        <f t="shared" si="21"/>
        <v>17</v>
      </c>
      <c r="L198" s="99">
        <f t="shared" si="22"/>
        <v>4.6575342465753428E-2</v>
      </c>
      <c r="M198" s="99">
        <v>423.68308219178084</v>
      </c>
      <c r="N198" s="100">
        <f t="shared" si="23"/>
        <v>191086.31691780823</v>
      </c>
      <c r="O198" s="122">
        <f t="shared" si="28"/>
        <v>19.953424657534246</v>
      </c>
      <c r="P198" s="99">
        <f t="shared" si="24"/>
        <v>181510.81691780823</v>
      </c>
      <c r="Q198" s="100">
        <f t="shared" si="25"/>
        <v>9096.7250000000004</v>
      </c>
      <c r="R198" s="100">
        <f t="shared" si="26"/>
        <v>181989.59191780823</v>
      </c>
    </row>
    <row r="199" spans="1:18" ht="15">
      <c r="A199" s="140" t="s">
        <v>99</v>
      </c>
      <c r="B199" s="157">
        <v>42830</v>
      </c>
      <c r="C199" s="156">
        <v>99360</v>
      </c>
      <c r="D199" s="107"/>
      <c r="E199" s="107"/>
      <c r="F199" s="107"/>
      <c r="G199" s="99">
        <f t="shared" si="27"/>
        <v>4968</v>
      </c>
      <c r="H199" s="107"/>
      <c r="I199" s="107"/>
      <c r="J199" s="107"/>
      <c r="K199" s="107">
        <f t="shared" si="21"/>
        <v>360</v>
      </c>
      <c r="L199" s="99">
        <f t="shared" si="22"/>
        <v>0.98630136986301364</v>
      </c>
      <c r="M199" s="99">
        <v>4654.9479452054793</v>
      </c>
      <c r="N199" s="100">
        <f t="shared" si="23"/>
        <v>94705.05205479452</v>
      </c>
      <c r="O199" s="122">
        <f t="shared" si="28"/>
        <v>19.013698630136986</v>
      </c>
      <c r="P199" s="99">
        <f t="shared" si="24"/>
        <v>89737.05205479452</v>
      </c>
      <c r="Q199" s="100">
        <f t="shared" si="25"/>
        <v>4719.6000000000004</v>
      </c>
      <c r="R199" s="100">
        <f t="shared" si="26"/>
        <v>89985.452054794514</v>
      </c>
    </row>
    <row r="200" spans="1:18" ht="15">
      <c r="A200" s="140" t="s">
        <v>99</v>
      </c>
      <c r="B200" s="157">
        <v>42908</v>
      </c>
      <c r="C200" s="156">
        <v>41825</v>
      </c>
      <c r="D200" s="107"/>
      <c r="E200" s="107"/>
      <c r="F200" s="107"/>
      <c r="G200" s="99">
        <f t="shared" si="27"/>
        <v>2091.25</v>
      </c>
      <c r="H200" s="107"/>
      <c r="I200" s="107"/>
      <c r="J200" s="107"/>
      <c r="K200" s="107">
        <f t="shared" si="21"/>
        <v>282</v>
      </c>
      <c r="L200" s="99">
        <f t="shared" si="22"/>
        <v>0.77260273972602744</v>
      </c>
      <c r="M200" s="99">
        <v>1534.9202054794521</v>
      </c>
      <c r="N200" s="100">
        <f t="shared" si="23"/>
        <v>40290.079794520549</v>
      </c>
      <c r="O200" s="122">
        <f t="shared" si="28"/>
        <v>19.227397260273971</v>
      </c>
      <c r="P200" s="99">
        <f t="shared" si="24"/>
        <v>38198.829794520549</v>
      </c>
      <c r="Q200" s="100">
        <f t="shared" si="25"/>
        <v>1986.6875000000002</v>
      </c>
      <c r="R200" s="100">
        <f t="shared" si="26"/>
        <v>38303.392294520549</v>
      </c>
    </row>
    <row r="201" spans="1:18" ht="15">
      <c r="A201" s="140" t="s">
        <v>155</v>
      </c>
      <c r="B201" s="157">
        <v>42870</v>
      </c>
      <c r="C201" s="156">
        <v>1900000</v>
      </c>
      <c r="D201" s="107"/>
      <c r="E201" s="107"/>
      <c r="F201" s="107"/>
      <c r="G201" s="99">
        <f t="shared" si="27"/>
        <v>95000</v>
      </c>
      <c r="H201" s="107"/>
      <c r="I201" s="107"/>
      <c r="J201" s="107"/>
      <c r="K201" s="107">
        <f t="shared" si="21"/>
        <v>320</v>
      </c>
      <c r="L201" s="99">
        <f t="shared" si="22"/>
        <v>0.87671232876712324</v>
      </c>
      <c r="M201" s="99">
        <v>79123.287671232873</v>
      </c>
      <c r="N201" s="100">
        <f t="shared" si="23"/>
        <v>1820876.7123287672</v>
      </c>
      <c r="O201" s="122">
        <f t="shared" si="28"/>
        <v>19.123287671232877</v>
      </c>
      <c r="P201" s="99">
        <f t="shared" si="24"/>
        <v>1725876.7123287672</v>
      </c>
      <c r="Q201" s="100">
        <f t="shared" si="25"/>
        <v>90250</v>
      </c>
      <c r="R201" s="100">
        <f t="shared" si="26"/>
        <v>1730626.7123287672</v>
      </c>
    </row>
    <row r="202" spans="1:18" ht="15">
      <c r="A202" s="140" t="s">
        <v>156</v>
      </c>
      <c r="B202" s="157">
        <v>42983</v>
      </c>
      <c r="C202" s="156">
        <v>19000</v>
      </c>
      <c r="D202" s="107"/>
      <c r="E202" s="107"/>
      <c r="F202" s="107"/>
      <c r="G202" s="99">
        <f t="shared" si="27"/>
        <v>950</v>
      </c>
      <c r="H202" s="107"/>
      <c r="I202" s="107"/>
      <c r="J202" s="107"/>
      <c r="K202" s="107">
        <f t="shared" si="21"/>
        <v>207</v>
      </c>
      <c r="L202" s="99">
        <f t="shared" si="22"/>
        <v>0.56712328767123288</v>
      </c>
      <c r="M202" s="99">
        <v>511.82876712328766</v>
      </c>
      <c r="N202" s="100">
        <f t="shared" si="23"/>
        <v>18488.171232876713</v>
      </c>
      <c r="O202" s="122">
        <f t="shared" si="28"/>
        <v>19.432876712328767</v>
      </c>
      <c r="P202" s="99">
        <f t="shared" si="24"/>
        <v>17538.171232876713</v>
      </c>
      <c r="Q202" s="100">
        <f t="shared" si="25"/>
        <v>902.50000000000011</v>
      </c>
      <c r="R202" s="100">
        <f t="shared" si="26"/>
        <v>17585.671232876713</v>
      </c>
    </row>
    <row r="203" spans="1:18" ht="15">
      <c r="A203" s="140" t="s">
        <v>157</v>
      </c>
      <c r="B203" s="157">
        <v>42842</v>
      </c>
      <c r="C203" s="156">
        <v>110496</v>
      </c>
      <c r="D203" s="107"/>
      <c r="E203" s="107"/>
      <c r="F203" s="107"/>
      <c r="G203" s="99">
        <f t="shared" si="27"/>
        <v>5524.8</v>
      </c>
      <c r="H203" s="107"/>
      <c r="I203" s="107"/>
      <c r="J203" s="107"/>
      <c r="K203" s="107">
        <f t="shared" si="21"/>
        <v>348</v>
      </c>
      <c r="L203" s="99">
        <f t="shared" si="22"/>
        <v>0.95342465753424654</v>
      </c>
      <c r="M203" s="99">
        <v>5004.1065205479454</v>
      </c>
      <c r="N203" s="100">
        <f t="shared" si="23"/>
        <v>105491.89347945206</v>
      </c>
      <c r="O203" s="122">
        <f t="shared" si="28"/>
        <v>19.046575342465754</v>
      </c>
      <c r="P203" s="99">
        <f t="shared" si="24"/>
        <v>99967.093479452058</v>
      </c>
      <c r="Q203" s="100">
        <f t="shared" si="25"/>
        <v>5248.56</v>
      </c>
      <c r="R203" s="100">
        <f t="shared" si="26"/>
        <v>100243.33347945206</v>
      </c>
    </row>
    <row r="204" spans="1:18" ht="15">
      <c r="A204" s="140" t="s">
        <v>158</v>
      </c>
      <c r="B204" s="157">
        <v>42943</v>
      </c>
      <c r="C204" s="126">
        <v>725000</v>
      </c>
      <c r="D204" s="107"/>
      <c r="E204" s="107"/>
      <c r="F204" s="107"/>
      <c r="G204" s="99">
        <f t="shared" si="27"/>
        <v>36250</v>
      </c>
      <c r="H204" s="107"/>
      <c r="I204" s="107"/>
      <c r="J204" s="107"/>
      <c r="K204" s="107">
        <f t="shared" ref="K204:K217" si="29">$K$2-B204</f>
        <v>247</v>
      </c>
      <c r="L204" s="99">
        <f t="shared" ref="L204:L217" si="30">K204/365</f>
        <v>0.67671232876712328</v>
      </c>
      <c r="M204" s="99">
        <v>23304.280821917808</v>
      </c>
      <c r="N204" s="100">
        <f t="shared" ref="N204:N217" si="31">C204-M204</f>
        <v>701695.71917808219</v>
      </c>
      <c r="O204" s="122">
        <f t="shared" si="28"/>
        <v>19.323287671232876</v>
      </c>
      <c r="P204" s="99">
        <f t="shared" ref="P204:P217" si="32">N204-G204</f>
        <v>665445.71917808219</v>
      </c>
      <c r="Q204" s="100">
        <f t="shared" ref="Q204:Q217" si="33">P204/O204</f>
        <v>34437.5</v>
      </c>
      <c r="R204" s="100">
        <f t="shared" ref="R204:R217" si="34">N204-Q204</f>
        <v>667258.21917808219</v>
      </c>
    </row>
    <row r="205" spans="1:18" ht="15">
      <c r="A205" s="140" t="s">
        <v>159</v>
      </c>
      <c r="B205" s="157">
        <v>42828</v>
      </c>
      <c r="C205" s="126">
        <v>34356</v>
      </c>
      <c r="D205" s="107"/>
      <c r="E205" s="107"/>
      <c r="F205" s="107"/>
      <c r="G205" s="99">
        <f t="shared" si="27"/>
        <v>1717.8000000000002</v>
      </c>
      <c r="H205" s="107"/>
      <c r="I205" s="107"/>
      <c r="J205" s="107"/>
      <c r="K205" s="107">
        <f t="shared" si="29"/>
        <v>362</v>
      </c>
      <c r="L205" s="99">
        <f t="shared" si="30"/>
        <v>0.99178082191780825</v>
      </c>
      <c r="M205" s="99">
        <v>8092.4852054794519</v>
      </c>
      <c r="N205" s="100">
        <f t="shared" si="31"/>
        <v>26263.514794520546</v>
      </c>
      <c r="O205" s="122">
        <f t="shared" ref="O205:O217" si="35">$O$11-L205</f>
        <v>19.008219178082193</v>
      </c>
      <c r="P205" s="99">
        <f t="shared" si="32"/>
        <v>24545.714794520547</v>
      </c>
      <c r="Q205" s="100">
        <f t="shared" si="33"/>
        <v>1291.3211155952722</v>
      </c>
      <c r="R205" s="100">
        <f t="shared" si="34"/>
        <v>24972.193678925272</v>
      </c>
    </row>
    <row r="206" spans="1:18" ht="15">
      <c r="A206" s="140" t="s">
        <v>159</v>
      </c>
      <c r="B206" s="157">
        <v>42830</v>
      </c>
      <c r="C206" s="126">
        <f>20718+20718</f>
        <v>41436</v>
      </c>
      <c r="D206" s="107"/>
      <c r="E206" s="107"/>
      <c r="F206" s="107"/>
      <c r="G206" s="99">
        <f t="shared" si="27"/>
        <v>2071.8000000000002</v>
      </c>
      <c r="H206" s="107"/>
      <c r="I206" s="107"/>
      <c r="J206" s="107"/>
      <c r="K206" s="107">
        <f t="shared" si="29"/>
        <v>360</v>
      </c>
      <c r="L206" s="99">
        <f t="shared" si="30"/>
        <v>0.98630136986301364</v>
      </c>
      <c r="M206" s="99">
        <v>9706.2410958904093</v>
      </c>
      <c r="N206" s="100">
        <f t="shared" si="31"/>
        <v>31729.758904109593</v>
      </c>
      <c r="O206" s="122">
        <f t="shared" si="35"/>
        <v>19.013698630136986</v>
      </c>
      <c r="P206" s="99">
        <f t="shared" si="32"/>
        <v>29657.958904109593</v>
      </c>
      <c r="Q206" s="100">
        <f t="shared" si="33"/>
        <v>1559.8206051873201</v>
      </c>
      <c r="R206" s="100">
        <f t="shared" si="34"/>
        <v>30169.938298922272</v>
      </c>
    </row>
    <row r="207" spans="1:18" ht="15">
      <c r="A207" s="140" t="s">
        <v>159</v>
      </c>
      <c r="B207" s="157">
        <v>42836</v>
      </c>
      <c r="C207" s="126">
        <v>155922.64000000001</v>
      </c>
      <c r="D207" s="107"/>
      <c r="E207" s="107"/>
      <c r="F207" s="107"/>
      <c r="G207" s="99">
        <f t="shared" si="27"/>
        <v>7796.1320000000014</v>
      </c>
      <c r="H207" s="107"/>
      <c r="I207" s="107"/>
      <c r="J207" s="107"/>
      <c r="K207" s="107">
        <f t="shared" si="29"/>
        <v>354</v>
      </c>
      <c r="L207" s="99">
        <f t="shared" si="30"/>
        <v>0.96986301369863015</v>
      </c>
      <c r="M207" s="99">
        <v>35915.605364383562</v>
      </c>
      <c r="N207" s="100">
        <f t="shared" si="31"/>
        <v>120007.03463561645</v>
      </c>
      <c r="O207" s="122">
        <f t="shared" si="35"/>
        <v>19.030136986301368</v>
      </c>
      <c r="P207" s="99">
        <f t="shared" si="32"/>
        <v>112210.90263561645</v>
      </c>
      <c r="Q207" s="100">
        <f t="shared" si="33"/>
        <v>5896.4842300604678</v>
      </c>
      <c r="R207" s="100">
        <f t="shared" si="34"/>
        <v>114110.55040555599</v>
      </c>
    </row>
    <row r="208" spans="1:18" ht="15">
      <c r="A208" s="140" t="s">
        <v>159</v>
      </c>
      <c r="B208" s="157">
        <v>42839</v>
      </c>
      <c r="C208" s="126">
        <v>273570</v>
      </c>
      <c r="D208" s="107"/>
      <c r="E208" s="107"/>
      <c r="F208" s="107"/>
      <c r="G208" s="99">
        <f t="shared" si="27"/>
        <v>13678.5</v>
      </c>
      <c r="H208" s="107"/>
      <c r="I208" s="107"/>
      <c r="J208" s="107"/>
      <c r="K208" s="107">
        <f t="shared" si="29"/>
        <v>351</v>
      </c>
      <c r="L208" s="99">
        <f t="shared" si="30"/>
        <v>0.9616438356164384</v>
      </c>
      <c r="M208" s="99">
        <v>62480.764726027395</v>
      </c>
      <c r="N208" s="100">
        <f t="shared" si="31"/>
        <v>211089.23527397262</v>
      </c>
      <c r="O208" s="122">
        <f t="shared" si="35"/>
        <v>19.038356164383561</v>
      </c>
      <c r="P208" s="99">
        <f t="shared" si="32"/>
        <v>197410.73527397262</v>
      </c>
      <c r="Q208" s="100">
        <f t="shared" si="33"/>
        <v>10369.106112390273</v>
      </c>
      <c r="R208" s="100">
        <f t="shared" si="34"/>
        <v>200720.12916158236</v>
      </c>
    </row>
    <row r="209" spans="1:18" ht="15">
      <c r="A209" s="140" t="s">
        <v>159</v>
      </c>
      <c r="B209" s="157">
        <v>42851</v>
      </c>
      <c r="C209" s="126">
        <v>455830.51</v>
      </c>
      <c r="D209" s="107"/>
      <c r="E209" s="107"/>
      <c r="F209" s="107"/>
      <c r="G209" s="99">
        <f t="shared" si="27"/>
        <v>22791.525500000003</v>
      </c>
      <c r="H209" s="107"/>
      <c r="I209" s="107"/>
      <c r="J209" s="107"/>
      <c r="K209" s="107">
        <f t="shared" si="29"/>
        <v>339</v>
      </c>
      <c r="L209" s="99">
        <f t="shared" si="30"/>
        <v>0.92876712328767119</v>
      </c>
      <c r="M209" s="99">
        <v>100548.09297636988</v>
      </c>
      <c r="N209" s="100">
        <f t="shared" si="31"/>
        <v>355282.41702363011</v>
      </c>
      <c r="O209" s="122">
        <f t="shared" si="35"/>
        <v>19.07123287671233</v>
      </c>
      <c r="P209" s="99">
        <f t="shared" si="32"/>
        <v>332490.89152363013</v>
      </c>
      <c r="Q209" s="100">
        <f t="shared" si="33"/>
        <v>17434.158225272949</v>
      </c>
      <c r="R209" s="100">
        <f t="shared" si="34"/>
        <v>337848.25879835716</v>
      </c>
    </row>
    <row r="210" spans="1:18" ht="15">
      <c r="A210" s="140" t="s">
        <v>159</v>
      </c>
      <c r="B210" s="157">
        <v>42861</v>
      </c>
      <c r="C210" s="126">
        <v>246576</v>
      </c>
      <c r="D210" s="107"/>
      <c r="E210" s="107"/>
      <c r="F210" s="107"/>
      <c r="G210" s="99">
        <f t="shared" si="27"/>
        <v>12328.800000000001</v>
      </c>
      <c r="H210" s="107"/>
      <c r="I210" s="107"/>
      <c r="J210" s="107"/>
      <c r="K210" s="107">
        <f t="shared" si="29"/>
        <v>329</v>
      </c>
      <c r="L210" s="99">
        <f t="shared" si="30"/>
        <v>0.90136986301369859</v>
      </c>
      <c r="M210" s="99">
        <v>52785.841643835622</v>
      </c>
      <c r="N210" s="100">
        <f t="shared" si="31"/>
        <v>193790.15835616438</v>
      </c>
      <c r="O210" s="122">
        <f t="shared" si="35"/>
        <v>19.098630136986301</v>
      </c>
      <c r="P210" s="99">
        <f t="shared" si="32"/>
        <v>181461.35835616439</v>
      </c>
      <c r="Q210" s="100">
        <f t="shared" si="33"/>
        <v>9501.2761153349602</v>
      </c>
      <c r="R210" s="100">
        <f t="shared" si="34"/>
        <v>184288.88224082941</v>
      </c>
    </row>
    <row r="211" spans="1:18" ht="15">
      <c r="A211" s="140" t="s">
        <v>159</v>
      </c>
      <c r="B211" s="157">
        <v>42871</v>
      </c>
      <c r="C211" s="126">
        <v>58094</v>
      </c>
      <c r="D211" s="107"/>
      <c r="E211" s="107"/>
      <c r="F211" s="107"/>
      <c r="G211" s="99">
        <f t="shared" si="27"/>
        <v>2904.7000000000003</v>
      </c>
      <c r="H211" s="107"/>
      <c r="I211" s="107"/>
      <c r="J211" s="107"/>
      <c r="K211" s="107">
        <f t="shared" si="29"/>
        <v>319</v>
      </c>
      <c r="L211" s="99">
        <f t="shared" si="30"/>
        <v>0.87397260273972599</v>
      </c>
      <c r="M211" s="99">
        <v>12058.484041095891</v>
      </c>
      <c r="N211" s="100">
        <f t="shared" si="31"/>
        <v>46035.515958904107</v>
      </c>
      <c r="O211" s="122">
        <f t="shared" si="35"/>
        <v>19.126027397260273</v>
      </c>
      <c r="P211" s="99">
        <f t="shared" si="32"/>
        <v>43130.81595890411</v>
      </c>
      <c r="Q211" s="100">
        <f t="shared" si="33"/>
        <v>2255.0849197822663</v>
      </c>
      <c r="R211" s="100">
        <f t="shared" si="34"/>
        <v>43780.431039121839</v>
      </c>
    </row>
    <row r="212" spans="1:18" ht="15">
      <c r="A212" s="140" t="s">
        <v>159</v>
      </c>
      <c r="B212" s="157">
        <v>42879</v>
      </c>
      <c r="C212" s="126">
        <v>283949</v>
      </c>
      <c r="D212" s="107"/>
      <c r="E212" s="107"/>
      <c r="F212" s="107"/>
      <c r="G212" s="99">
        <f t="shared" si="27"/>
        <v>14197.45</v>
      </c>
      <c r="H212" s="107"/>
      <c r="I212" s="107"/>
      <c r="J212" s="107"/>
      <c r="K212" s="107">
        <f t="shared" si="29"/>
        <v>311</v>
      </c>
      <c r="L212" s="99">
        <f t="shared" si="30"/>
        <v>0.852054794520548</v>
      </c>
      <c r="M212" s="99">
        <v>57460.775376712329</v>
      </c>
      <c r="N212" s="100">
        <f t="shared" si="31"/>
        <v>226488.22462328768</v>
      </c>
      <c r="O212" s="122">
        <f t="shared" si="35"/>
        <v>19.147945205479452</v>
      </c>
      <c r="P212" s="99">
        <f t="shared" si="32"/>
        <v>212290.77462328767</v>
      </c>
      <c r="Q212" s="100">
        <f t="shared" si="33"/>
        <v>11086.869757833738</v>
      </c>
      <c r="R212" s="100">
        <f t="shared" si="34"/>
        <v>215401.35486545393</v>
      </c>
    </row>
    <row r="213" spans="1:18" ht="15">
      <c r="A213" s="140" t="s">
        <v>159</v>
      </c>
      <c r="B213" s="157">
        <v>42894</v>
      </c>
      <c r="C213" s="126">
        <v>266643</v>
      </c>
      <c r="D213" s="107"/>
      <c r="E213" s="107"/>
      <c r="F213" s="107"/>
      <c r="G213" s="99">
        <f t="shared" si="27"/>
        <v>13332.150000000001</v>
      </c>
      <c r="H213" s="107"/>
      <c r="I213" s="107"/>
      <c r="J213" s="107"/>
      <c r="K213" s="107">
        <f t="shared" si="29"/>
        <v>296</v>
      </c>
      <c r="L213" s="99">
        <f t="shared" si="30"/>
        <v>0.81095890410958904</v>
      </c>
      <c r="M213" s="99">
        <v>51356.172328767127</v>
      </c>
      <c r="N213" s="100">
        <f t="shared" si="31"/>
        <v>215286.82767123287</v>
      </c>
      <c r="O213" s="122">
        <f t="shared" si="35"/>
        <v>19.18904109589041</v>
      </c>
      <c r="P213" s="99">
        <f t="shared" si="32"/>
        <v>201954.67767123287</v>
      </c>
      <c r="Q213" s="100">
        <f t="shared" si="33"/>
        <v>10524.479918617933</v>
      </c>
      <c r="R213" s="100">
        <f t="shared" si="34"/>
        <v>204762.34775261494</v>
      </c>
    </row>
    <row r="214" spans="1:18" ht="15">
      <c r="A214" s="140" t="s">
        <v>159</v>
      </c>
      <c r="B214" s="157">
        <v>42895</v>
      </c>
      <c r="C214" s="126">
        <v>71820</v>
      </c>
      <c r="D214" s="107"/>
      <c r="E214" s="107"/>
      <c r="F214" s="107"/>
      <c r="G214" s="99">
        <f t="shared" si="27"/>
        <v>3591</v>
      </c>
      <c r="H214" s="107"/>
      <c r="I214" s="107"/>
      <c r="J214" s="107"/>
      <c r="K214" s="107">
        <f t="shared" si="29"/>
        <v>295</v>
      </c>
      <c r="L214" s="99">
        <f t="shared" si="30"/>
        <v>0.80821917808219179</v>
      </c>
      <c r="M214" s="99">
        <v>13785.996575342468</v>
      </c>
      <c r="N214" s="100">
        <f t="shared" si="31"/>
        <v>58034.003424657531</v>
      </c>
      <c r="O214" s="122">
        <f t="shared" si="35"/>
        <v>19.19178082191781</v>
      </c>
      <c r="P214" s="99">
        <f t="shared" si="32"/>
        <v>54443.003424657531</v>
      </c>
      <c r="Q214" s="100">
        <f t="shared" si="33"/>
        <v>2836.7874732334044</v>
      </c>
      <c r="R214" s="100">
        <f t="shared" si="34"/>
        <v>55197.215951424128</v>
      </c>
    </row>
    <row r="215" spans="1:18" ht="15">
      <c r="A215" s="140" t="s">
        <v>159</v>
      </c>
      <c r="B215" s="157">
        <v>42898</v>
      </c>
      <c r="C215" s="126">
        <v>518816.5</v>
      </c>
      <c r="D215" s="107"/>
      <c r="E215" s="107"/>
      <c r="F215" s="107"/>
      <c r="G215" s="99">
        <f t="shared" si="27"/>
        <v>25940.825000000001</v>
      </c>
      <c r="H215" s="107"/>
      <c r="I215" s="107"/>
      <c r="J215" s="107"/>
      <c r="K215" s="107">
        <f t="shared" si="29"/>
        <v>292</v>
      </c>
      <c r="L215" s="99">
        <f t="shared" si="30"/>
        <v>0.8</v>
      </c>
      <c r="M215" s="99">
        <v>98575.135000000009</v>
      </c>
      <c r="N215" s="100">
        <f t="shared" si="31"/>
        <v>420241.36499999999</v>
      </c>
      <c r="O215" s="122">
        <f t="shared" si="35"/>
        <v>19.2</v>
      </c>
      <c r="P215" s="99">
        <f t="shared" si="32"/>
        <v>394300.54</v>
      </c>
      <c r="Q215" s="100">
        <f t="shared" si="33"/>
        <v>20536.486458333333</v>
      </c>
      <c r="R215" s="100">
        <f t="shared" si="34"/>
        <v>399704.87854166667</v>
      </c>
    </row>
    <row r="216" spans="1:18" ht="15">
      <c r="A216" s="140" t="s">
        <v>159</v>
      </c>
      <c r="B216" s="157">
        <v>42903</v>
      </c>
      <c r="C216" s="126">
        <v>52813</v>
      </c>
      <c r="D216" s="107"/>
      <c r="E216" s="107"/>
      <c r="F216" s="107"/>
      <c r="G216" s="99">
        <f t="shared" si="27"/>
        <v>2640.65</v>
      </c>
      <c r="H216" s="107"/>
      <c r="I216" s="107"/>
      <c r="J216" s="107"/>
      <c r="K216" s="107">
        <f t="shared" si="29"/>
        <v>287</v>
      </c>
      <c r="L216" s="99">
        <f t="shared" si="30"/>
        <v>0.78630136986301369</v>
      </c>
      <c r="M216" s="99">
        <v>9862.6468835616433</v>
      </c>
      <c r="N216" s="100">
        <f t="shared" si="31"/>
        <v>42950.35311643836</v>
      </c>
      <c r="O216" s="122">
        <f t="shared" si="35"/>
        <v>19.213698630136985</v>
      </c>
      <c r="P216" s="99">
        <f t="shared" si="32"/>
        <v>40309.703116438359</v>
      </c>
      <c r="Q216" s="100">
        <f t="shared" si="33"/>
        <v>2097.9668668900617</v>
      </c>
      <c r="R216" s="100">
        <f t="shared" si="34"/>
        <v>40852.386249548297</v>
      </c>
    </row>
    <row r="217" spans="1:18" ht="15">
      <c r="A217" s="140" t="s">
        <v>159</v>
      </c>
      <c r="B217" s="157">
        <v>42914</v>
      </c>
      <c r="C217" s="126">
        <v>268381</v>
      </c>
      <c r="D217" s="107"/>
      <c r="E217" s="107"/>
      <c r="F217" s="107"/>
      <c r="G217" s="99">
        <f t="shared" si="27"/>
        <v>13419.050000000001</v>
      </c>
      <c r="H217" s="107"/>
      <c r="I217" s="107"/>
      <c r="J217" s="107"/>
      <c r="K217" s="107">
        <f t="shared" si="29"/>
        <v>276</v>
      </c>
      <c r="L217" s="99">
        <f t="shared" si="30"/>
        <v>0.75616438356164384</v>
      </c>
      <c r="M217" s="99">
        <v>48198.286438356168</v>
      </c>
      <c r="N217" s="100">
        <f t="shared" si="31"/>
        <v>220182.71356164385</v>
      </c>
      <c r="O217" s="122">
        <f t="shared" si="35"/>
        <v>19.243835616438357</v>
      </c>
      <c r="P217" s="99">
        <f t="shared" si="32"/>
        <v>206763.66356164386</v>
      </c>
      <c r="Q217" s="100">
        <f t="shared" si="33"/>
        <v>10744.410193621869</v>
      </c>
      <c r="R217" s="100">
        <f t="shared" si="34"/>
        <v>209438.30336802197</v>
      </c>
    </row>
    <row r="218" spans="1:18" ht="15">
      <c r="A218" s="132" t="s">
        <v>103</v>
      </c>
      <c r="B218" s="107"/>
      <c r="C218" s="116">
        <f>SUM(C12:C217)</f>
        <v>346578024.75999987</v>
      </c>
      <c r="D218" s="107"/>
      <c r="E218" s="107"/>
      <c r="F218" s="107"/>
      <c r="G218" s="99"/>
      <c r="H218" s="107"/>
      <c r="I218" s="107"/>
      <c r="J218" s="107"/>
      <c r="K218" s="107"/>
      <c r="L218" s="99"/>
      <c r="M218" s="112">
        <f>SUM(M12:M217)</f>
        <v>118910314.50122881</v>
      </c>
      <c r="N218" s="116">
        <f>SUM(N12:N217)</f>
        <v>227667710.2587713</v>
      </c>
      <c r="O218" s="99"/>
      <c r="P218" s="99"/>
      <c r="Q218" s="112">
        <f>SUM(Q12:Q217)</f>
        <v>16432831.485807505</v>
      </c>
      <c r="R218" s="116">
        <f>SUM(R12:R217)</f>
        <v>211234878.77296382</v>
      </c>
    </row>
    <row r="219" spans="1:18" s="120" customFormat="1" ht="15">
      <c r="A219" s="101"/>
      <c r="B219" s="111"/>
      <c r="C219" s="117"/>
      <c r="D219" s="111"/>
      <c r="E219" s="111"/>
      <c r="F219" s="111"/>
      <c r="G219" s="114"/>
      <c r="H219" s="111"/>
      <c r="I219" s="111"/>
      <c r="J219" s="111"/>
      <c r="K219" s="111"/>
      <c r="L219" s="114"/>
      <c r="M219" s="114"/>
      <c r="N219" s="119"/>
      <c r="O219" s="114"/>
      <c r="P219" s="114"/>
      <c r="Q219" s="119"/>
      <c r="R219" s="119"/>
    </row>
    <row r="220" spans="1:18" ht="15">
      <c r="A220" s="132" t="s">
        <v>104</v>
      </c>
      <c r="B220" s="107"/>
      <c r="C220" s="111"/>
      <c r="D220" s="107"/>
      <c r="E220" s="107"/>
      <c r="F220" s="107"/>
      <c r="G220" s="99"/>
      <c r="H220" s="107"/>
      <c r="I220" s="107"/>
      <c r="J220" s="107"/>
      <c r="K220" s="107"/>
      <c r="L220" s="99"/>
      <c r="M220" s="99"/>
      <c r="N220" s="100"/>
      <c r="O220" s="106">
        <v>10</v>
      </c>
      <c r="P220" s="99"/>
      <c r="Q220" s="100"/>
      <c r="R220" s="100"/>
    </row>
    <row r="221" spans="1:18" s="120" customFormat="1">
      <c r="A221" s="133" t="s">
        <v>105</v>
      </c>
      <c r="B221" s="134">
        <v>38479</v>
      </c>
      <c r="C221" s="133">
        <v>11600</v>
      </c>
      <c r="D221" s="133"/>
      <c r="E221" s="133"/>
      <c r="F221" s="133"/>
      <c r="G221" s="135">
        <f t="shared" ref="G221" si="36">C221*5%</f>
        <v>580</v>
      </c>
      <c r="H221" s="133"/>
      <c r="I221" s="133"/>
      <c r="J221" s="133"/>
      <c r="K221" s="133">
        <f t="shared" ref="K221" si="37">$K$2-B221</f>
        <v>4711</v>
      </c>
      <c r="L221" s="135">
        <f t="shared" ref="L221" si="38">K221/365</f>
        <v>12.906849315068493</v>
      </c>
      <c r="M221" s="135">
        <v>11600</v>
      </c>
      <c r="N221" s="136"/>
      <c r="O221" s="137">
        <f t="shared" ref="O221:O222" si="39">$O$220-L221</f>
        <v>-2.9068493150684933</v>
      </c>
      <c r="P221" s="137">
        <v>0</v>
      </c>
      <c r="Q221" s="136">
        <v>0</v>
      </c>
      <c r="R221" s="136"/>
    </row>
    <row r="222" spans="1:18">
      <c r="A222" s="190" t="s">
        <v>105</v>
      </c>
      <c r="B222" s="105">
        <v>38796</v>
      </c>
      <c r="C222" s="107">
        <v>8600</v>
      </c>
      <c r="D222" s="107"/>
      <c r="E222" s="107"/>
      <c r="F222" s="107"/>
      <c r="G222" s="114">
        <f>C222*5%</f>
        <v>430</v>
      </c>
      <c r="H222" s="107"/>
      <c r="I222" s="107"/>
      <c r="J222" s="107"/>
      <c r="K222" s="107">
        <f>$K$2-B222</f>
        <v>4394</v>
      </c>
      <c r="L222" s="99">
        <f>K222/365</f>
        <v>12.038356164383561</v>
      </c>
      <c r="M222" s="108">
        <v>8235.0111082325529</v>
      </c>
      <c r="N222" s="100">
        <f>C222-M222</f>
        <v>364.98889176744706</v>
      </c>
      <c r="O222" s="122">
        <f t="shared" si="39"/>
        <v>-2.0383561643835613</v>
      </c>
      <c r="P222" s="99">
        <v>0</v>
      </c>
      <c r="Q222" s="100">
        <f t="shared" ref="Q222" si="40">P222/O222</f>
        <v>0</v>
      </c>
      <c r="R222" s="100">
        <f t="shared" ref="R222" si="41">N222-Q222</f>
        <v>364.98889176744706</v>
      </c>
    </row>
    <row r="223" spans="1:18">
      <c r="A223" s="190" t="s">
        <v>105</v>
      </c>
      <c r="B223" s="105">
        <v>39081</v>
      </c>
      <c r="C223" s="107">
        <v>2600</v>
      </c>
      <c r="D223" s="107"/>
      <c r="E223" s="107"/>
      <c r="F223" s="107"/>
      <c r="G223" s="114">
        <f>C223*5%</f>
        <v>130</v>
      </c>
      <c r="H223" s="107"/>
      <c r="I223" s="107"/>
      <c r="J223" s="107"/>
      <c r="K223" s="107">
        <f>$K$2-B223</f>
        <v>4109</v>
      </c>
      <c r="L223" s="99">
        <f>K223/365</f>
        <v>11.257534246575343</v>
      </c>
      <c r="M223" s="99">
        <v>2590.1468623878468</v>
      </c>
      <c r="N223" s="100">
        <f>C223-M223</f>
        <v>9.8531376121532048</v>
      </c>
      <c r="O223" s="122">
        <f>$O$220-L223</f>
        <v>-1.257534246575343</v>
      </c>
      <c r="P223" s="99">
        <v>0</v>
      </c>
      <c r="Q223" s="100">
        <f>P223/O223</f>
        <v>0</v>
      </c>
      <c r="R223" s="100">
        <f>N223-Q223</f>
        <v>9.8531376121532048</v>
      </c>
    </row>
    <row r="224" spans="1:18">
      <c r="A224" s="190" t="s">
        <v>105</v>
      </c>
      <c r="B224" s="105">
        <v>39148</v>
      </c>
      <c r="C224" s="107">
        <v>9300</v>
      </c>
      <c r="D224" s="107"/>
      <c r="E224" s="107"/>
      <c r="F224" s="107"/>
      <c r="G224" s="114">
        <f>C224*5%</f>
        <v>465</v>
      </c>
      <c r="H224" s="107"/>
      <c r="I224" s="107"/>
      <c r="J224" s="107"/>
      <c r="K224" s="107">
        <f>$K$2-B224</f>
        <v>4042</v>
      </c>
      <c r="L224" s="99">
        <f>K224/365</f>
        <v>11.073972602739726</v>
      </c>
      <c r="M224" s="99">
        <v>8953.356965132758</v>
      </c>
      <c r="N224" s="100">
        <f>C224-M224</f>
        <v>346.64303486724202</v>
      </c>
      <c r="O224" s="122">
        <f>$O$220-L224</f>
        <v>-1.0739726027397261</v>
      </c>
      <c r="P224" s="99">
        <v>0</v>
      </c>
      <c r="Q224" s="100">
        <f>P224/O224</f>
        <v>0</v>
      </c>
      <c r="R224" s="100">
        <f>N224-Q224</f>
        <v>346.64303486724202</v>
      </c>
    </row>
    <row r="225" spans="1:18">
      <c r="A225" s="190" t="s">
        <v>105</v>
      </c>
      <c r="B225" s="105">
        <v>39156</v>
      </c>
      <c r="C225" s="107">
        <v>390</v>
      </c>
      <c r="D225" s="107"/>
      <c r="E225" s="107"/>
      <c r="F225" s="107"/>
      <c r="G225" s="114">
        <f>C225*5%</f>
        <v>19.5</v>
      </c>
      <c r="H225" s="107"/>
      <c r="I225" s="107"/>
      <c r="J225" s="107"/>
      <c r="K225" s="107">
        <f>$K$2-B225</f>
        <v>4034</v>
      </c>
      <c r="L225" s="99">
        <f>K225/365</f>
        <v>11.052054794520547</v>
      </c>
      <c r="M225" s="99">
        <v>373.97612500430648</v>
      </c>
      <c r="N225" s="100">
        <f>C225-M225</f>
        <v>16.023874995693518</v>
      </c>
      <c r="O225" s="122">
        <f>$O$220-L225</f>
        <v>-1.0520547945205472</v>
      </c>
      <c r="P225" s="99">
        <v>0</v>
      </c>
      <c r="Q225" s="100">
        <f>P225/O225</f>
        <v>0</v>
      </c>
      <c r="R225" s="100">
        <f>N225-Q225</f>
        <v>16.023874995693518</v>
      </c>
    </row>
    <row r="226" spans="1:18">
      <c r="A226" s="190" t="s">
        <v>105</v>
      </c>
      <c r="B226" s="105">
        <v>39330</v>
      </c>
      <c r="C226" s="107">
        <v>5600</v>
      </c>
      <c r="D226" s="107"/>
      <c r="E226" s="107"/>
      <c r="F226" s="107"/>
      <c r="G226" s="114">
        <f>C226*5%</f>
        <v>280</v>
      </c>
      <c r="H226" s="107"/>
      <c r="I226" s="107"/>
      <c r="J226" s="107"/>
      <c r="K226" s="107">
        <f>$K$2-B226</f>
        <v>3860</v>
      </c>
      <c r="L226" s="99">
        <f>K226/365</f>
        <v>10.575342465753424</v>
      </c>
      <c r="M226" s="99">
        <v>5320</v>
      </c>
      <c r="N226" s="100">
        <f>C226-M226</f>
        <v>280</v>
      </c>
      <c r="O226" s="122">
        <f>$O$220-L226</f>
        <v>-0.57534246575342429</v>
      </c>
      <c r="P226" s="99">
        <f>N226-G226</f>
        <v>0</v>
      </c>
      <c r="Q226" s="100">
        <f>P226</f>
        <v>0</v>
      </c>
      <c r="R226" s="100">
        <f>N226-Q226</f>
        <v>280</v>
      </c>
    </row>
    <row r="227" spans="1:18" ht="15">
      <c r="A227" s="132" t="s">
        <v>106</v>
      </c>
      <c r="B227" s="107"/>
      <c r="C227" s="110">
        <f>SUM(C221:C226)</f>
        <v>38090</v>
      </c>
      <c r="D227" s="107"/>
      <c r="E227" s="107"/>
      <c r="F227" s="107"/>
      <c r="G227" s="99"/>
      <c r="H227" s="107"/>
      <c r="I227" s="107"/>
      <c r="J227" s="107"/>
      <c r="K227" s="107"/>
      <c r="L227" s="99"/>
      <c r="M227" s="99"/>
      <c r="N227" s="113">
        <f>SUM(N221:N226)</f>
        <v>1017.5089392425358</v>
      </c>
      <c r="O227" s="122"/>
      <c r="P227" s="99"/>
      <c r="Q227" s="116">
        <f>SUM(Q221:Q226)</f>
        <v>0</v>
      </c>
      <c r="R227" s="116">
        <f>SUM(R222:R226)</f>
        <v>1017.5089392425358</v>
      </c>
    </row>
    <row r="228" spans="1:18" s="120" customFormat="1" ht="15">
      <c r="A228" s="101"/>
      <c r="B228" s="111"/>
      <c r="C228" s="117"/>
      <c r="D228" s="111"/>
      <c r="E228" s="111"/>
      <c r="F228" s="111"/>
      <c r="G228" s="114"/>
      <c r="H228" s="111"/>
      <c r="I228" s="111"/>
      <c r="J228" s="111"/>
      <c r="K228" s="111"/>
      <c r="L228" s="114"/>
      <c r="M228" s="114"/>
      <c r="N228" s="119"/>
      <c r="O228" s="138"/>
      <c r="P228" s="114"/>
      <c r="Q228" s="119"/>
      <c r="R228" s="119"/>
    </row>
    <row r="229" spans="1:18" ht="15">
      <c r="A229" s="189" t="s">
        <v>107</v>
      </c>
      <c r="B229" s="190"/>
      <c r="C229" s="190"/>
      <c r="D229" s="190"/>
      <c r="E229" s="190"/>
      <c r="F229" s="190"/>
      <c r="G229" s="191"/>
      <c r="H229" s="190"/>
      <c r="I229" s="190"/>
      <c r="J229" s="190"/>
      <c r="K229" s="190"/>
      <c r="L229" s="191"/>
      <c r="M229" s="191"/>
      <c r="N229" s="167"/>
      <c r="O229" s="191">
        <v>5</v>
      </c>
      <c r="P229" s="191"/>
      <c r="Q229" s="167"/>
      <c r="R229" s="167"/>
    </row>
    <row r="230" spans="1:18">
      <c r="A230" s="190" t="s">
        <v>108</v>
      </c>
      <c r="B230" s="193">
        <v>39172</v>
      </c>
      <c r="C230" s="190">
        <v>44795</v>
      </c>
      <c r="D230" s="190"/>
      <c r="E230" s="190"/>
      <c r="F230" s="190"/>
      <c r="G230" s="191">
        <f>C230*5%</f>
        <v>2239.75</v>
      </c>
      <c r="H230" s="190"/>
      <c r="I230" s="190"/>
      <c r="J230" s="190"/>
      <c r="K230" s="190">
        <f t="shared" ref="K230:K269" si="42">$K$2-B230</f>
        <v>4018</v>
      </c>
      <c r="L230" s="191">
        <f>K230/365</f>
        <v>11.008219178082191</v>
      </c>
      <c r="M230" s="191">
        <v>42555.25</v>
      </c>
      <c r="N230" s="167">
        <f t="shared" ref="N230:N269" si="43">C230-M230</f>
        <v>2239.75</v>
      </c>
      <c r="O230" s="191">
        <f>$O$229-L230</f>
        <v>-6.0082191780821912</v>
      </c>
      <c r="P230" s="191">
        <f t="shared" ref="P230:P269" si="44">N230-G230</f>
        <v>0</v>
      </c>
      <c r="Q230" s="167">
        <v>0</v>
      </c>
      <c r="R230" s="167">
        <f t="shared" ref="R230" si="45">G230</f>
        <v>2239.75</v>
      </c>
    </row>
    <row r="231" spans="1:18">
      <c r="A231" s="190" t="s">
        <v>109</v>
      </c>
      <c r="B231" s="193">
        <v>39165</v>
      </c>
      <c r="C231" s="190">
        <v>6800</v>
      </c>
      <c r="D231" s="190"/>
      <c r="E231" s="190"/>
      <c r="F231" s="190"/>
      <c r="G231" s="191">
        <f t="shared" ref="G231:G269" si="46">C231*5%</f>
        <v>340</v>
      </c>
      <c r="H231" s="190"/>
      <c r="I231" s="190"/>
      <c r="J231" s="190"/>
      <c r="K231" s="190">
        <f t="shared" si="42"/>
        <v>4025</v>
      </c>
      <c r="L231" s="191">
        <f t="shared" ref="L231:L269" si="47">K231/365</f>
        <v>11.027397260273972</v>
      </c>
      <c r="M231" s="191">
        <v>6460</v>
      </c>
      <c r="N231" s="167">
        <f t="shared" si="43"/>
        <v>340</v>
      </c>
      <c r="O231" s="191">
        <f t="shared" ref="O231:O269" si="48">$O$229-L231</f>
        <v>-6.0273972602739718</v>
      </c>
      <c r="P231" s="191">
        <f t="shared" si="44"/>
        <v>0</v>
      </c>
      <c r="Q231" s="167">
        <v>0</v>
      </c>
      <c r="R231" s="167">
        <f>G231</f>
        <v>340</v>
      </c>
    </row>
    <row r="232" spans="1:18">
      <c r="A232" s="190" t="s">
        <v>109</v>
      </c>
      <c r="B232" s="193">
        <v>39679</v>
      </c>
      <c r="C232" s="190">
        <v>8850</v>
      </c>
      <c r="D232" s="190"/>
      <c r="E232" s="190"/>
      <c r="F232" s="190"/>
      <c r="G232" s="191">
        <f t="shared" si="46"/>
        <v>442.5</v>
      </c>
      <c r="H232" s="190"/>
      <c r="I232" s="190"/>
      <c r="J232" s="190"/>
      <c r="K232" s="190">
        <f t="shared" si="42"/>
        <v>3511</v>
      </c>
      <c r="L232" s="191">
        <f t="shared" si="47"/>
        <v>9.6191780821917803</v>
      </c>
      <c r="M232" s="191">
        <v>8407.5</v>
      </c>
      <c r="N232" s="167">
        <f t="shared" si="43"/>
        <v>442.5</v>
      </c>
      <c r="O232" s="191">
        <f t="shared" si="48"/>
        <v>-4.6191780821917803</v>
      </c>
      <c r="P232" s="191">
        <f t="shared" si="44"/>
        <v>0</v>
      </c>
      <c r="Q232" s="167">
        <v>0</v>
      </c>
      <c r="R232" s="167">
        <f>G232</f>
        <v>442.5</v>
      </c>
    </row>
    <row r="233" spans="1:18">
      <c r="A233" s="190" t="s">
        <v>110</v>
      </c>
      <c r="B233" s="193">
        <v>39736</v>
      </c>
      <c r="C233" s="190">
        <v>23500</v>
      </c>
      <c r="D233" s="190"/>
      <c r="E233" s="190"/>
      <c r="F233" s="190"/>
      <c r="G233" s="191">
        <f t="shared" si="46"/>
        <v>1175</v>
      </c>
      <c r="H233" s="190"/>
      <c r="I233" s="190"/>
      <c r="J233" s="190"/>
      <c r="K233" s="190">
        <f t="shared" si="42"/>
        <v>3454</v>
      </c>
      <c r="L233" s="191">
        <f t="shared" si="47"/>
        <v>9.463013698630137</v>
      </c>
      <c r="M233" s="191">
        <v>22325</v>
      </c>
      <c r="N233" s="167">
        <f t="shared" si="43"/>
        <v>1175</v>
      </c>
      <c r="O233" s="191">
        <f t="shared" si="48"/>
        <v>-4.463013698630137</v>
      </c>
      <c r="P233" s="191">
        <f t="shared" si="44"/>
        <v>0</v>
      </c>
      <c r="Q233" s="167">
        <v>0</v>
      </c>
      <c r="R233" s="167">
        <f>G233</f>
        <v>1175</v>
      </c>
    </row>
    <row r="234" spans="1:18">
      <c r="A234" s="190" t="s">
        <v>111</v>
      </c>
      <c r="B234" s="193">
        <v>39880</v>
      </c>
      <c r="C234" s="190">
        <v>13000</v>
      </c>
      <c r="D234" s="190"/>
      <c r="E234" s="190"/>
      <c r="F234" s="190"/>
      <c r="G234" s="191">
        <f t="shared" si="46"/>
        <v>650</v>
      </c>
      <c r="H234" s="190"/>
      <c r="I234" s="190"/>
      <c r="J234" s="190"/>
      <c r="K234" s="190">
        <f t="shared" si="42"/>
        <v>3310</v>
      </c>
      <c r="L234" s="191">
        <f t="shared" si="47"/>
        <v>9.0684931506849313</v>
      </c>
      <c r="M234" s="191">
        <v>12350</v>
      </c>
      <c r="N234" s="167">
        <f t="shared" si="43"/>
        <v>650</v>
      </c>
      <c r="O234" s="191">
        <f t="shared" si="48"/>
        <v>-4.0684931506849313</v>
      </c>
      <c r="P234" s="191">
        <f t="shared" si="44"/>
        <v>0</v>
      </c>
      <c r="Q234" s="167">
        <v>0</v>
      </c>
      <c r="R234" s="167">
        <f>G234</f>
        <v>650</v>
      </c>
    </row>
    <row r="235" spans="1:18">
      <c r="A235" s="190" t="s">
        <v>112</v>
      </c>
      <c r="B235" s="193">
        <v>39967</v>
      </c>
      <c r="C235" s="190">
        <v>12375</v>
      </c>
      <c r="D235" s="190"/>
      <c r="E235" s="190"/>
      <c r="F235" s="190"/>
      <c r="G235" s="191">
        <f t="shared" si="46"/>
        <v>618.75</v>
      </c>
      <c r="H235" s="190"/>
      <c r="I235" s="190"/>
      <c r="J235" s="190"/>
      <c r="K235" s="190">
        <f t="shared" si="42"/>
        <v>3223</v>
      </c>
      <c r="L235" s="191">
        <f t="shared" si="47"/>
        <v>8.830136986301369</v>
      </c>
      <c r="M235" s="191">
        <v>11756.25</v>
      </c>
      <c r="N235" s="167">
        <f t="shared" si="43"/>
        <v>618.75</v>
      </c>
      <c r="O235" s="191">
        <f t="shared" si="48"/>
        <v>-3.830136986301369</v>
      </c>
      <c r="P235" s="191">
        <f t="shared" si="44"/>
        <v>0</v>
      </c>
      <c r="Q235" s="167">
        <f>P235</f>
        <v>0</v>
      </c>
      <c r="R235" s="167">
        <f t="shared" ref="R235:R269" si="49">N235-Q235</f>
        <v>618.75</v>
      </c>
    </row>
    <row r="236" spans="1:18">
      <c r="A236" s="190" t="s">
        <v>113</v>
      </c>
      <c r="B236" s="193">
        <v>40292</v>
      </c>
      <c r="C236" s="190">
        <v>6400</v>
      </c>
      <c r="D236" s="190"/>
      <c r="E236" s="190"/>
      <c r="F236" s="190"/>
      <c r="G236" s="191">
        <f t="shared" si="46"/>
        <v>320</v>
      </c>
      <c r="H236" s="190"/>
      <c r="I236" s="190"/>
      <c r="J236" s="190"/>
      <c r="K236" s="190">
        <f t="shared" si="42"/>
        <v>2898</v>
      </c>
      <c r="L236" s="191">
        <f t="shared" si="47"/>
        <v>7.9397260273972599</v>
      </c>
      <c r="M236" s="191">
        <v>6080</v>
      </c>
      <c r="N236" s="167">
        <f t="shared" si="43"/>
        <v>320</v>
      </c>
      <c r="O236" s="191">
        <f t="shared" si="48"/>
        <v>-2.9397260273972599</v>
      </c>
      <c r="P236" s="191">
        <f t="shared" si="44"/>
        <v>0</v>
      </c>
      <c r="Q236" s="167">
        <f t="shared" ref="Q236:Q240" si="50">P236/O236</f>
        <v>0</v>
      </c>
      <c r="R236" s="167">
        <f t="shared" si="49"/>
        <v>320</v>
      </c>
    </row>
    <row r="237" spans="1:18">
      <c r="A237" s="190" t="s">
        <v>114</v>
      </c>
      <c r="B237" s="193">
        <v>40637</v>
      </c>
      <c r="C237" s="190">
        <v>48700</v>
      </c>
      <c r="D237" s="190"/>
      <c r="E237" s="190"/>
      <c r="F237" s="190"/>
      <c r="G237" s="191">
        <f t="shared" si="46"/>
        <v>2435</v>
      </c>
      <c r="H237" s="190"/>
      <c r="I237" s="190"/>
      <c r="J237" s="190"/>
      <c r="K237" s="190">
        <f t="shared" si="42"/>
        <v>2553</v>
      </c>
      <c r="L237" s="191">
        <f t="shared" si="47"/>
        <v>6.9945205479452053</v>
      </c>
      <c r="M237" s="191">
        <v>46265</v>
      </c>
      <c r="N237" s="167">
        <f t="shared" si="43"/>
        <v>2435</v>
      </c>
      <c r="O237" s="191">
        <f t="shared" si="48"/>
        <v>-1.9945205479452053</v>
      </c>
      <c r="P237" s="191">
        <f t="shared" si="44"/>
        <v>0</v>
      </c>
      <c r="Q237" s="167">
        <f t="shared" si="50"/>
        <v>0</v>
      </c>
      <c r="R237" s="167">
        <f t="shared" si="49"/>
        <v>2435</v>
      </c>
    </row>
    <row r="238" spans="1:18">
      <c r="A238" s="190" t="s">
        <v>114</v>
      </c>
      <c r="B238" s="193">
        <v>40673</v>
      </c>
      <c r="C238" s="190">
        <v>53600</v>
      </c>
      <c r="D238" s="190"/>
      <c r="E238" s="190"/>
      <c r="F238" s="190"/>
      <c r="G238" s="191">
        <f t="shared" si="46"/>
        <v>2680</v>
      </c>
      <c r="H238" s="190"/>
      <c r="I238" s="190"/>
      <c r="J238" s="190"/>
      <c r="K238" s="190">
        <f t="shared" si="42"/>
        <v>2517</v>
      </c>
      <c r="L238" s="191">
        <f t="shared" si="47"/>
        <v>6.8958904109589039</v>
      </c>
      <c r="M238" s="191">
        <v>50920</v>
      </c>
      <c r="N238" s="167">
        <f t="shared" si="43"/>
        <v>2680</v>
      </c>
      <c r="O238" s="191">
        <f t="shared" si="48"/>
        <v>-1.8958904109589039</v>
      </c>
      <c r="P238" s="191">
        <f t="shared" si="44"/>
        <v>0</v>
      </c>
      <c r="Q238" s="167">
        <f t="shared" si="50"/>
        <v>0</v>
      </c>
      <c r="R238" s="167">
        <f t="shared" si="49"/>
        <v>2680</v>
      </c>
    </row>
    <row r="239" spans="1:18">
      <c r="A239" s="190" t="s">
        <v>115</v>
      </c>
      <c r="B239" s="193">
        <v>40637</v>
      </c>
      <c r="C239" s="190">
        <v>30998</v>
      </c>
      <c r="D239" s="190"/>
      <c r="E239" s="190"/>
      <c r="F239" s="190"/>
      <c r="G239" s="191">
        <f t="shared" si="46"/>
        <v>1549.9</v>
      </c>
      <c r="H239" s="190"/>
      <c r="I239" s="190"/>
      <c r="J239" s="190"/>
      <c r="K239" s="190">
        <f t="shared" si="42"/>
        <v>2553</v>
      </c>
      <c r="L239" s="191">
        <f t="shared" si="47"/>
        <v>6.9945205479452053</v>
      </c>
      <c r="M239" s="191">
        <v>29448.1</v>
      </c>
      <c r="N239" s="167">
        <f t="shared" si="43"/>
        <v>1549.9000000000015</v>
      </c>
      <c r="O239" s="191">
        <f t="shared" si="48"/>
        <v>-1.9945205479452053</v>
      </c>
      <c r="P239" s="191">
        <f t="shared" si="44"/>
        <v>0</v>
      </c>
      <c r="Q239" s="167">
        <f t="shared" si="50"/>
        <v>0</v>
      </c>
      <c r="R239" s="167">
        <f t="shared" si="49"/>
        <v>1549.9000000000015</v>
      </c>
    </row>
    <row r="240" spans="1:18">
      <c r="A240" s="190" t="s">
        <v>116</v>
      </c>
      <c r="B240" s="193">
        <v>41240</v>
      </c>
      <c r="C240" s="190">
        <v>75000</v>
      </c>
      <c r="D240" s="190"/>
      <c r="E240" s="190"/>
      <c r="F240" s="190"/>
      <c r="G240" s="191">
        <f t="shared" si="46"/>
        <v>3750</v>
      </c>
      <c r="H240" s="190"/>
      <c r="I240" s="190"/>
      <c r="J240" s="190"/>
      <c r="K240" s="190">
        <f t="shared" si="42"/>
        <v>1950</v>
      </c>
      <c r="L240" s="191">
        <f t="shared" si="47"/>
        <v>5.3424657534246576</v>
      </c>
      <c r="M240" s="191">
        <v>71250</v>
      </c>
      <c r="N240" s="167">
        <f t="shared" si="43"/>
        <v>3750</v>
      </c>
      <c r="O240" s="191">
        <f t="shared" si="48"/>
        <v>-0.34246575342465757</v>
      </c>
      <c r="P240" s="191">
        <f t="shared" si="44"/>
        <v>0</v>
      </c>
      <c r="Q240" s="167">
        <f t="shared" si="50"/>
        <v>0</v>
      </c>
      <c r="R240" s="167">
        <f t="shared" si="49"/>
        <v>3750</v>
      </c>
    </row>
    <row r="241" spans="1:18">
      <c r="A241" s="190" t="s">
        <v>114</v>
      </c>
      <c r="B241" s="193">
        <v>41495</v>
      </c>
      <c r="C241" s="190">
        <v>38500</v>
      </c>
      <c r="D241" s="190"/>
      <c r="E241" s="190"/>
      <c r="F241" s="190"/>
      <c r="G241" s="191">
        <f t="shared" si="46"/>
        <v>1925</v>
      </c>
      <c r="H241" s="190"/>
      <c r="I241" s="190"/>
      <c r="J241" s="190"/>
      <c r="K241" s="190">
        <f t="shared" si="42"/>
        <v>1695</v>
      </c>
      <c r="L241" s="191">
        <f t="shared" si="47"/>
        <v>4.6438356164383565</v>
      </c>
      <c r="M241" s="191">
        <v>33678.903820901221</v>
      </c>
      <c r="N241" s="167">
        <f t="shared" si="43"/>
        <v>4821.0961790987785</v>
      </c>
      <c r="O241" s="191">
        <f t="shared" si="48"/>
        <v>0.35616438356164348</v>
      </c>
      <c r="P241" s="191">
        <f t="shared" si="44"/>
        <v>2896.0961790987785</v>
      </c>
      <c r="Q241" s="167">
        <f>P241</f>
        <v>2896.0961790987785</v>
      </c>
      <c r="R241" s="167">
        <f t="shared" si="49"/>
        <v>1925</v>
      </c>
    </row>
    <row r="242" spans="1:18">
      <c r="A242" s="190" t="s">
        <v>117</v>
      </c>
      <c r="B242" s="193">
        <v>41712</v>
      </c>
      <c r="C242" s="190">
        <v>14900</v>
      </c>
      <c r="D242" s="190"/>
      <c r="E242" s="190"/>
      <c r="F242" s="190"/>
      <c r="G242" s="191">
        <f t="shared" si="46"/>
        <v>745</v>
      </c>
      <c r="H242" s="190"/>
      <c r="I242" s="190"/>
      <c r="J242" s="190"/>
      <c r="K242" s="190">
        <f t="shared" si="42"/>
        <v>1478</v>
      </c>
      <c r="L242" s="191">
        <f t="shared" si="47"/>
        <v>4.0493150684931507</v>
      </c>
      <c r="M242" s="191">
        <v>11442.11471603139</v>
      </c>
      <c r="N242" s="167">
        <f t="shared" si="43"/>
        <v>3457.8852839686097</v>
      </c>
      <c r="O242" s="191">
        <f t="shared" si="48"/>
        <v>0.9506849315068493</v>
      </c>
      <c r="P242" s="191">
        <f t="shared" si="44"/>
        <v>2712.8852839686097</v>
      </c>
      <c r="Q242" s="167">
        <f>P242</f>
        <v>2712.8852839686097</v>
      </c>
      <c r="R242" s="167">
        <f t="shared" si="49"/>
        <v>745</v>
      </c>
    </row>
    <row r="243" spans="1:18">
      <c r="A243" s="180" t="s">
        <v>117</v>
      </c>
      <c r="B243" s="193">
        <v>41730</v>
      </c>
      <c r="C243" s="180">
        <v>33000</v>
      </c>
      <c r="D243" s="190"/>
      <c r="E243" s="190"/>
      <c r="F243" s="190"/>
      <c r="G243" s="191">
        <f t="shared" si="46"/>
        <v>1650</v>
      </c>
      <c r="H243" s="190"/>
      <c r="I243" s="190"/>
      <c r="J243" s="190"/>
      <c r="K243" s="190">
        <f t="shared" si="42"/>
        <v>1460</v>
      </c>
      <c r="L243" s="191">
        <f t="shared" si="47"/>
        <v>4</v>
      </c>
      <c r="M243" s="191">
        <v>25074.273972602739</v>
      </c>
      <c r="N243" s="167">
        <f t="shared" si="43"/>
        <v>7925.7260273972606</v>
      </c>
      <c r="O243" s="191">
        <f t="shared" si="48"/>
        <v>1</v>
      </c>
      <c r="P243" s="191">
        <f t="shared" si="44"/>
        <v>6275.7260273972606</v>
      </c>
      <c r="Q243" s="167">
        <f t="shared" ref="Q243:Q269" si="51">P243/O243</f>
        <v>6275.7260273972606</v>
      </c>
      <c r="R243" s="167">
        <f t="shared" si="49"/>
        <v>1650</v>
      </c>
    </row>
    <row r="244" spans="1:18">
      <c r="A244" s="180" t="s">
        <v>117</v>
      </c>
      <c r="B244" s="193">
        <v>41733</v>
      </c>
      <c r="C244" s="180">
        <f>6750+1000+3400</f>
        <v>11150</v>
      </c>
      <c r="D244" s="190"/>
      <c r="E244" s="190"/>
      <c r="F244" s="190"/>
      <c r="G244" s="191">
        <f t="shared" si="46"/>
        <v>557.5</v>
      </c>
      <c r="H244" s="190"/>
      <c r="I244" s="190"/>
      <c r="J244" s="190"/>
      <c r="K244" s="190">
        <f t="shared" si="42"/>
        <v>1457</v>
      </c>
      <c r="L244" s="191">
        <f t="shared" si="47"/>
        <v>3.9917808219178084</v>
      </c>
      <c r="M244" s="191">
        <v>8454.642395887915</v>
      </c>
      <c r="N244" s="167">
        <f t="shared" si="43"/>
        <v>2695.357604112085</v>
      </c>
      <c r="O244" s="191">
        <f t="shared" si="48"/>
        <v>1.0082191780821916</v>
      </c>
      <c r="P244" s="191">
        <f t="shared" si="44"/>
        <v>2137.857604112085</v>
      </c>
      <c r="Q244" s="167">
        <f t="shared" si="51"/>
        <v>2120.4294171220413</v>
      </c>
      <c r="R244" s="167">
        <f t="shared" si="49"/>
        <v>574.92818699004374</v>
      </c>
    </row>
    <row r="245" spans="1:18">
      <c r="A245" s="180" t="s">
        <v>117</v>
      </c>
      <c r="B245" s="193">
        <v>41746</v>
      </c>
      <c r="C245" s="180">
        <f>3350+4400</f>
        <v>7750</v>
      </c>
      <c r="D245" s="190"/>
      <c r="E245" s="190"/>
      <c r="F245" s="190"/>
      <c r="G245" s="191">
        <f t="shared" si="46"/>
        <v>387.5</v>
      </c>
      <c r="H245" s="190"/>
      <c r="I245" s="190"/>
      <c r="J245" s="190"/>
      <c r="K245" s="190">
        <f t="shared" si="42"/>
        <v>1444</v>
      </c>
      <c r="L245" s="191">
        <f t="shared" si="47"/>
        <v>3.956164383561644</v>
      </c>
      <c r="M245" s="191">
        <v>5824.0685732956863</v>
      </c>
      <c r="N245" s="167">
        <f t="shared" si="43"/>
        <v>1925.9314267043137</v>
      </c>
      <c r="O245" s="191">
        <f t="shared" si="48"/>
        <v>1.043835616438356</v>
      </c>
      <c r="P245" s="191">
        <f t="shared" si="44"/>
        <v>1538.4314267043137</v>
      </c>
      <c r="Q245" s="167">
        <f t="shared" si="51"/>
        <v>1473.8253825382535</v>
      </c>
      <c r="R245" s="167">
        <f t="shared" si="49"/>
        <v>452.1060441660602</v>
      </c>
    </row>
    <row r="246" spans="1:18">
      <c r="A246" s="180" t="s">
        <v>117</v>
      </c>
      <c r="B246" s="193">
        <v>41889</v>
      </c>
      <c r="C246" s="180">
        <v>4600</v>
      </c>
      <c r="D246" s="190"/>
      <c r="E246" s="190"/>
      <c r="F246" s="190"/>
      <c r="G246" s="191">
        <f t="shared" si="46"/>
        <v>230</v>
      </c>
      <c r="H246" s="190"/>
      <c r="I246" s="190"/>
      <c r="J246" s="190"/>
      <c r="K246" s="190">
        <f t="shared" si="42"/>
        <v>1301</v>
      </c>
      <c r="L246" s="191">
        <f t="shared" si="47"/>
        <v>3.5643835616438357</v>
      </c>
      <c r="M246" s="191">
        <v>3114.2706517227066</v>
      </c>
      <c r="N246" s="167">
        <f t="shared" si="43"/>
        <v>1485.7293482772934</v>
      </c>
      <c r="O246" s="191">
        <f t="shared" si="48"/>
        <v>1.4356164383561643</v>
      </c>
      <c r="P246" s="191">
        <f t="shared" si="44"/>
        <v>1255.7293482772934</v>
      </c>
      <c r="Q246" s="167">
        <f t="shared" si="51"/>
        <v>874.69696969696975</v>
      </c>
      <c r="R246" s="167">
        <f t="shared" si="49"/>
        <v>611.03237858032367</v>
      </c>
    </row>
    <row r="247" spans="1:18">
      <c r="A247" s="180" t="s">
        <v>117</v>
      </c>
      <c r="B247" s="193">
        <v>42061</v>
      </c>
      <c r="C247" s="180">
        <v>5590</v>
      </c>
      <c r="D247" s="190"/>
      <c r="E247" s="190"/>
      <c r="F247" s="190"/>
      <c r="G247" s="191">
        <f t="shared" si="46"/>
        <v>279.5</v>
      </c>
      <c r="H247" s="190"/>
      <c r="I247" s="190"/>
      <c r="J247" s="190"/>
      <c r="K247" s="190">
        <f t="shared" si="42"/>
        <v>1129</v>
      </c>
      <c r="L247" s="191">
        <f t="shared" si="47"/>
        <v>3.0931506849315067</v>
      </c>
      <c r="M247" s="191">
        <v>3283.8151007704282</v>
      </c>
      <c r="N247" s="167">
        <f t="shared" si="43"/>
        <v>2306.1848992295718</v>
      </c>
      <c r="O247" s="191">
        <f t="shared" si="48"/>
        <v>1.9068493150684933</v>
      </c>
      <c r="P247" s="191">
        <f t="shared" si="44"/>
        <v>2026.6848992295718</v>
      </c>
      <c r="Q247" s="167">
        <f t="shared" si="51"/>
        <v>1062.8448106591864</v>
      </c>
      <c r="R247" s="167">
        <f t="shared" si="49"/>
        <v>1243.3400885703854</v>
      </c>
    </row>
    <row r="248" spans="1:18">
      <c r="A248" s="180" t="s">
        <v>118</v>
      </c>
      <c r="B248" s="193">
        <v>41904</v>
      </c>
      <c r="C248" s="180">
        <v>35000</v>
      </c>
      <c r="D248" s="190"/>
      <c r="E248" s="190"/>
      <c r="F248" s="190"/>
      <c r="G248" s="191">
        <f t="shared" si="46"/>
        <v>1750</v>
      </c>
      <c r="H248" s="190"/>
      <c r="I248" s="190"/>
      <c r="J248" s="190"/>
      <c r="K248" s="190">
        <f t="shared" si="42"/>
        <v>1286</v>
      </c>
      <c r="L248" s="191">
        <f t="shared" si="47"/>
        <v>3.5232876712328767</v>
      </c>
      <c r="M248" s="191">
        <v>23422.124529075856</v>
      </c>
      <c r="N248" s="167">
        <f t="shared" si="43"/>
        <v>11577.875470924144</v>
      </c>
      <c r="O248" s="191">
        <f t="shared" si="48"/>
        <v>1.4767123287671233</v>
      </c>
      <c r="P248" s="191">
        <f t="shared" si="44"/>
        <v>9827.8754709241439</v>
      </c>
      <c r="Q248" s="167">
        <f t="shared" si="51"/>
        <v>6655.2403467297072</v>
      </c>
      <c r="R248" s="167">
        <f t="shared" si="49"/>
        <v>4922.6351241944367</v>
      </c>
    </row>
    <row r="249" spans="1:18">
      <c r="A249" s="180" t="s">
        <v>118</v>
      </c>
      <c r="B249" s="193">
        <v>41923</v>
      </c>
      <c r="C249" s="180">
        <v>11450</v>
      </c>
      <c r="D249" s="190"/>
      <c r="E249" s="190"/>
      <c r="F249" s="190"/>
      <c r="G249" s="191">
        <f t="shared" si="46"/>
        <v>572.5</v>
      </c>
      <c r="H249" s="190"/>
      <c r="I249" s="190"/>
      <c r="J249" s="190"/>
      <c r="K249" s="190">
        <f t="shared" si="42"/>
        <v>1267</v>
      </c>
      <c r="L249" s="191">
        <f t="shared" si="47"/>
        <v>3.4712328767123286</v>
      </c>
      <c r="M249" s="191">
        <v>7549.0849549051309</v>
      </c>
      <c r="N249" s="167">
        <f t="shared" si="43"/>
        <v>3900.9150450948691</v>
      </c>
      <c r="O249" s="191">
        <f t="shared" si="48"/>
        <v>1.5287671232876714</v>
      </c>
      <c r="P249" s="191">
        <f t="shared" si="44"/>
        <v>3328.4150450948691</v>
      </c>
      <c r="Q249" s="167">
        <f t="shared" si="51"/>
        <v>2177.1890527950309</v>
      </c>
      <c r="R249" s="167">
        <f t="shared" si="49"/>
        <v>1723.7259922998383</v>
      </c>
    </row>
    <row r="250" spans="1:18" ht="15">
      <c r="A250" s="195" t="s">
        <v>117</v>
      </c>
      <c r="B250" s="193">
        <v>42138</v>
      </c>
      <c r="C250" s="196">
        <v>5000</v>
      </c>
      <c r="D250" s="190"/>
      <c r="E250" s="190"/>
      <c r="F250" s="190"/>
      <c r="G250" s="191">
        <f t="shared" si="46"/>
        <v>250</v>
      </c>
      <c r="H250" s="190"/>
      <c r="I250" s="190"/>
      <c r="J250" s="190"/>
      <c r="K250" s="190">
        <f t="shared" si="42"/>
        <v>1052</v>
      </c>
      <c r="L250" s="191">
        <f t="shared" si="47"/>
        <v>2.882191780821918</v>
      </c>
      <c r="M250" s="191">
        <v>2738.0821917808221</v>
      </c>
      <c r="N250" s="167">
        <f t="shared" si="43"/>
        <v>2261.9178082191779</v>
      </c>
      <c r="O250" s="191">
        <f t="shared" si="48"/>
        <v>2.117808219178082</v>
      </c>
      <c r="P250" s="191">
        <f t="shared" si="44"/>
        <v>2011.9178082191779</v>
      </c>
      <c r="Q250" s="167">
        <f t="shared" si="51"/>
        <v>950</v>
      </c>
      <c r="R250" s="167">
        <f t="shared" si="49"/>
        <v>1311.9178082191779</v>
      </c>
    </row>
    <row r="251" spans="1:18" ht="15">
      <c r="A251" s="195" t="s">
        <v>117</v>
      </c>
      <c r="B251" s="193">
        <v>42142</v>
      </c>
      <c r="C251" s="196">
        <v>5000</v>
      </c>
      <c r="D251" s="190"/>
      <c r="E251" s="190"/>
      <c r="F251" s="190"/>
      <c r="G251" s="191">
        <f t="shared" si="46"/>
        <v>250</v>
      </c>
      <c r="H251" s="190"/>
      <c r="I251" s="190"/>
      <c r="J251" s="190"/>
      <c r="K251" s="190">
        <f t="shared" si="42"/>
        <v>1048</v>
      </c>
      <c r="L251" s="191">
        <f t="shared" si="47"/>
        <v>2.871232876712329</v>
      </c>
      <c r="M251" s="191">
        <v>2727.6712328767121</v>
      </c>
      <c r="N251" s="167">
        <f t="shared" si="43"/>
        <v>2272.3287671232879</v>
      </c>
      <c r="O251" s="191">
        <f t="shared" si="48"/>
        <v>2.128767123287671</v>
      </c>
      <c r="P251" s="191">
        <f t="shared" si="44"/>
        <v>2022.3287671232879</v>
      </c>
      <c r="Q251" s="167">
        <f t="shared" si="51"/>
        <v>950.00000000000023</v>
      </c>
      <c r="R251" s="167">
        <f t="shared" si="49"/>
        <v>1322.3287671232877</v>
      </c>
    </row>
    <row r="252" spans="1:18" ht="15">
      <c r="A252" s="195" t="s">
        <v>117</v>
      </c>
      <c r="B252" s="193">
        <v>42146</v>
      </c>
      <c r="C252" s="196">
        <v>5000</v>
      </c>
      <c r="D252" s="190"/>
      <c r="E252" s="190"/>
      <c r="F252" s="190"/>
      <c r="G252" s="191">
        <f t="shared" si="46"/>
        <v>250</v>
      </c>
      <c r="H252" s="190"/>
      <c r="I252" s="190"/>
      <c r="J252" s="190"/>
      <c r="K252" s="190">
        <f t="shared" si="42"/>
        <v>1044</v>
      </c>
      <c r="L252" s="191">
        <f t="shared" si="47"/>
        <v>2.8602739726027395</v>
      </c>
      <c r="M252" s="191">
        <v>2717.260273972603</v>
      </c>
      <c r="N252" s="167">
        <f t="shared" si="43"/>
        <v>2282.739726027397</v>
      </c>
      <c r="O252" s="191">
        <f t="shared" si="48"/>
        <v>2.1397260273972605</v>
      </c>
      <c r="P252" s="191">
        <f t="shared" si="44"/>
        <v>2032.739726027397</v>
      </c>
      <c r="Q252" s="167">
        <f t="shared" si="51"/>
        <v>949.99999999999977</v>
      </c>
      <c r="R252" s="167">
        <f t="shared" si="49"/>
        <v>1332.7397260273972</v>
      </c>
    </row>
    <row r="253" spans="1:18" ht="15">
      <c r="A253" s="195" t="s">
        <v>117</v>
      </c>
      <c r="B253" s="193">
        <v>42203</v>
      </c>
      <c r="C253" s="196">
        <v>14900</v>
      </c>
      <c r="D253" s="190"/>
      <c r="E253" s="190"/>
      <c r="F253" s="190"/>
      <c r="G253" s="191">
        <f t="shared" si="46"/>
        <v>745</v>
      </c>
      <c r="H253" s="190"/>
      <c r="I253" s="190"/>
      <c r="J253" s="190"/>
      <c r="K253" s="190">
        <f t="shared" si="42"/>
        <v>987</v>
      </c>
      <c r="L253" s="191">
        <f t="shared" si="47"/>
        <v>2.7041095890410958</v>
      </c>
      <c r="M253" s="191">
        <v>7655.3342465753431</v>
      </c>
      <c r="N253" s="167">
        <f t="shared" si="43"/>
        <v>7244.6657534246569</v>
      </c>
      <c r="O253" s="191">
        <f t="shared" si="48"/>
        <v>2.2958904109589042</v>
      </c>
      <c r="P253" s="191">
        <f t="shared" si="44"/>
        <v>6499.6657534246569</v>
      </c>
      <c r="Q253" s="167">
        <f t="shared" si="51"/>
        <v>2830.9999999999995</v>
      </c>
      <c r="R253" s="167">
        <f t="shared" si="49"/>
        <v>4413.6657534246569</v>
      </c>
    </row>
    <row r="254" spans="1:18" ht="15">
      <c r="A254" s="195" t="s">
        <v>119</v>
      </c>
      <c r="B254" s="193">
        <v>42105</v>
      </c>
      <c r="C254" s="196">
        <v>22614</v>
      </c>
      <c r="D254" s="190"/>
      <c r="E254" s="190"/>
      <c r="F254" s="190"/>
      <c r="G254" s="191">
        <f t="shared" si="46"/>
        <v>1130.7</v>
      </c>
      <c r="H254" s="190"/>
      <c r="I254" s="190"/>
      <c r="J254" s="190"/>
      <c r="K254" s="190">
        <f t="shared" si="42"/>
        <v>1085</v>
      </c>
      <c r="L254" s="191">
        <f t="shared" si="47"/>
        <v>2.9726027397260273</v>
      </c>
      <c r="M254" s="191">
        <v>12772.263287671232</v>
      </c>
      <c r="N254" s="167">
        <f t="shared" si="43"/>
        <v>9841.7367123287677</v>
      </c>
      <c r="O254" s="191">
        <f t="shared" si="48"/>
        <v>2.0273972602739727</v>
      </c>
      <c r="P254" s="191">
        <f t="shared" si="44"/>
        <v>8711.036712328767</v>
      </c>
      <c r="Q254" s="167">
        <f t="shared" si="51"/>
        <v>4296.66</v>
      </c>
      <c r="R254" s="167">
        <f t="shared" si="49"/>
        <v>5545.0767123287678</v>
      </c>
    </row>
    <row r="255" spans="1:18" ht="15">
      <c r="A255" s="195" t="s">
        <v>119</v>
      </c>
      <c r="B255" s="193">
        <v>42144</v>
      </c>
      <c r="C255" s="196">
        <v>189911</v>
      </c>
      <c r="D255" s="190"/>
      <c r="E255" s="190"/>
      <c r="F255" s="190"/>
      <c r="G255" s="191">
        <f t="shared" si="46"/>
        <v>9495.5500000000011</v>
      </c>
      <c r="H255" s="190"/>
      <c r="I255" s="190"/>
      <c r="J255" s="190"/>
      <c r="K255" s="190">
        <f t="shared" si="42"/>
        <v>1046</v>
      </c>
      <c r="L255" s="191">
        <f t="shared" si="47"/>
        <v>2.8657534246575342</v>
      </c>
      <c r="M255" s="191">
        <v>103405.23873972602</v>
      </c>
      <c r="N255" s="167">
        <f t="shared" si="43"/>
        <v>86505.761260273983</v>
      </c>
      <c r="O255" s="191">
        <f t="shared" si="48"/>
        <v>2.1342465753424658</v>
      </c>
      <c r="P255" s="191">
        <f t="shared" si="44"/>
        <v>77010.21126027398</v>
      </c>
      <c r="Q255" s="167">
        <f t="shared" si="51"/>
        <v>36083.090000000004</v>
      </c>
      <c r="R255" s="167">
        <f t="shared" si="49"/>
        <v>50422.671260273979</v>
      </c>
    </row>
    <row r="256" spans="1:18" ht="15">
      <c r="A256" s="195" t="s">
        <v>119</v>
      </c>
      <c r="B256" s="193">
        <v>42171</v>
      </c>
      <c r="C256" s="196">
        <v>49597</v>
      </c>
      <c r="D256" s="190"/>
      <c r="E256" s="190"/>
      <c r="F256" s="190"/>
      <c r="G256" s="191">
        <f t="shared" si="46"/>
        <v>2479.8500000000004</v>
      </c>
      <c r="H256" s="190"/>
      <c r="I256" s="190"/>
      <c r="J256" s="190"/>
      <c r="K256" s="190">
        <f t="shared" si="42"/>
        <v>1019</v>
      </c>
      <c r="L256" s="191">
        <f t="shared" si="47"/>
        <v>2.7917808219178082</v>
      </c>
      <c r="M256" s="191">
        <v>26308.151150684931</v>
      </c>
      <c r="N256" s="167">
        <f t="shared" si="43"/>
        <v>23288.848849315069</v>
      </c>
      <c r="O256" s="191">
        <f t="shared" si="48"/>
        <v>2.2082191780821918</v>
      </c>
      <c r="P256" s="191">
        <f t="shared" si="44"/>
        <v>20808.998849315067</v>
      </c>
      <c r="Q256" s="167">
        <f t="shared" si="51"/>
        <v>9423.4299999999985</v>
      </c>
      <c r="R256" s="167">
        <f t="shared" si="49"/>
        <v>13865.41884931507</v>
      </c>
    </row>
    <row r="257" spans="1:19" ht="15">
      <c r="A257" s="195" t="s">
        <v>120</v>
      </c>
      <c r="B257" s="193">
        <v>42247</v>
      </c>
      <c r="C257" s="196">
        <v>32025</v>
      </c>
      <c r="D257" s="190"/>
      <c r="E257" s="190"/>
      <c r="F257" s="190"/>
      <c r="G257" s="191">
        <f t="shared" si="46"/>
        <v>1601.25</v>
      </c>
      <c r="H257" s="190"/>
      <c r="I257" s="190"/>
      <c r="J257" s="190"/>
      <c r="K257" s="190">
        <f t="shared" si="42"/>
        <v>943</v>
      </c>
      <c r="L257" s="191">
        <f t="shared" si="47"/>
        <v>2.5835616438356164</v>
      </c>
      <c r="M257" s="191">
        <v>15720.326712328768</v>
      </c>
      <c r="N257" s="167">
        <f t="shared" si="43"/>
        <v>16304.673287671232</v>
      </c>
      <c r="O257" s="191">
        <f t="shared" si="48"/>
        <v>2.4164383561643836</v>
      </c>
      <c r="P257" s="191">
        <f t="shared" si="44"/>
        <v>14703.423287671232</v>
      </c>
      <c r="Q257" s="167">
        <f t="shared" si="51"/>
        <v>6084.7499999999991</v>
      </c>
      <c r="R257" s="167">
        <f t="shared" si="49"/>
        <v>10219.923287671234</v>
      </c>
    </row>
    <row r="258" spans="1:19" ht="15">
      <c r="A258" s="195" t="s">
        <v>120</v>
      </c>
      <c r="B258" s="193">
        <v>42263</v>
      </c>
      <c r="C258" s="196">
        <v>21000</v>
      </c>
      <c r="D258" s="190"/>
      <c r="E258" s="190"/>
      <c r="F258" s="190"/>
      <c r="G258" s="191">
        <f t="shared" si="46"/>
        <v>1050</v>
      </c>
      <c r="H258" s="190"/>
      <c r="I258" s="190"/>
      <c r="J258" s="190"/>
      <c r="K258" s="190">
        <f t="shared" si="42"/>
        <v>927</v>
      </c>
      <c r="L258" s="191">
        <f t="shared" si="47"/>
        <v>2.5397260273972604</v>
      </c>
      <c r="M258" s="191">
        <v>10133.506849315068</v>
      </c>
      <c r="N258" s="167">
        <f t="shared" si="43"/>
        <v>10866.493150684932</v>
      </c>
      <c r="O258" s="191">
        <f t="shared" si="48"/>
        <v>2.4602739726027396</v>
      </c>
      <c r="P258" s="191">
        <f t="shared" si="44"/>
        <v>9816.4931506849316</v>
      </c>
      <c r="Q258" s="167">
        <f t="shared" si="51"/>
        <v>3990</v>
      </c>
      <c r="R258" s="167">
        <f t="shared" si="49"/>
        <v>6876.4931506849316</v>
      </c>
    </row>
    <row r="259" spans="1:19" ht="15">
      <c r="A259" s="195" t="s">
        <v>120</v>
      </c>
      <c r="B259" s="193">
        <v>42269</v>
      </c>
      <c r="C259" s="196">
        <v>63525</v>
      </c>
      <c r="D259" s="190"/>
      <c r="E259" s="190"/>
      <c r="F259" s="190"/>
      <c r="G259" s="191">
        <f t="shared" si="46"/>
        <v>3176.25</v>
      </c>
      <c r="H259" s="190"/>
      <c r="I259" s="190"/>
      <c r="J259" s="190"/>
      <c r="K259" s="190">
        <f t="shared" si="42"/>
        <v>921</v>
      </c>
      <c r="L259" s="191">
        <f t="shared" si="47"/>
        <v>2.5232876712328767</v>
      </c>
      <c r="M259" s="191">
        <v>30455.451369863011</v>
      </c>
      <c r="N259" s="167">
        <f t="shared" si="43"/>
        <v>33069.548630136989</v>
      </c>
      <c r="O259" s="191">
        <f t="shared" si="48"/>
        <v>2.4767123287671233</v>
      </c>
      <c r="P259" s="191">
        <f t="shared" si="44"/>
        <v>29893.298630136989</v>
      </c>
      <c r="Q259" s="167">
        <f t="shared" si="51"/>
        <v>12069.750000000002</v>
      </c>
      <c r="R259" s="167">
        <f t="shared" si="49"/>
        <v>20999.798630136989</v>
      </c>
    </row>
    <row r="260" spans="1:19" ht="15">
      <c r="A260" s="197" t="s">
        <v>121</v>
      </c>
      <c r="B260" s="193">
        <v>42529</v>
      </c>
      <c r="C260" s="198">
        <v>6749</v>
      </c>
      <c r="D260" s="190"/>
      <c r="E260" s="190"/>
      <c r="F260" s="190"/>
      <c r="G260" s="191">
        <f t="shared" si="46"/>
        <v>337.45000000000005</v>
      </c>
      <c r="H260" s="190"/>
      <c r="I260" s="190"/>
      <c r="J260" s="190"/>
      <c r="K260" s="190">
        <f t="shared" si="42"/>
        <v>661</v>
      </c>
      <c r="L260" s="191">
        <f t="shared" si="47"/>
        <v>1.810958904109589</v>
      </c>
      <c r="M260" s="191">
        <v>2322.2107123287669</v>
      </c>
      <c r="N260" s="167">
        <f t="shared" si="43"/>
        <v>4426.7892876712331</v>
      </c>
      <c r="O260" s="191">
        <f t="shared" si="48"/>
        <v>3.1890410958904107</v>
      </c>
      <c r="P260" s="191">
        <f t="shared" si="44"/>
        <v>4089.3392876712333</v>
      </c>
      <c r="Q260" s="167">
        <f t="shared" si="51"/>
        <v>1282.3100000000002</v>
      </c>
      <c r="R260" s="167">
        <f t="shared" si="49"/>
        <v>3144.4792876712327</v>
      </c>
    </row>
    <row r="261" spans="1:19" ht="15">
      <c r="A261" s="197" t="s">
        <v>122</v>
      </c>
      <c r="B261" s="193">
        <v>42480</v>
      </c>
      <c r="C261" s="198">
        <v>70393</v>
      </c>
      <c r="D261" s="190"/>
      <c r="E261" s="190"/>
      <c r="F261" s="190"/>
      <c r="G261" s="191">
        <f t="shared" si="46"/>
        <v>3519.65</v>
      </c>
      <c r="H261" s="190"/>
      <c r="I261" s="190"/>
      <c r="J261" s="190"/>
      <c r="K261" s="190">
        <f t="shared" si="42"/>
        <v>710</v>
      </c>
      <c r="L261" s="191">
        <f t="shared" si="47"/>
        <v>1.9452054794520548</v>
      </c>
      <c r="M261" s="191">
        <v>26016.481369863013</v>
      </c>
      <c r="N261" s="167">
        <f t="shared" si="43"/>
        <v>44376.518630136983</v>
      </c>
      <c r="O261" s="191">
        <f t="shared" si="48"/>
        <v>3.0547945205479454</v>
      </c>
      <c r="P261" s="191">
        <f t="shared" si="44"/>
        <v>40856.868630136982</v>
      </c>
      <c r="Q261" s="167">
        <f t="shared" si="51"/>
        <v>13374.669999999998</v>
      </c>
      <c r="R261" s="167">
        <f t="shared" si="49"/>
        <v>31001.848630136985</v>
      </c>
    </row>
    <row r="262" spans="1:19" ht="15">
      <c r="A262" s="197" t="s">
        <v>123</v>
      </c>
      <c r="B262" s="193">
        <v>42464</v>
      </c>
      <c r="C262" s="198">
        <f>360323.16+143195</f>
        <v>503518.16</v>
      </c>
      <c r="D262" s="190"/>
      <c r="E262" s="190"/>
      <c r="F262" s="190"/>
      <c r="G262" s="191">
        <f t="shared" si="46"/>
        <v>25175.907999999999</v>
      </c>
      <c r="H262" s="190"/>
      <c r="I262" s="190"/>
      <c r="J262" s="190"/>
      <c r="K262" s="190">
        <f t="shared" si="42"/>
        <v>726</v>
      </c>
      <c r="L262" s="191">
        <f t="shared" si="47"/>
        <v>1.989041095890411</v>
      </c>
      <c r="M262" s="191">
        <v>190288.47942575341</v>
      </c>
      <c r="N262" s="167">
        <f t="shared" si="43"/>
        <v>313229.68057424657</v>
      </c>
      <c r="O262" s="191">
        <f t="shared" si="48"/>
        <v>3.010958904109589</v>
      </c>
      <c r="P262" s="191">
        <f t="shared" si="44"/>
        <v>288053.77257424657</v>
      </c>
      <c r="Q262" s="167">
        <f t="shared" si="51"/>
        <v>95668.450400000002</v>
      </c>
      <c r="R262" s="167">
        <f t="shared" si="49"/>
        <v>217561.23017424656</v>
      </c>
    </row>
    <row r="263" spans="1:19" ht="15">
      <c r="A263" s="197" t="s">
        <v>123</v>
      </c>
      <c r="B263" s="193">
        <v>42468</v>
      </c>
      <c r="C263" s="198">
        <v>117381</v>
      </c>
      <c r="D263" s="190"/>
      <c r="E263" s="190"/>
      <c r="F263" s="190"/>
      <c r="G263" s="191">
        <f t="shared" si="46"/>
        <v>5869.05</v>
      </c>
      <c r="H263" s="190"/>
      <c r="I263" s="190"/>
      <c r="J263" s="190"/>
      <c r="K263" s="190">
        <f t="shared" si="42"/>
        <v>722</v>
      </c>
      <c r="L263" s="191">
        <f t="shared" si="47"/>
        <v>1.978082191780822</v>
      </c>
      <c r="M263" s="191">
        <v>44115.960493150691</v>
      </c>
      <c r="N263" s="167">
        <f t="shared" si="43"/>
        <v>73265.039506849309</v>
      </c>
      <c r="O263" s="191">
        <f t="shared" si="48"/>
        <v>3.021917808219178</v>
      </c>
      <c r="P263" s="191">
        <f t="shared" si="44"/>
        <v>67395.989506849306</v>
      </c>
      <c r="Q263" s="167">
        <f t="shared" si="51"/>
        <v>22302.39</v>
      </c>
      <c r="R263" s="167">
        <f t="shared" si="49"/>
        <v>50962.64950684931</v>
      </c>
    </row>
    <row r="264" spans="1:19" ht="15">
      <c r="A264" s="197" t="s">
        <v>123</v>
      </c>
      <c r="B264" s="193">
        <v>42475</v>
      </c>
      <c r="C264" s="198">
        <v>352143</v>
      </c>
      <c r="D264" s="190"/>
      <c r="E264" s="190"/>
      <c r="F264" s="190"/>
      <c r="G264" s="191">
        <f t="shared" si="46"/>
        <v>17607.150000000001</v>
      </c>
      <c r="H264" s="190"/>
      <c r="I264" s="190"/>
      <c r="J264" s="190"/>
      <c r="K264" s="190">
        <f t="shared" si="42"/>
        <v>715</v>
      </c>
      <c r="L264" s="191">
        <f t="shared" si="47"/>
        <v>1.9589041095890412</v>
      </c>
      <c r="M264" s="191">
        <v>131064.73027397261</v>
      </c>
      <c r="N264" s="167">
        <f t="shared" si="43"/>
        <v>221078.26972602739</v>
      </c>
      <c r="O264" s="191">
        <f t="shared" si="48"/>
        <v>3.0410958904109586</v>
      </c>
      <c r="P264" s="191">
        <f t="shared" si="44"/>
        <v>203471.11972602739</v>
      </c>
      <c r="Q264" s="167">
        <f t="shared" si="51"/>
        <v>66907.17</v>
      </c>
      <c r="R264" s="167">
        <f t="shared" si="49"/>
        <v>154171.0997260274</v>
      </c>
    </row>
    <row r="265" spans="1:19" ht="15">
      <c r="A265" s="197" t="s">
        <v>117</v>
      </c>
      <c r="B265" s="193">
        <v>42816</v>
      </c>
      <c r="C265" s="198">
        <v>6200</v>
      </c>
      <c r="D265" s="190"/>
      <c r="E265" s="190"/>
      <c r="F265" s="190"/>
      <c r="G265" s="191">
        <f t="shared" si="46"/>
        <v>310</v>
      </c>
      <c r="H265" s="190"/>
      <c r="I265" s="190"/>
      <c r="J265" s="190"/>
      <c r="K265" s="190">
        <f t="shared" si="42"/>
        <v>374</v>
      </c>
      <c r="L265" s="191">
        <f t="shared" si="47"/>
        <v>1.0246575342465754</v>
      </c>
      <c r="M265" s="191">
        <v>1207.0465753424658</v>
      </c>
      <c r="N265" s="167">
        <f>C265-M265</f>
        <v>4992.953424657534</v>
      </c>
      <c r="O265" s="191">
        <f t="shared" si="48"/>
        <v>3.9753424657534246</v>
      </c>
      <c r="P265" s="191">
        <f t="shared" si="44"/>
        <v>4682.953424657534</v>
      </c>
      <c r="Q265" s="167">
        <f>P265/O265</f>
        <v>1178</v>
      </c>
      <c r="R265" s="167">
        <f t="shared" si="49"/>
        <v>3814.953424657534</v>
      </c>
      <c r="S265" s="141">
        <f>(C265-G265)/(L265*365)*K265</f>
        <v>5890</v>
      </c>
    </row>
    <row r="266" spans="1:19" ht="15">
      <c r="A266" s="197" t="s">
        <v>118</v>
      </c>
      <c r="B266" s="193">
        <v>42632</v>
      </c>
      <c r="C266" s="198">
        <v>18800</v>
      </c>
      <c r="D266" s="190"/>
      <c r="E266" s="190"/>
      <c r="F266" s="190"/>
      <c r="G266" s="191">
        <f t="shared" si="46"/>
        <v>940</v>
      </c>
      <c r="H266" s="190"/>
      <c r="I266" s="190"/>
      <c r="J266" s="190"/>
      <c r="K266" s="190">
        <f t="shared" si="42"/>
        <v>558</v>
      </c>
      <c r="L266" s="191">
        <f t="shared" si="47"/>
        <v>1.5287671232876712</v>
      </c>
      <c r="M266" s="191">
        <v>5460.7561643835616</v>
      </c>
      <c r="N266" s="167">
        <f t="shared" si="43"/>
        <v>13339.243835616438</v>
      </c>
      <c r="O266" s="191">
        <f t="shared" si="48"/>
        <v>3.4712328767123291</v>
      </c>
      <c r="P266" s="191">
        <f t="shared" si="44"/>
        <v>12399.243835616438</v>
      </c>
      <c r="Q266" s="167">
        <f t="shared" si="51"/>
        <v>3571.9999999999995</v>
      </c>
      <c r="R266" s="167">
        <f t="shared" si="49"/>
        <v>9767.2438356164384</v>
      </c>
    </row>
    <row r="267" spans="1:19" ht="15">
      <c r="A267" s="197" t="s">
        <v>118</v>
      </c>
      <c r="B267" s="193">
        <v>42632</v>
      </c>
      <c r="C267" s="198">
        <v>4950</v>
      </c>
      <c r="D267" s="190"/>
      <c r="E267" s="190"/>
      <c r="F267" s="190"/>
      <c r="G267" s="191">
        <f t="shared" si="46"/>
        <v>247.5</v>
      </c>
      <c r="H267" s="190"/>
      <c r="I267" s="190"/>
      <c r="J267" s="190"/>
      <c r="K267" s="190">
        <f t="shared" si="42"/>
        <v>558</v>
      </c>
      <c r="L267" s="191">
        <f t="shared" si="47"/>
        <v>1.5287671232876712</v>
      </c>
      <c r="M267" s="191">
        <v>1437.8054794520547</v>
      </c>
      <c r="N267" s="167">
        <f t="shared" si="43"/>
        <v>3512.1945205479451</v>
      </c>
      <c r="O267" s="191">
        <f t="shared" si="48"/>
        <v>3.4712328767123291</v>
      </c>
      <c r="P267" s="191">
        <f t="shared" si="44"/>
        <v>3264.6945205479451</v>
      </c>
      <c r="Q267" s="167">
        <f t="shared" si="51"/>
        <v>940.49999999999989</v>
      </c>
      <c r="R267" s="167">
        <f t="shared" si="49"/>
        <v>2571.6945205479451</v>
      </c>
    </row>
    <row r="268" spans="1:19" ht="15">
      <c r="A268" s="197" t="s">
        <v>124</v>
      </c>
      <c r="B268" s="193">
        <v>42541</v>
      </c>
      <c r="C268" s="198">
        <v>75373</v>
      </c>
      <c r="D268" s="190"/>
      <c r="E268" s="190"/>
      <c r="F268" s="190"/>
      <c r="G268" s="191">
        <f t="shared" si="46"/>
        <v>3768.65</v>
      </c>
      <c r="H268" s="190"/>
      <c r="I268" s="190"/>
      <c r="J268" s="190"/>
      <c r="K268" s="190">
        <f t="shared" si="42"/>
        <v>649</v>
      </c>
      <c r="L268" s="191">
        <f t="shared" si="47"/>
        <v>1.7780821917808218</v>
      </c>
      <c r="M268" s="191">
        <v>25463.683917808219</v>
      </c>
      <c r="N268" s="167">
        <f t="shared" si="43"/>
        <v>49909.316082191785</v>
      </c>
      <c r="O268" s="191">
        <f t="shared" si="48"/>
        <v>3.2219178082191782</v>
      </c>
      <c r="P268" s="191">
        <f t="shared" si="44"/>
        <v>46140.666082191783</v>
      </c>
      <c r="Q268" s="167">
        <f t="shared" si="51"/>
        <v>14320.87</v>
      </c>
      <c r="R268" s="167">
        <f t="shared" si="49"/>
        <v>35588.446082191782</v>
      </c>
    </row>
    <row r="269" spans="1:19" ht="15">
      <c r="A269" s="195" t="s">
        <v>122</v>
      </c>
      <c r="B269" s="199">
        <v>42829</v>
      </c>
      <c r="C269" s="196">
        <v>41048.03</v>
      </c>
      <c r="D269" s="190"/>
      <c r="E269" s="190"/>
      <c r="F269" s="190"/>
      <c r="G269" s="191">
        <f t="shared" si="46"/>
        <v>2052.4014999999999</v>
      </c>
      <c r="H269" s="190"/>
      <c r="I269" s="190"/>
      <c r="J269" s="190"/>
      <c r="K269" s="190">
        <f t="shared" si="42"/>
        <v>361</v>
      </c>
      <c r="L269" s="191">
        <f t="shared" si="47"/>
        <v>0.989041095890411</v>
      </c>
      <c r="M269" s="191">
        <v>7714</v>
      </c>
      <c r="N269" s="167">
        <f t="shared" si="43"/>
        <v>33334.03</v>
      </c>
      <c r="O269" s="191">
        <f t="shared" si="48"/>
        <v>4.0109589041095894</v>
      </c>
      <c r="P269" s="191">
        <f t="shared" si="44"/>
        <v>31281.628499999999</v>
      </c>
      <c r="Q269" s="167">
        <f t="shared" si="51"/>
        <v>7799.0398924180317</v>
      </c>
      <c r="R269" s="167">
        <f t="shared" si="49"/>
        <v>25534.990107581965</v>
      </c>
    </row>
    <row r="270" spans="1:19" ht="15">
      <c r="A270" s="128"/>
      <c r="B270" s="105"/>
      <c r="C270" s="131"/>
      <c r="D270" s="107"/>
      <c r="E270" s="107"/>
      <c r="F270" s="107"/>
      <c r="G270" s="99"/>
      <c r="H270" s="107"/>
      <c r="I270" s="107"/>
      <c r="J270" s="107"/>
      <c r="K270" s="107"/>
      <c r="L270" s="99"/>
      <c r="M270" s="99"/>
      <c r="N270" s="100"/>
      <c r="O270" s="99"/>
      <c r="P270" s="99"/>
      <c r="Q270" s="100"/>
      <c r="R270" s="100"/>
    </row>
    <row r="271" spans="1:19" ht="15">
      <c r="A271" s="101" t="s">
        <v>125</v>
      </c>
      <c r="B271" s="107"/>
      <c r="C271" s="116">
        <f>SUM(C230:C270)</f>
        <v>2091085.19</v>
      </c>
      <c r="D271" s="107"/>
      <c r="E271" s="107"/>
      <c r="F271" s="107"/>
      <c r="G271" s="116">
        <f>SUM(G230:G270)</f>
        <v>104554.25950000001</v>
      </c>
      <c r="H271" s="107"/>
      <c r="I271" s="107"/>
      <c r="J271" s="107"/>
      <c r="K271" s="107"/>
      <c r="L271" s="99"/>
      <c r="M271" s="116">
        <f>SUM(M230:M270)</f>
        <v>1079384.8391820423</v>
      </c>
      <c r="N271" s="113">
        <f>SUM(N230:N259)</f>
        <v>250236.31523001243</v>
      </c>
      <c r="O271" s="99"/>
      <c r="P271" s="116">
        <f t="shared" ref="P271:R271" si="52">SUM(P230:P270)</f>
        <v>907146.0913179575</v>
      </c>
      <c r="Q271" s="116">
        <f t="shared" si="52"/>
        <v>331223.01376242383</v>
      </c>
      <c r="R271" s="116">
        <f t="shared" si="52"/>
        <v>680477.33705553378</v>
      </c>
      <c r="S271" s="142"/>
    </row>
    <row r="272" spans="1:19" s="120" customFormat="1" ht="15">
      <c r="A272" s="101"/>
      <c r="B272" s="111"/>
      <c r="C272" s="117"/>
      <c r="D272" s="111"/>
      <c r="E272" s="111"/>
      <c r="F272" s="111"/>
      <c r="G272" s="114"/>
      <c r="H272" s="111"/>
      <c r="I272" s="111"/>
      <c r="J272" s="111"/>
      <c r="K272" s="111"/>
      <c r="L272" s="114"/>
      <c r="M272" s="114"/>
      <c r="N272" s="119"/>
      <c r="O272" s="114"/>
      <c r="P272" s="114"/>
      <c r="Q272" s="119"/>
      <c r="R272" s="119"/>
    </row>
    <row r="273" spans="1:19" ht="15">
      <c r="A273" s="189" t="s">
        <v>126</v>
      </c>
      <c r="B273" s="190"/>
      <c r="C273" s="190"/>
      <c r="D273" s="190"/>
      <c r="E273" s="190"/>
      <c r="F273" s="190"/>
      <c r="G273" s="191"/>
      <c r="H273" s="190"/>
      <c r="I273" s="190"/>
      <c r="J273" s="190"/>
      <c r="K273" s="190"/>
      <c r="L273" s="191"/>
      <c r="M273" s="191"/>
      <c r="N273" s="167"/>
      <c r="O273" s="191">
        <v>30</v>
      </c>
      <c r="P273" s="191"/>
      <c r="Q273" s="167"/>
      <c r="R273" s="167"/>
    </row>
    <row r="274" spans="1:19">
      <c r="A274" s="190" t="s">
        <v>127</v>
      </c>
      <c r="B274" s="193">
        <v>39609</v>
      </c>
      <c r="C274" s="190">
        <v>23385</v>
      </c>
      <c r="D274" s="190"/>
      <c r="E274" s="190"/>
      <c r="F274" s="190"/>
      <c r="G274" s="191">
        <f t="shared" ref="G274" si="53">C274*5%</f>
        <v>1169.25</v>
      </c>
      <c r="H274" s="190"/>
      <c r="I274" s="190"/>
      <c r="J274" s="190"/>
      <c r="K274" s="190">
        <f>$K$2-B274</f>
        <v>3581</v>
      </c>
      <c r="L274" s="191">
        <f t="shared" ref="L274" si="54">K274/365</f>
        <v>9.8109589041095884</v>
      </c>
      <c r="M274" s="191">
        <v>7459.9149984924461</v>
      </c>
      <c r="N274" s="167">
        <f>C274-M274</f>
        <v>15925.085001507554</v>
      </c>
      <c r="O274" s="191">
        <f t="shared" ref="O274" si="55">$O$273-L274</f>
        <v>20.18904109589041</v>
      </c>
      <c r="P274" s="191">
        <f>N274-G274</f>
        <v>14755.835001507554</v>
      </c>
      <c r="Q274" s="167">
        <f t="shared" ref="Q274" si="56">P274/O274</f>
        <v>730.88340012895333</v>
      </c>
      <c r="R274" s="167">
        <f t="shared" ref="R274" si="57">N274-Q274</f>
        <v>15194.201601378601</v>
      </c>
    </row>
    <row r="275" spans="1:19">
      <c r="A275" s="190" t="s">
        <v>127</v>
      </c>
      <c r="B275" s="193">
        <v>39903</v>
      </c>
      <c r="C275" s="190">
        <v>66928240</v>
      </c>
      <c r="D275" s="190"/>
      <c r="E275" s="190"/>
      <c r="F275" s="190"/>
      <c r="G275" s="191">
        <f>C275*5%</f>
        <v>3346412</v>
      </c>
      <c r="H275" s="190"/>
      <c r="I275" s="190"/>
      <c r="J275" s="190"/>
      <c r="K275" s="190">
        <f>$K$2-B275</f>
        <v>3287</v>
      </c>
      <c r="L275" s="191">
        <f>K275/365</f>
        <v>9.0054794520547947</v>
      </c>
      <c r="M275" s="191">
        <v>22279708.398801543</v>
      </c>
      <c r="N275" s="167">
        <f>C275-M275</f>
        <v>44648531.601198457</v>
      </c>
      <c r="O275" s="191">
        <f>$O$273-L275</f>
        <v>20.994520547945207</v>
      </c>
      <c r="P275" s="191">
        <f>N275-G275</f>
        <v>41302119.601198457</v>
      </c>
      <c r="Q275" s="167">
        <f>P275/O275</f>
        <v>1967280.9153644051</v>
      </c>
      <c r="R275" s="167">
        <f>N275-Q275</f>
        <v>42681250.68583405</v>
      </c>
    </row>
    <row r="276" spans="1:19">
      <c r="A276" s="190" t="s">
        <v>127</v>
      </c>
      <c r="B276" s="193">
        <v>40633</v>
      </c>
      <c r="C276" s="190">
        <v>103124723</v>
      </c>
      <c r="D276" s="190"/>
      <c r="E276" s="190"/>
      <c r="F276" s="190"/>
      <c r="G276" s="191">
        <f>C276*5%</f>
        <v>5156236.1500000004</v>
      </c>
      <c r="H276" s="190"/>
      <c r="I276" s="190"/>
      <c r="J276" s="190"/>
      <c r="K276" s="190">
        <f>$K$2-B276</f>
        <v>2557</v>
      </c>
      <c r="L276" s="191">
        <f>K276/365</f>
        <v>7.0054794520547947</v>
      </c>
      <c r="M276" s="191">
        <v>23326185.473999739</v>
      </c>
      <c r="N276" s="167">
        <f>C276-M276</f>
        <v>79798537.526000261</v>
      </c>
      <c r="O276" s="191">
        <f>$O$273-L276</f>
        <v>22.994520547945207</v>
      </c>
      <c r="P276" s="191">
        <f>N276-G276</f>
        <v>74642301.376000255</v>
      </c>
      <c r="Q276" s="167">
        <f>P276/O276</f>
        <v>3246090.7902109008</v>
      </c>
      <c r="R276" s="167">
        <f>N276-Q276</f>
        <v>76552446.735789359</v>
      </c>
    </row>
    <row r="277" spans="1:19">
      <c r="A277" s="190" t="s">
        <v>127</v>
      </c>
      <c r="B277" s="193">
        <v>41364</v>
      </c>
      <c r="C277" s="190">
        <v>17758130</v>
      </c>
      <c r="D277" s="190"/>
      <c r="E277" s="190"/>
      <c r="F277" s="190"/>
      <c r="G277" s="191">
        <f>C277*5%</f>
        <v>887906.5</v>
      </c>
      <c r="H277" s="190"/>
      <c r="I277" s="190"/>
      <c r="J277" s="190"/>
      <c r="K277" s="190">
        <f>$K$2-B277</f>
        <v>1826</v>
      </c>
      <c r="L277" s="191">
        <f>K277/365</f>
        <v>5.0027397260273974</v>
      </c>
      <c r="M277" s="191">
        <v>2838352.9725426268</v>
      </c>
      <c r="N277" s="167">
        <f>C277-M277</f>
        <v>14919777.027457373</v>
      </c>
      <c r="O277" s="191">
        <f>$O$273-L277</f>
        <v>24.997260273972604</v>
      </c>
      <c r="P277" s="191">
        <f>N277-G277</f>
        <v>14031870.527457373</v>
      </c>
      <c r="Q277" s="167">
        <f>P277/O277</f>
        <v>561336.33740924392</v>
      </c>
      <c r="R277" s="167">
        <f>N277-Q277</f>
        <v>14358440.690048128</v>
      </c>
    </row>
    <row r="278" spans="1:19" ht="15">
      <c r="A278" s="101" t="s">
        <v>128</v>
      </c>
      <c r="B278" s="107"/>
      <c r="C278" s="116">
        <f>SUM(C274:C277)</f>
        <v>187834478</v>
      </c>
      <c r="D278" s="107"/>
      <c r="E278" s="107"/>
      <c r="F278" s="107"/>
      <c r="G278" s="116">
        <f>SUM(G274:G277)</f>
        <v>9391723.9000000004</v>
      </c>
      <c r="H278" s="107"/>
      <c r="I278" s="107"/>
      <c r="J278" s="107"/>
      <c r="K278" s="107"/>
      <c r="L278" s="99"/>
      <c r="M278" s="99"/>
      <c r="N278" s="113">
        <f>SUM(N274:N277)</f>
        <v>139382771.23965761</v>
      </c>
      <c r="O278" s="99"/>
      <c r="P278" s="116">
        <f>SUM(P274:P277)</f>
        <v>129991047.33965759</v>
      </c>
      <c r="Q278" s="116">
        <f>SUM(Q274:Q277)</f>
        <v>5775438.926384679</v>
      </c>
      <c r="R278" s="116">
        <f>SUM(R274:R277)</f>
        <v>133607332.31327292</v>
      </c>
      <c r="S278" s="145">
        <f>R278-'Note 12 Fixed Assets 20-21'!M12</f>
        <v>11715321.63603805</v>
      </c>
    </row>
    <row r="279" spans="1:19" s="120" customFormat="1" ht="15">
      <c r="A279" s="101"/>
      <c r="B279" s="111"/>
      <c r="C279" s="117"/>
      <c r="D279" s="111"/>
      <c r="E279" s="111"/>
      <c r="F279" s="111"/>
      <c r="G279" s="114"/>
      <c r="H279" s="111"/>
      <c r="I279" s="111"/>
      <c r="J279" s="111"/>
      <c r="K279" s="111"/>
      <c r="L279" s="114"/>
      <c r="M279" s="114"/>
      <c r="N279" s="118"/>
      <c r="O279" s="114"/>
      <c r="P279" s="114"/>
      <c r="Q279" s="119"/>
      <c r="R279" s="119"/>
    </row>
    <row r="280" spans="1:19" ht="15">
      <c r="A280" s="189" t="s">
        <v>11</v>
      </c>
      <c r="B280" s="190"/>
      <c r="C280" s="190"/>
      <c r="D280" s="190"/>
      <c r="E280" s="190"/>
      <c r="F280" s="190"/>
      <c r="G280" s="191"/>
      <c r="H280" s="190"/>
      <c r="I280" s="190"/>
      <c r="J280" s="190"/>
      <c r="K280" s="190"/>
      <c r="L280" s="191"/>
      <c r="M280" s="191"/>
      <c r="N280" s="167"/>
      <c r="O280" s="191">
        <v>30</v>
      </c>
      <c r="P280" s="191"/>
      <c r="Q280" s="167"/>
      <c r="R280" s="167"/>
      <c r="S280" s="192"/>
    </row>
    <row r="281" spans="1:19" ht="15">
      <c r="A281" s="190" t="s">
        <v>127</v>
      </c>
      <c r="B281" s="193">
        <v>39539</v>
      </c>
      <c r="C281" s="194">
        <v>4800</v>
      </c>
      <c r="D281" s="190"/>
      <c r="E281" s="190"/>
      <c r="F281" s="190"/>
      <c r="G281" s="191">
        <f t="shared" ref="G281" si="58">C281*5%</f>
        <v>240</v>
      </c>
      <c r="H281" s="190"/>
      <c r="I281" s="190"/>
      <c r="J281" s="190"/>
      <c r="K281" s="190">
        <f>$K$2-B281</f>
        <v>3651</v>
      </c>
      <c r="L281" s="191">
        <f t="shared" ref="L281" si="59">K281/365</f>
        <v>10.002739726027396</v>
      </c>
      <c r="M281" s="191">
        <v>1151.242456096649</v>
      </c>
      <c r="N281" s="167">
        <f>C281-M281</f>
        <v>3648.7575439033508</v>
      </c>
      <c r="O281" s="191">
        <f t="shared" ref="O281" si="60">$O$280-L281</f>
        <v>19.997260273972604</v>
      </c>
      <c r="P281" s="191">
        <f>N281-G281</f>
        <v>3408.7575439033508</v>
      </c>
      <c r="Q281" s="167">
        <f>P281/O281</f>
        <v>170.46122804832484</v>
      </c>
      <c r="R281" s="167">
        <f t="shared" ref="R281" si="61">N281-Q281</f>
        <v>3478.296315855026</v>
      </c>
      <c r="S281" s="192"/>
    </row>
    <row r="282" spans="1:19">
      <c r="A282" s="190" t="s">
        <v>127</v>
      </c>
      <c r="B282" s="193">
        <v>39574</v>
      </c>
      <c r="C282" s="190">
        <v>49972</v>
      </c>
      <c r="D282" s="190"/>
      <c r="E282" s="190"/>
      <c r="F282" s="190"/>
      <c r="G282" s="191">
        <f>C282*5%</f>
        <v>2498.6000000000004</v>
      </c>
      <c r="H282" s="190"/>
      <c r="I282" s="190"/>
      <c r="J282" s="190"/>
      <c r="K282" s="190">
        <f>$K$2-B282</f>
        <v>3616</v>
      </c>
      <c r="L282" s="191">
        <f>K282/365</f>
        <v>9.9068493150684933</v>
      </c>
      <c r="M282" s="191">
        <v>47334.753680872134</v>
      </c>
      <c r="N282" s="167">
        <f>C282-M282</f>
        <v>2637.2463191278657</v>
      </c>
      <c r="O282" s="191">
        <f>$O$280-L282</f>
        <v>20.093150684931508</v>
      </c>
      <c r="P282" s="191">
        <f>N282-G282</f>
        <v>138.64631912786535</v>
      </c>
      <c r="Q282" s="167">
        <f>P282/O282</f>
        <v>6.900178140396898</v>
      </c>
      <c r="R282" s="167">
        <f>N282-Q282</f>
        <v>2630.346140987469</v>
      </c>
      <c r="S282" s="192"/>
    </row>
    <row r="283" spans="1:19">
      <c r="A283" s="190" t="s">
        <v>127</v>
      </c>
      <c r="B283" s="193">
        <v>39637</v>
      </c>
      <c r="C283" s="190">
        <v>84328</v>
      </c>
      <c r="D283" s="190"/>
      <c r="E283" s="190"/>
      <c r="F283" s="190"/>
      <c r="G283" s="191">
        <f>C283*5%</f>
        <v>4216.4000000000005</v>
      </c>
      <c r="H283" s="190"/>
      <c r="I283" s="190"/>
      <c r="J283" s="190"/>
      <c r="K283" s="190">
        <f>$K$2-B283</f>
        <v>3553</v>
      </c>
      <c r="L283" s="191">
        <f>K283/365</f>
        <v>9.7342465753424658</v>
      </c>
      <c r="M283" s="191">
        <v>19784.659227419528</v>
      </c>
      <c r="N283" s="167">
        <f>C283-M283</f>
        <v>64543.340772580472</v>
      </c>
      <c r="O283" s="191">
        <f>$O$280-L283</f>
        <v>20.265753424657532</v>
      </c>
      <c r="P283" s="191">
        <f>N283-G283</f>
        <v>60326.94077258047</v>
      </c>
      <c r="Q283" s="167">
        <f>P283/O283</f>
        <v>2976.7923998907495</v>
      </c>
      <c r="R283" s="167">
        <f>N283-Q283</f>
        <v>61566.548372689722</v>
      </c>
      <c r="S283" s="192"/>
    </row>
    <row r="284" spans="1:19">
      <c r="A284" s="190" t="s">
        <v>127</v>
      </c>
      <c r="B284" s="193">
        <v>39903</v>
      </c>
      <c r="C284" s="190">
        <v>57706</v>
      </c>
      <c r="D284" s="190"/>
      <c r="E284" s="190"/>
      <c r="F284" s="190"/>
      <c r="G284" s="191">
        <f>C284*5%</f>
        <v>2885.3</v>
      </c>
      <c r="H284" s="190"/>
      <c r="I284" s="190"/>
      <c r="J284" s="190"/>
      <c r="K284" s="190">
        <f>$K$2-B284</f>
        <v>3287</v>
      </c>
      <c r="L284" s="191">
        <f>K284/365</f>
        <v>9.0054794520547947</v>
      </c>
      <c r="M284" s="191">
        <v>12725.386009932896</v>
      </c>
      <c r="N284" s="167">
        <f>C284-M284</f>
        <v>44980.613990067104</v>
      </c>
      <c r="O284" s="191">
        <f>$O$280-L284</f>
        <v>20.994520547945207</v>
      </c>
      <c r="P284" s="191">
        <f>N284-G284</f>
        <v>42095.313990067101</v>
      </c>
      <c r="Q284" s="167">
        <f>P284/O284</f>
        <v>2005.0619348002729</v>
      </c>
      <c r="R284" s="167">
        <f>N284-Q284</f>
        <v>42975.552055266831</v>
      </c>
      <c r="S284" s="192"/>
    </row>
    <row r="285" spans="1:19">
      <c r="A285" s="190" t="s">
        <v>127</v>
      </c>
      <c r="B285" s="193">
        <v>40633</v>
      </c>
      <c r="C285" s="190">
        <v>6184580</v>
      </c>
      <c r="D285" s="190"/>
      <c r="E285" s="190"/>
      <c r="F285" s="190"/>
      <c r="G285" s="191">
        <f>C285*5%</f>
        <v>309229</v>
      </c>
      <c r="H285" s="190"/>
      <c r="I285" s="190"/>
      <c r="J285" s="190"/>
      <c r="K285" s="190">
        <f>$K$2-B285</f>
        <v>2557</v>
      </c>
      <c r="L285" s="191">
        <f>K285/365</f>
        <v>7.0054794520547947</v>
      </c>
      <c r="M285" s="191">
        <v>1128408.7900876305</v>
      </c>
      <c r="N285" s="167">
        <f>C285-M285</f>
        <v>5056171.209912369</v>
      </c>
      <c r="O285" s="191">
        <f>$O$280-L285</f>
        <v>22.994520547945207</v>
      </c>
      <c r="P285" s="191">
        <f>N285-G285</f>
        <v>4746942.209912369</v>
      </c>
      <c r="Q285" s="167">
        <f>P285/O285</f>
        <v>206437.97290813946</v>
      </c>
      <c r="R285" s="167">
        <f>N285-Q285</f>
        <v>4849733.2370042298</v>
      </c>
      <c r="S285" s="192"/>
    </row>
    <row r="286" spans="1:19" ht="15">
      <c r="A286" s="101" t="s">
        <v>129</v>
      </c>
      <c r="B286" s="107"/>
      <c r="C286" s="116">
        <f>SUM(C281:C285)</f>
        <v>6381386</v>
      </c>
      <c r="D286" s="107"/>
      <c r="E286" s="107"/>
      <c r="F286" s="107"/>
      <c r="G286" s="116">
        <f>SUM(G281:G285)</f>
        <v>319069.3</v>
      </c>
      <c r="H286" s="107"/>
      <c r="I286" s="107"/>
      <c r="J286" s="107"/>
      <c r="K286" s="107"/>
      <c r="L286" s="99"/>
      <c r="M286" s="99"/>
      <c r="N286" s="113">
        <f>SUM(N281:N285)</f>
        <v>5171981.1685380479</v>
      </c>
      <c r="O286" s="99"/>
      <c r="P286" s="116">
        <f>SUM(P281:P285)</f>
        <v>4852911.8685380481</v>
      </c>
      <c r="Q286" s="116">
        <f>SUM(Q281:Q285)</f>
        <v>211597.1886490192</v>
      </c>
      <c r="R286" s="116">
        <f>SUM(R281:R285)</f>
        <v>4960383.9798890287</v>
      </c>
      <c r="S286" s="145">
        <f>R286-'Note 12 Fixed Assets 20-21'!M14</f>
        <v>412776.47547684889</v>
      </c>
    </row>
    <row r="287" spans="1:19" s="120" customFormat="1" ht="15">
      <c r="A287" s="101"/>
      <c r="B287" s="111"/>
      <c r="C287" s="117"/>
      <c r="D287" s="111"/>
      <c r="E287" s="111"/>
      <c r="F287" s="111"/>
      <c r="G287" s="114"/>
      <c r="H287" s="111"/>
      <c r="I287" s="111"/>
      <c r="J287" s="111"/>
      <c r="K287" s="111"/>
      <c r="L287" s="114"/>
      <c r="M287" s="114"/>
      <c r="N287" s="118"/>
      <c r="O287" s="114"/>
      <c r="P287" s="114"/>
      <c r="Q287" s="119"/>
      <c r="R287" s="119"/>
    </row>
    <row r="288" spans="1:19" ht="15">
      <c r="A288" s="101" t="s">
        <v>9</v>
      </c>
      <c r="B288" s="107"/>
      <c r="C288" s="111"/>
      <c r="D288" s="107"/>
      <c r="E288" s="107"/>
      <c r="F288" s="107"/>
      <c r="G288" s="99"/>
      <c r="H288" s="107"/>
      <c r="I288" s="107"/>
      <c r="J288" s="107"/>
      <c r="K288" s="107"/>
      <c r="L288" s="99"/>
      <c r="M288" s="99"/>
      <c r="N288" s="100"/>
      <c r="O288" s="106">
        <v>10</v>
      </c>
      <c r="P288" s="99"/>
      <c r="Q288" s="100"/>
      <c r="R288" s="100"/>
    </row>
    <row r="289" spans="1:19">
      <c r="A289" s="107" t="s">
        <v>130</v>
      </c>
      <c r="B289" s="105">
        <v>39539</v>
      </c>
      <c r="C289" s="107">
        <v>281685</v>
      </c>
      <c r="D289" s="107"/>
      <c r="E289" s="107"/>
      <c r="F289" s="107"/>
      <c r="G289" s="99">
        <f>C289*5%</f>
        <v>14084.25</v>
      </c>
      <c r="H289" s="107"/>
      <c r="I289" s="107"/>
      <c r="J289" s="107"/>
      <c r="K289" s="107">
        <f t="shared" ref="K289:K301" si="62">$K$2-B289</f>
        <v>3651</v>
      </c>
      <c r="L289" s="99">
        <f t="shared" ref="L289:L301" si="63">K289/365</f>
        <v>10.002739726027396</v>
      </c>
      <c r="M289" s="99">
        <v>267729.22772633738</v>
      </c>
      <c r="N289" s="100">
        <f t="shared" ref="N289:N301" si="64">C289-M289</f>
        <v>13955.772273662616</v>
      </c>
      <c r="O289" s="99">
        <f>$O$288-L289</f>
        <v>-2.7397260273964719E-3</v>
      </c>
      <c r="P289" s="99">
        <v>0</v>
      </c>
      <c r="Q289" s="100">
        <f t="shared" ref="Q289:Q301" si="65">P289/O289</f>
        <v>0</v>
      </c>
      <c r="R289" s="100">
        <f t="shared" ref="R289:R301" si="66">N289-Q289</f>
        <v>13955.772273662616</v>
      </c>
    </row>
    <row r="290" spans="1:19">
      <c r="A290" s="107" t="s">
        <v>130</v>
      </c>
      <c r="B290" s="105">
        <v>39547</v>
      </c>
      <c r="C290" s="107">
        <v>277875</v>
      </c>
      <c r="D290" s="107"/>
      <c r="E290" s="107"/>
      <c r="F290" s="107"/>
      <c r="G290" s="99">
        <f t="shared" ref="G290:G301" si="67">C290*5%</f>
        <v>13893.75</v>
      </c>
      <c r="H290" s="107"/>
      <c r="I290" s="107"/>
      <c r="J290" s="107"/>
      <c r="K290" s="107">
        <f t="shared" si="62"/>
        <v>3643</v>
      </c>
      <c r="L290" s="99">
        <f t="shared" si="63"/>
        <v>9.9808219178082194</v>
      </c>
      <c r="M290" s="99">
        <v>263097.53676187142</v>
      </c>
      <c r="N290" s="100">
        <f t="shared" si="64"/>
        <v>14777.463238128577</v>
      </c>
      <c r="O290" s="99">
        <f t="shared" ref="O290:O301" si="68">$O$288-L290</f>
        <v>1.9178082191780632E-2</v>
      </c>
      <c r="P290" s="99">
        <f t="shared" ref="P290:P301" si="69">N290-G290</f>
        <v>883.71323812857736</v>
      </c>
      <c r="Q290" s="100">
        <f t="shared" ref="Q290:Q300" si="70">P290</f>
        <v>883.71323812857736</v>
      </c>
      <c r="R290" s="100">
        <f t="shared" si="66"/>
        <v>13893.75</v>
      </c>
    </row>
    <row r="291" spans="1:19">
      <c r="A291" s="107" t="s">
        <v>130</v>
      </c>
      <c r="B291" s="105">
        <v>39548</v>
      </c>
      <c r="C291" s="107">
        <v>22042</v>
      </c>
      <c r="D291" s="107"/>
      <c r="E291" s="107"/>
      <c r="F291" s="107"/>
      <c r="G291" s="99">
        <f t="shared" si="67"/>
        <v>1102.1000000000001</v>
      </c>
      <c r="H291" s="107"/>
      <c r="I291" s="107"/>
      <c r="J291" s="107"/>
      <c r="K291" s="107">
        <f t="shared" si="62"/>
        <v>3642</v>
      </c>
      <c r="L291" s="99">
        <f t="shared" si="63"/>
        <v>9.9780821917808211</v>
      </c>
      <c r="M291" s="99">
        <v>20859.825701890848</v>
      </c>
      <c r="N291" s="100">
        <f t="shared" si="64"/>
        <v>1182.174298109152</v>
      </c>
      <c r="O291" s="99">
        <f t="shared" si="68"/>
        <v>2.191780821917888E-2</v>
      </c>
      <c r="P291" s="99">
        <f t="shared" si="69"/>
        <v>80.074298109151869</v>
      </c>
      <c r="Q291" s="100">
        <f t="shared" si="70"/>
        <v>80.074298109151869</v>
      </c>
      <c r="R291" s="100">
        <f t="shared" si="66"/>
        <v>1102.1000000000001</v>
      </c>
    </row>
    <row r="292" spans="1:19">
      <c r="A292" s="107" t="s">
        <v>130</v>
      </c>
      <c r="B292" s="105">
        <v>39561</v>
      </c>
      <c r="C292" s="107">
        <v>500000</v>
      </c>
      <c r="D292" s="107"/>
      <c r="E292" s="107"/>
      <c r="F292" s="107"/>
      <c r="G292" s="99">
        <f t="shared" si="67"/>
        <v>25000</v>
      </c>
      <c r="H292" s="107"/>
      <c r="I292" s="107"/>
      <c r="J292" s="107"/>
      <c r="K292" s="107">
        <f t="shared" si="62"/>
        <v>3629</v>
      </c>
      <c r="L292" s="99">
        <f t="shared" si="63"/>
        <v>9.9424657534246581</v>
      </c>
      <c r="M292" s="99">
        <v>470261.87633208412</v>
      </c>
      <c r="N292" s="100">
        <f t="shared" si="64"/>
        <v>29738.123667915876</v>
      </c>
      <c r="O292" s="99">
        <f t="shared" si="68"/>
        <v>5.7534246575341896E-2</v>
      </c>
      <c r="P292" s="99">
        <f t="shared" si="69"/>
        <v>4738.1236679158756</v>
      </c>
      <c r="Q292" s="100">
        <f t="shared" si="70"/>
        <v>4738.1236679158756</v>
      </c>
      <c r="R292" s="100">
        <f t="shared" si="66"/>
        <v>25000</v>
      </c>
    </row>
    <row r="293" spans="1:19">
      <c r="A293" s="107" t="s">
        <v>130</v>
      </c>
      <c r="B293" s="105">
        <v>39568</v>
      </c>
      <c r="C293" s="107">
        <v>26000</v>
      </c>
      <c r="D293" s="107"/>
      <c r="E293" s="107"/>
      <c r="F293" s="107"/>
      <c r="G293" s="99">
        <f t="shared" si="67"/>
        <v>1300</v>
      </c>
      <c r="H293" s="107"/>
      <c r="I293" s="107"/>
      <c r="J293" s="107"/>
      <c r="K293" s="107">
        <f t="shared" si="62"/>
        <v>3622</v>
      </c>
      <c r="L293" s="99">
        <f t="shared" si="63"/>
        <v>9.9232876712328775</v>
      </c>
      <c r="M293" s="99">
        <v>24372.592506782734</v>
      </c>
      <c r="N293" s="100">
        <f t="shared" si="64"/>
        <v>1627.4074932172662</v>
      </c>
      <c r="O293" s="99">
        <f t="shared" si="68"/>
        <v>7.6712328767122528E-2</v>
      </c>
      <c r="P293" s="99">
        <f t="shared" si="69"/>
        <v>327.40749321726616</v>
      </c>
      <c r="Q293" s="100">
        <f t="shared" si="70"/>
        <v>327.40749321726616</v>
      </c>
      <c r="R293" s="100">
        <f t="shared" si="66"/>
        <v>1300</v>
      </c>
    </row>
    <row r="294" spans="1:19">
      <c r="A294" s="107" t="s">
        <v>130</v>
      </c>
      <c r="B294" s="105">
        <v>39571</v>
      </c>
      <c r="C294" s="107">
        <v>8200</v>
      </c>
      <c r="D294" s="107"/>
      <c r="E294" s="107"/>
      <c r="F294" s="107"/>
      <c r="G294" s="99">
        <f t="shared" si="67"/>
        <v>410</v>
      </c>
      <c r="H294" s="107"/>
      <c r="I294" s="107"/>
      <c r="J294" s="107"/>
      <c r="K294" s="107">
        <f t="shared" si="62"/>
        <v>3619</v>
      </c>
      <c r="L294" s="99">
        <f t="shared" si="63"/>
        <v>9.9150684931506845</v>
      </c>
      <c r="M294" s="99">
        <v>7675.8410790429862</v>
      </c>
      <c r="N294" s="100">
        <f t="shared" si="64"/>
        <v>524.15892095701383</v>
      </c>
      <c r="O294" s="99">
        <f t="shared" si="68"/>
        <v>8.4931506849315497E-2</v>
      </c>
      <c r="P294" s="99">
        <f t="shared" si="69"/>
        <v>114.15892095701383</v>
      </c>
      <c r="Q294" s="100">
        <f t="shared" si="70"/>
        <v>114.15892095701383</v>
      </c>
      <c r="R294" s="100">
        <f t="shared" si="66"/>
        <v>410</v>
      </c>
    </row>
    <row r="295" spans="1:19">
      <c r="A295" s="107" t="s">
        <v>130</v>
      </c>
      <c r="B295" s="105">
        <v>39578</v>
      </c>
      <c r="C295" s="107">
        <v>3100</v>
      </c>
      <c r="D295" s="107"/>
      <c r="E295" s="107"/>
      <c r="F295" s="107"/>
      <c r="G295" s="99">
        <f t="shared" si="67"/>
        <v>155</v>
      </c>
      <c r="H295" s="107"/>
      <c r="I295" s="107"/>
      <c r="J295" s="107"/>
      <c r="K295" s="107">
        <f t="shared" si="62"/>
        <v>3612</v>
      </c>
      <c r="L295" s="99">
        <f t="shared" si="63"/>
        <v>9.8958904109589039</v>
      </c>
      <c r="M295" s="99">
        <v>2892.2730786337106</v>
      </c>
      <c r="N295" s="100">
        <f t="shared" si="64"/>
        <v>207.72692136628939</v>
      </c>
      <c r="O295" s="99">
        <f t="shared" si="68"/>
        <v>0.10410958904109613</v>
      </c>
      <c r="P295" s="99">
        <f t="shared" si="69"/>
        <v>52.726921366289389</v>
      </c>
      <c r="Q295" s="100">
        <f t="shared" si="70"/>
        <v>52.726921366289389</v>
      </c>
      <c r="R295" s="100">
        <f t="shared" si="66"/>
        <v>155</v>
      </c>
    </row>
    <row r="296" spans="1:19">
      <c r="A296" s="107" t="s">
        <v>130</v>
      </c>
      <c r="B296" s="105">
        <v>39580</v>
      </c>
      <c r="C296" s="107">
        <v>3400</v>
      </c>
      <c r="D296" s="107"/>
      <c r="E296" s="107"/>
      <c r="F296" s="107"/>
      <c r="G296" s="99">
        <f t="shared" si="67"/>
        <v>170</v>
      </c>
      <c r="H296" s="107"/>
      <c r="I296" s="107"/>
      <c r="J296" s="107"/>
      <c r="K296" s="107">
        <f t="shared" si="62"/>
        <v>3610</v>
      </c>
      <c r="L296" s="99">
        <f t="shared" si="63"/>
        <v>9.8904109589041092</v>
      </c>
      <c r="M296" s="99">
        <v>3169.1845164719098</v>
      </c>
      <c r="N296" s="100">
        <f t="shared" si="64"/>
        <v>230.81548352809023</v>
      </c>
      <c r="O296" s="99">
        <f t="shared" si="68"/>
        <v>0.10958904109589085</v>
      </c>
      <c r="P296" s="99">
        <f t="shared" si="69"/>
        <v>60.815483528090226</v>
      </c>
      <c r="Q296" s="100">
        <f t="shared" si="70"/>
        <v>60.815483528090226</v>
      </c>
      <c r="R296" s="100">
        <f t="shared" si="66"/>
        <v>170</v>
      </c>
    </row>
    <row r="297" spans="1:19">
      <c r="A297" s="107" t="s">
        <v>130</v>
      </c>
      <c r="B297" s="105">
        <v>39903</v>
      </c>
      <c r="C297" s="107">
        <f>2747889+5501475</f>
        <v>8249364</v>
      </c>
      <c r="D297" s="107"/>
      <c r="E297" s="107"/>
      <c r="F297" s="107"/>
      <c r="G297" s="99">
        <f t="shared" si="67"/>
        <v>412468.2</v>
      </c>
      <c r="H297" s="107"/>
      <c r="I297" s="107"/>
      <c r="J297" s="107"/>
      <c r="K297" s="107">
        <f t="shared" si="62"/>
        <v>3287</v>
      </c>
      <c r="L297" s="99">
        <f t="shared" si="63"/>
        <v>9.0054794520547947</v>
      </c>
      <c r="M297" s="99">
        <v>6888505.7002438344</v>
      </c>
      <c r="N297" s="100">
        <f t="shared" si="64"/>
        <v>1360858.2997561656</v>
      </c>
      <c r="O297" s="99">
        <f t="shared" si="68"/>
        <v>0.99452054794520528</v>
      </c>
      <c r="P297" s="99">
        <f t="shared" si="69"/>
        <v>948390.09975616564</v>
      </c>
      <c r="Q297" s="100">
        <f t="shared" si="70"/>
        <v>948390.09975616564</v>
      </c>
      <c r="R297" s="100">
        <f t="shared" si="66"/>
        <v>412468.19999999995</v>
      </c>
    </row>
    <row r="298" spans="1:19">
      <c r="A298" s="107" t="s">
        <v>131</v>
      </c>
      <c r="B298" s="105">
        <v>39903</v>
      </c>
      <c r="C298" s="107">
        <v>7993916</v>
      </c>
      <c r="D298" s="107"/>
      <c r="E298" s="107"/>
      <c r="F298" s="107"/>
      <c r="G298" s="99">
        <f t="shared" si="67"/>
        <v>399695.80000000005</v>
      </c>
      <c r="H298" s="107"/>
      <c r="I298" s="107"/>
      <c r="J298" s="107"/>
      <c r="K298" s="107">
        <f t="shared" si="62"/>
        <v>3287</v>
      </c>
      <c r="L298" s="99">
        <f t="shared" si="63"/>
        <v>9.0054794520547947</v>
      </c>
      <c r="M298" s="99">
        <v>6459878.0505768312</v>
      </c>
      <c r="N298" s="100">
        <f t="shared" si="64"/>
        <v>1534037.9494231688</v>
      </c>
      <c r="O298" s="99">
        <f t="shared" si="68"/>
        <v>0.99452054794520528</v>
      </c>
      <c r="P298" s="99">
        <f t="shared" si="69"/>
        <v>1134342.1494231687</v>
      </c>
      <c r="Q298" s="100">
        <f t="shared" si="70"/>
        <v>1134342.1494231687</v>
      </c>
      <c r="R298" s="100">
        <f t="shared" si="66"/>
        <v>399695.80000000005</v>
      </c>
    </row>
    <row r="299" spans="1:19">
      <c r="A299" s="107" t="s">
        <v>132</v>
      </c>
      <c r="B299" s="105">
        <v>39903</v>
      </c>
      <c r="C299" s="107">
        <v>12314973</v>
      </c>
      <c r="D299" s="107"/>
      <c r="E299" s="107"/>
      <c r="F299" s="107"/>
      <c r="G299" s="99">
        <f t="shared" si="67"/>
        <v>615748.65</v>
      </c>
      <c r="H299" s="107"/>
      <c r="I299" s="107"/>
      <c r="J299" s="107"/>
      <c r="K299" s="107">
        <f t="shared" si="62"/>
        <v>3287</v>
      </c>
      <c r="L299" s="99">
        <f t="shared" si="63"/>
        <v>9.0054794520547947</v>
      </c>
      <c r="M299" s="99">
        <v>9951721.2560335007</v>
      </c>
      <c r="N299" s="100">
        <f t="shared" si="64"/>
        <v>2363251.7439664993</v>
      </c>
      <c r="O299" s="99">
        <f t="shared" si="68"/>
        <v>0.99452054794520528</v>
      </c>
      <c r="P299" s="99">
        <f t="shared" si="69"/>
        <v>1747503.0939664994</v>
      </c>
      <c r="Q299" s="100">
        <f t="shared" si="70"/>
        <v>1747503.0939664994</v>
      </c>
      <c r="R299" s="100">
        <f t="shared" si="66"/>
        <v>615748.64999999991</v>
      </c>
    </row>
    <row r="300" spans="1:19">
      <c r="A300" s="107" t="s">
        <v>133</v>
      </c>
      <c r="B300" s="105">
        <v>39903</v>
      </c>
      <c r="C300" s="107">
        <v>970775</v>
      </c>
      <c r="D300" s="107"/>
      <c r="E300" s="107"/>
      <c r="F300" s="107"/>
      <c r="G300" s="99">
        <f t="shared" si="67"/>
        <v>48538.75</v>
      </c>
      <c r="H300" s="107"/>
      <c r="I300" s="107"/>
      <c r="J300" s="107"/>
      <c r="K300" s="107">
        <f t="shared" si="62"/>
        <v>3287</v>
      </c>
      <c r="L300" s="99">
        <f t="shared" si="63"/>
        <v>9.0054794520547947</v>
      </c>
      <c r="M300" s="99">
        <v>784482.61334604002</v>
      </c>
      <c r="N300" s="100">
        <f t="shared" si="64"/>
        <v>186292.38665395998</v>
      </c>
      <c r="O300" s="99">
        <f t="shared" si="68"/>
        <v>0.99452054794520528</v>
      </c>
      <c r="P300" s="99">
        <f t="shared" si="69"/>
        <v>137753.63665395998</v>
      </c>
      <c r="Q300" s="100">
        <f t="shared" si="70"/>
        <v>137753.63665395998</v>
      </c>
      <c r="R300" s="100">
        <f t="shared" si="66"/>
        <v>48538.75</v>
      </c>
    </row>
    <row r="301" spans="1:19">
      <c r="A301" s="107" t="s">
        <v>130</v>
      </c>
      <c r="B301" s="105">
        <v>40481</v>
      </c>
      <c r="C301" s="107">
        <v>50186400</v>
      </c>
      <c r="D301" s="107"/>
      <c r="E301" s="107"/>
      <c r="F301" s="107"/>
      <c r="G301" s="99">
        <f t="shared" si="67"/>
        <v>2509320</v>
      </c>
      <c r="H301" s="107"/>
      <c r="I301" s="107"/>
      <c r="J301" s="107"/>
      <c r="K301" s="107">
        <f t="shared" si="62"/>
        <v>2709</v>
      </c>
      <c r="L301" s="99">
        <f t="shared" si="63"/>
        <v>7.4219178082191783</v>
      </c>
      <c r="M301" s="99">
        <v>32183129.939750064</v>
      </c>
      <c r="N301" s="100">
        <f t="shared" si="64"/>
        <v>18003270.060249936</v>
      </c>
      <c r="O301" s="99">
        <f t="shared" si="68"/>
        <v>2.5780821917808217</v>
      </c>
      <c r="P301" s="99">
        <f t="shared" si="69"/>
        <v>15493950.060249936</v>
      </c>
      <c r="Q301" s="100">
        <f t="shared" si="65"/>
        <v>6009874.3591830255</v>
      </c>
      <c r="R301" s="100">
        <f t="shared" si="66"/>
        <v>11993395.701066911</v>
      </c>
    </row>
    <row r="302" spans="1:19" ht="15">
      <c r="A302" s="132" t="s">
        <v>134</v>
      </c>
      <c r="B302" s="107"/>
      <c r="C302" s="116">
        <f>SUM(C289:C301)</f>
        <v>80837730</v>
      </c>
      <c r="D302" s="107"/>
      <c r="E302" s="107"/>
      <c r="F302" s="107"/>
      <c r="G302" s="116">
        <f>SUM(G289:G301)</f>
        <v>4041886.5</v>
      </c>
      <c r="H302" s="107"/>
      <c r="I302" s="107"/>
      <c r="J302" s="107"/>
      <c r="K302" s="107"/>
      <c r="L302" s="99"/>
      <c r="M302" s="99"/>
      <c r="N302" s="113">
        <f>SUM(N289:N301)</f>
        <v>23509954.082346614</v>
      </c>
      <c r="O302" s="99"/>
      <c r="P302" s="116">
        <f>SUM(P289:P301)</f>
        <v>19468196.060072951</v>
      </c>
      <c r="Q302" s="116">
        <f>SUM(Q289:Q301)</f>
        <v>9984120.3590060417</v>
      </c>
      <c r="R302" s="116">
        <f>SUM(R289:R301)</f>
        <v>13525833.723340575</v>
      </c>
      <c r="S302" s="145"/>
    </row>
    <row r="303" spans="1:19" s="120" customFormat="1" ht="15">
      <c r="A303" s="101"/>
      <c r="B303" s="111"/>
      <c r="C303" s="117"/>
      <c r="D303" s="111"/>
      <c r="E303" s="111"/>
      <c r="F303" s="111"/>
      <c r="G303" s="114"/>
      <c r="H303" s="111"/>
      <c r="I303" s="111"/>
      <c r="J303" s="111"/>
      <c r="K303" s="111"/>
      <c r="L303" s="114"/>
      <c r="M303" s="114"/>
      <c r="N303" s="119"/>
      <c r="O303" s="114"/>
      <c r="P303" s="119"/>
      <c r="Q303" s="119"/>
      <c r="R303" s="119"/>
    </row>
    <row r="304" spans="1:19" ht="15">
      <c r="A304" s="132" t="s">
        <v>5</v>
      </c>
      <c r="B304" s="107"/>
      <c r="C304" s="111"/>
      <c r="D304" s="107"/>
      <c r="E304" s="107"/>
      <c r="F304" s="107"/>
      <c r="G304" s="99"/>
      <c r="H304" s="107"/>
      <c r="I304" s="107"/>
      <c r="J304" s="107"/>
      <c r="K304" s="107"/>
      <c r="L304" s="99"/>
      <c r="M304" s="99"/>
      <c r="N304" s="100"/>
      <c r="O304" s="106">
        <v>3</v>
      </c>
      <c r="P304" s="99"/>
      <c r="Q304" s="100"/>
      <c r="R304" s="100"/>
    </row>
    <row r="305" spans="1:19">
      <c r="A305" s="107" t="s">
        <v>5</v>
      </c>
      <c r="B305" s="105">
        <v>39152</v>
      </c>
      <c r="C305" s="107">
        <v>24200</v>
      </c>
      <c r="D305" s="107"/>
      <c r="E305" s="107"/>
      <c r="F305" s="107"/>
      <c r="G305" s="99">
        <f>C305*5%</f>
        <v>1210</v>
      </c>
      <c r="H305" s="107"/>
      <c r="I305" s="107"/>
      <c r="J305" s="107"/>
      <c r="K305" s="107">
        <f t="shared" ref="K305:K347" si="71">$K$2-B305</f>
        <v>4038</v>
      </c>
      <c r="L305" s="99">
        <f t="shared" ref="L305:L347" si="72">K305/365</f>
        <v>11.063013698630137</v>
      </c>
      <c r="M305" s="99">
        <v>22990</v>
      </c>
      <c r="N305" s="100">
        <f t="shared" ref="N305:N347" si="73">C305-M305</f>
        <v>1210</v>
      </c>
      <c r="O305" s="114">
        <f>$O$304-L305</f>
        <v>-8.0630136986301366</v>
      </c>
      <c r="P305" s="114">
        <f t="shared" ref="P305:P347" si="74">N305-G305</f>
        <v>0</v>
      </c>
      <c r="Q305" s="118">
        <v>0</v>
      </c>
      <c r="R305" s="118">
        <f>G305</f>
        <v>1210</v>
      </c>
      <c r="S305" s="141">
        <f>G305-R305</f>
        <v>0</v>
      </c>
    </row>
    <row r="306" spans="1:19" ht="15">
      <c r="A306" s="107" t="s">
        <v>5</v>
      </c>
      <c r="B306" s="105">
        <v>39526</v>
      </c>
      <c r="C306" s="143">
        <v>73514</v>
      </c>
      <c r="D306" s="107"/>
      <c r="E306" s="107"/>
      <c r="F306" s="107"/>
      <c r="G306" s="99">
        <f t="shared" ref="G306:G347" si="75">C306*5%</f>
        <v>3675.7000000000003</v>
      </c>
      <c r="H306" s="107"/>
      <c r="I306" s="107"/>
      <c r="J306" s="107"/>
      <c r="K306" s="107">
        <f t="shared" si="71"/>
        <v>3664</v>
      </c>
      <c r="L306" s="99">
        <f t="shared" si="72"/>
        <v>10.038356164383561</v>
      </c>
      <c r="M306" s="99">
        <v>69838.3</v>
      </c>
      <c r="N306" s="100">
        <f t="shared" si="73"/>
        <v>3675.6999999999971</v>
      </c>
      <c r="O306" s="114">
        <f t="shared" ref="O306:O347" si="76">$O$304-L306</f>
        <v>-7.0383561643835613</v>
      </c>
      <c r="P306" s="114">
        <f t="shared" si="74"/>
        <v>0</v>
      </c>
      <c r="Q306" s="118">
        <v>0</v>
      </c>
      <c r="R306" s="118">
        <f t="shared" ref="R306:R330" si="77">G306</f>
        <v>3675.7000000000003</v>
      </c>
      <c r="S306" s="141">
        <f t="shared" ref="S306:S347" si="78">G306-R306</f>
        <v>0</v>
      </c>
    </row>
    <row r="307" spans="1:19">
      <c r="A307" s="107" t="s">
        <v>135</v>
      </c>
      <c r="B307" s="105">
        <v>39569</v>
      </c>
      <c r="C307" s="107">
        <v>39500</v>
      </c>
      <c r="D307" s="107"/>
      <c r="E307" s="107"/>
      <c r="F307" s="107"/>
      <c r="G307" s="99">
        <f t="shared" si="75"/>
        <v>1975</v>
      </c>
      <c r="H307" s="107"/>
      <c r="I307" s="107"/>
      <c r="J307" s="107"/>
      <c r="K307" s="107">
        <f t="shared" si="71"/>
        <v>3621</v>
      </c>
      <c r="L307" s="99">
        <f t="shared" si="72"/>
        <v>9.9205479452054792</v>
      </c>
      <c r="M307" s="99">
        <v>37525</v>
      </c>
      <c r="N307" s="100">
        <f t="shared" si="73"/>
        <v>1975</v>
      </c>
      <c r="O307" s="114">
        <f t="shared" si="76"/>
        <v>-6.9205479452054792</v>
      </c>
      <c r="P307" s="114">
        <f t="shared" si="74"/>
        <v>0</v>
      </c>
      <c r="Q307" s="118">
        <v>0</v>
      </c>
      <c r="R307" s="118">
        <f t="shared" si="77"/>
        <v>1975</v>
      </c>
      <c r="S307" s="141">
        <f t="shared" si="78"/>
        <v>0</v>
      </c>
    </row>
    <row r="308" spans="1:19">
      <c r="A308" s="107" t="s">
        <v>135</v>
      </c>
      <c r="B308" s="105">
        <v>39582</v>
      </c>
      <c r="C308" s="107">
        <v>1650</v>
      </c>
      <c r="D308" s="107"/>
      <c r="E308" s="107"/>
      <c r="F308" s="107"/>
      <c r="G308" s="99">
        <f t="shared" si="75"/>
        <v>82.5</v>
      </c>
      <c r="H308" s="107"/>
      <c r="I308" s="107"/>
      <c r="J308" s="107"/>
      <c r="K308" s="107">
        <f t="shared" si="71"/>
        <v>3608</v>
      </c>
      <c r="L308" s="99">
        <f t="shared" si="72"/>
        <v>9.8849315068493144</v>
      </c>
      <c r="M308" s="99">
        <v>1567.5</v>
      </c>
      <c r="N308" s="100">
        <f t="shared" si="73"/>
        <v>82.5</v>
      </c>
      <c r="O308" s="114">
        <f t="shared" si="76"/>
        <v>-6.8849315068493144</v>
      </c>
      <c r="P308" s="114">
        <f t="shared" si="74"/>
        <v>0</v>
      </c>
      <c r="Q308" s="118">
        <v>0</v>
      </c>
      <c r="R308" s="118">
        <f t="shared" si="77"/>
        <v>82.5</v>
      </c>
      <c r="S308" s="141">
        <f t="shared" si="78"/>
        <v>0</v>
      </c>
    </row>
    <row r="309" spans="1:19">
      <c r="A309" s="107" t="s">
        <v>136</v>
      </c>
      <c r="B309" s="105">
        <v>39899</v>
      </c>
      <c r="C309" s="107">
        <v>85362</v>
      </c>
      <c r="D309" s="107"/>
      <c r="E309" s="107"/>
      <c r="F309" s="107"/>
      <c r="G309" s="99">
        <f t="shared" si="75"/>
        <v>4268.1000000000004</v>
      </c>
      <c r="H309" s="107"/>
      <c r="I309" s="107"/>
      <c r="J309" s="107"/>
      <c r="K309" s="107">
        <f t="shared" si="71"/>
        <v>3291</v>
      </c>
      <c r="L309" s="99">
        <f t="shared" si="72"/>
        <v>9.0164383561643842</v>
      </c>
      <c r="M309" s="99">
        <v>81093.899999999994</v>
      </c>
      <c r="N309" s="100">
        <f t="shared" si="73"/>
        <v>4268.1000000000058</v>
      </c>
      <c r="O309" s="114">
        <f t="shared" si="76"/>
        <v>-6.0164383561643842</v>
      </c>
      <c r="P309" s="114">
        <f t="shared" si="74"/>
        <v>0</v>
      </c>
      <c r="Q309" s="118">
        <v>0</v>
      </c>
      <c r="R309" s="118">
        <f t="shared" si="77"/>
        <v>4268.1000000000004</v>
      </c>
      <c r="S309" s="141">
        <f t="shared" si="78"/>
        <v>0</v>
      </c>
    </row>
    <row r="310" spans="1:19">
      <c r="A310" s="107" t="s">
        <v>137</v>
      </c>
      <c r="B310" s="105">
        <v>39940</v>
      </c>
      <c r="C310" s="107">
        <v>19000</v>
      </c>
      <c r="D310" s="107"/>
      <c r="E310" s="107"/>
      <c r="F310" s="107"/>
      <c r="G310" s="99">
        <f t="shared" si="75"/>
        <v>950</v>
      </c>
      <c r="H310" s="107"/>
      <c r="I310" s="107"/>
      <c r="J310" s="107"/>
      <c r="K310" s="107">
        <f t="shared" si="71"/>
        <v>3250</v>
      </c>
      <c r="L310" s="99">
        <f t="shared" si="72"/>
        <v>8.9041095890410951</v>
      </c>
      <c r="M310" s="99">
        <v>18050</v>
      </c>
      <c r="N310" s="100">
        <f t="shared" si="73"/>
        <v>950</v>
      </c>
      <c r="O310" s="114">
        <f t="shared" si="76"/>
        <v>-5.9041095890410951</v>
      </c>
      <c r="P310" s="114">
        <f t="shared" si="74"/>
        <v>0</v>
      </c>
      <c r="Q310" s="118">
        <v>0</v>
      </c>
      <c r="R310" s="118">
        <f t="shared" si="77"/>
        <v>950</v>
      </c>
      <c r="S310" s="141">
        <f t="shared" si="78"/>
        <v>0</v>
      </c>
    </row>
    <row r="311" spans="1:19">
      <c r="A311" s="107" t="s">
        <v>137</v>
      </c>
      <c r="B311" s="105">
        <v>40168</v>
      </c>
      <c r="C311" s="107">
        <v>42120</v>
      </c>
      <c r="D311" s="107"/>
      <c r="E311" s="107"/>
      <c r="F311" s="107"/>
      <c r="G311" s="99">
        <f t="shared" si="75"/>
        <v>2106</v>
      </c>
      <c r="H311" s="107"/>
      <c r="I311" s="107"/>
      <c r="J311" s="107"/>
      <c r="K311" s="107">
        <f t="shared" si="71"/>
        <v>3022</v>
      </c>
      <c r="L311" s="99">
        <f t="shared" si="72"/>
        <v>8.2794520547945201</v>
      </c>
      <c r="M311" s="99">
        <v>40014</v>
      </c>
      <c r="N311" s="100">
        <f t="shared" si="73"/>
        <v>2106</v>
      </c>
      <c r="O311" s="114">
        <f t="shared" si="76"/>
        <v>-5.2794520547945201</v>
      </c>
      <c r="P311" s="114">
        <f t="shared" si="74"/>
        <v>0</v>
      </c>
      <c r="Q311" s="118">
        <v>0</v>
      </c>
      <c r="R311" s="118">
        <f t="shared" si="77"/>
        <v>2106</v>
      </c>
      <c r="S311" s="141">
        <f t="shared" si="78"/>
        <v>0</v>
      </c>
    </row>
    <row r="312" spans="1:19">
      <c r="A312" s="107" t="s">
        <v>137</v>
      </c>
      <c r="B312" s="105">
        <v>40287</v>
      </c>
      <c r="C312" s="107">
        <v>91500</v>
      </c>
      <c r="D312" s="107"/>
      <c r="E312" s="107"/>
      <c r="F312" s="107"/>
      <c r="G312" s="99">
        <f t="shared" si="75"/>
        <v>4575</v>
      </c>
      <c r="H312" s="107"/>
      <c r="I312" s="107"/>
      <c r="J312" s="107"/>
      <c r="K312" s="107">
        <f t="shared" si="71"/>
        <v>2903</v>
      </c>
      <c r="L312" s="99">
        <f t="shared" si="72"/>
        <v>7.9534246575342467</v>
      </c>
      <c r="M312" s="99">
        <v>86925</v>
      </c>
      <c r="N312" s="100">
        <f t="shared" si="73"/>
        <v>4575</v>
      </c>
      <c r="O312" s="114">
        <f t="shared" si="76"/>
        <v>-4.9534246575342467</v>
      </c>
      <c r="P312" s="114">
        <f t="shared" si="74"/>
        <v>0</v>
      </c>
      <c r="Q312" s="118">
        <v>0</v>
      </c>
      <c r="R312" s="118">
        <f t="shared" si="77"/>
        <v>4575</v>
      </c>
      <c r="S312" s="141">
        <f t="shared" si="78"/>
        <v>0</v>
      </c>
    </row>
    <row r="313" spans="1:19">
      <c r="A313" s="107" t="s">
        <v>137</v>
      </c>
      <c r="B313" s="105">
        <v>40289</v>
      </c>
      <c r="C313" s="107">
        <v>38000</v>
      </c>
      <c r="D313" s="107"/>
      <c r="E313" s="107"/>
      <c r="F313" s="107"/>
      <c r="G313" s="99">
        <f t="shared" si="75"/>
        <v>1900</v>
      </c>
      <c r="H313" s="107"/>
      <c r="I313" s="107"/>
      <c r="J313" s="107"/>
      <c r="K313" s="107">
        <f t="shared" si="71"/>
        <v>2901</v>
      </c>
      <c r="L313" s="99">
        <f t="shared" si="72"/>
        <v>7.9479452054794519</v>
      </c>
      <c r="M313" s="99">
        <v>36100</v>
      </c>
      <c r="N313" s="100">
        <f t="shared" si="73"/>
        <v>1900</v>
      </c>
      <c r="O313" s="114">
        <f t="shared" si="76"/>
        <v>-4.9479452054794519</v>
      </c>
      <c r="P313" s="114">
        <f t="shared" si="74"/>
        <v>0</v>
      </c>
      <c r="Q313" s="118">
        <v>0</v>
      </c>
      <c r="R313" s="118">
        <f t="shared" si="77"/>
        <v>1900</v>
      </c>
      <c r="S313" s="141">
        <f t="shared" si="78"/>
        <v>0</v>
      </c>
    </row>
    <row r="314" spans="1:19">
      <c r="A314" s="107" t="s">
        <v>137</v>
      </c>
      <c r="B314" s="105">
        <v>40302</v>
      </c>
      <c r="C314" s="107">
        <v>31500</v>
      </c>
      <c r="D314" s="107"/>
      <c r="E314" s="107"/>
      <c r="F314" s="107"/>
      <c r="G314" s="99">
        <f t="shared" si="75"/>
        <v>1575</v>
      </c>
      <c r="H314" s="107"/>
      <c r="I314" s="107"/>
      <c r="J314" s="107"/>
      <c r="K314" s="107">
        <f t="shared" si="71"/>
        <v>2888</v>
      </c>
      <c r="L314" s="99">
        <f t="shared" si="72"/>
        <v>7.912328767123288</v>
      </c>
      <c r="M314" s="99">
        <v>29925</v>
      </c>
      <c r="N314" s="100">
        <f t="shared" si="73"/>
        <v>1575</v>
      </c>
      <c r="O314" s="114">
        <f t="shared" si="76"/>
        <v>-4.912328767123288</v>
      </c>
      <c r="P314" s="114">
        <f t="shared" si="74"/>
        <v>0</v>
      </c>
      <c r="Q314" s="118">
        <v>0</v>
      </c>
      <c r="R314" s="118">
        <f t="shared" si="77"/>
        <v>1575</v>
      </c>
      <c r="S314" s="141">
        <f t="shared" si="78"/>
        <v>0</v>
      </c>
    </row>
    <row r="315" spans="1:19">
      <c r="A315" s="107" t="s">
        <v>137</v>
      </c>
      <c r="B315" s="105">
        <v>40322</v>
      </c>
      <c r="C315" s="107">
        <v>37500</v>
      </c>
      <c r="D315" s="107"/>
      <c r="E315" s="107"/>
      <c r="F315" s="107"/>
      <c r="G315" s="99">
        <f t="shared" si="75"/>
        <v>1875</v>
      </c>
      <c r="H315" s="107"/>
      <c r="I315" s="107"/>
      <c r="J315" s="107"/>
      <c r="K315" s="107">
        <f t="shared" si="71"/>
        <v>2868</v>
      </c>
      <c r="L315" s="99">
        <f t="shared" si="72"/>
        <v>7.8575342465753426</v>
      </c>
      <c r="M315" s="99">
        <v>35625</v>
      </c>
      <c r="N315" s="100">
        <f t="shared" si="73"/>
        <v>1875</v>
      </c>
      <c r="O315" s="114">
        <f t="shared" si="76"/>
        <v>-4.8575342465753426</v>
      </c>
      <c r="P315" s="114">
        <f t="shared" si="74"/>
        <v>0</v>
      </c>
      <c r="Q315" s="118">
        <v>0</v>
      </c>
      <c r="R315" s="118">
        <f t="shared" si="77"/>
        <v>1875</v>
      </c>
      <c r="S315" s="141">
        <f t="shared" si="78"/>
        <v>0</v>
      </c>
    </row>
    <row r="316" spans="1:19">
      <c r="A316" s="107" t="s">
        <v>137</v>
      </c>
      <c r="B316" s="105">
        <v>40344</v>
      </c>
      <c r="C316" s="107">
        <v>16000</v>
      </c>
      <c r="D316" s="107"/>
      <c r="E316" s="107"/>
      <c r="F316" s="107"/>
      <c r="G316" s="99">
        <f t="shared" si="75"/>
        <v>800</v>
      </c>
      <c r="H316" s="107"/>
      <c r="I316" s="107"/>
      <c r="J316" s="107"/>
      <c r="K316" s="107">
        <f t="shared" si="71"/>
        <v>2846</v>
      </c>
      <c r="L316" s="99">
        <f t="shared" si="72"/>
        <v>7.7972602739726025</v>
      </c>
      <c r="M316" s="99">
        <v>15200</v>
      </c>
      <c r="N316" s="100">
        <f t="shared" si="73"/>
        <v>800</v>
      </c>
      <c r="O316" s="114">
        <f t="shared" si="76"/>
        <v>-4.7972602739726025</v>
      </c>
      <c r="P316" s="114">
        <f t="shared" si="74"/>
        <v>0</v>
      </c>
      <c r="Q316" s="118">
        <v>0</v>
      </c>
      <c r="R316" s="118">
        <f t="shared" si="77"/>
        <v>800</v>
      </c>
      <c r="S316" s="141">
        <f t="shared" si="78"/>
        <v>0</v>
      </c>
    </row>
    <row r="317" spans="1:19">
      <c r="A317" s="107" t="s">
        <v>137</v>
      </c>
      <c r="B317" s="105">
        <v>40351</v>
      </c>
      <c r="C317" s="107">
        <v>31000</v>
      </c>
      <c r="D317" s="107"/>
      <c r="E317" s="107"/>
      <c r="F317" s="107"/>
      <c r="G317" s="99">
        <f t="shared" si="75"/>
        <v>1550</v>
      </c>
      <c r="H317" s="107"/>
      <c r="I317" s="107"/>
      <c r="J317" s="107"/>
      <c r="K317" s="107">
        <f t="shared" si="71"/>
        <v>2839</v>
      </c>
      <c r="L317" s="99">
        <f t="shared" si="72"/>
        <v>7.7780821917808218</v>
      </c>
      <c r="M317" s="99">
        <v>29450</v>
      </c>
      <c r="N317" s="100">
        <f t="shared" si="73"/>
        <v>1550</v>
      </c>
      <c r="O317" s="114">
        <f t="shared" si="76"/>
        <v>-4.7780821917808218</v>
      </c>
      <c r="P317" s="114">
        <f t="shared" si="74"/>
        <v>0</v>
      </c>
      <c r="Q317" s="118">
        <v>0</v>
      </c>
      <c r="R317" s="118">
        <f t="shared" si="77"/>
        <v>1550</v>
      </c>
      <c r="S317" s="141">
        <f t="shared" si="78"/>
        <v>0</v>
      </c>
    </row>
    <row r="318" spans="1:19">
      <c r="A318" s="107" t="s">
        <v>137</v>
      </c>
      <c r="B318" s="105">
        <v>40358</v>
      </c>
      <c r="C318" s="107">
        <v>21000</v>
      </c>
      <c r="D318" s="107"/>
      <c r="E318" s="107"/>
      <c r="F318" s="107"/>
      <c r="G318" s="99">
        <f t="shared" si="75"/>
        <v>1050</v>
      </c>
      <c r="H318" s="107"/>
      <c r="I318" s="107"/>
      <c r="J318" s="107"/>
      <c r="K318" s="107">
        <f t="shared" si="71"/>
        <v>2832</v>
      </c>
      <c r="L318" s="99">
        <f t="shared" si="72"/>
        <v>7.7589041095890412</v>
      </c>
      <c r="M318" s="99">
        <v>19950</v>
      </c>
      <c r="N318" s="100">
        <f t="shared" si="73"/>
        <v>1050</v>
      </c>
      <c r="O318" s="114">
        <f t="shared" si="76"/>
        <v>-4.7589041095890412</v>
      </c>
      <c r="P318" s="114">
        <f t="shared" si="74"/>
        <v>0</v>
      </c>
      <c r="Q318" s="118">
        <v>0</v>
      </c>
      <c r="R318" s="118">
        <f t="shared" si="77"/>
        <v>1050</v>
      </c>
      <c r="S318" s="141">
        <f t="shared" si="78"/>
        <v>0</v>
      </c>
    </row>
    <row r="319" spans="1:19">
      <c r="A319" s="107" t="s">
        <v>137</v>
      </c>
      <c r="B319" s="105">
        <v>40432</v>
      </c>
      <c r="C319" s="107">
        <v>14352</v>
      </c>
      <c r="D319" s="107"/>
      <c r="E319" s="107"/>
      <c r="F319" s="107"/>
      <c r="G319" s="99">
        <f t="shared" si="75"/>
        <v>717.6</v>
      </c>
      <c r="H319" s="107"/>
      <c r="I319" s="107"/>
      <c r="J319" s="107"/>
      <c r="K319" s="107">
        <f t="shared" si="71"/>
        <v>2758</v>
      </c>
      <c r="L319" s="99">
        <f t="shared" si="72"/>
        <v>7.5561643835616437</v>
      </c>
      <c r="M319" s="99">
        <v>13634.4</v>
      </c>
      <c r="N319" s="100">
        <f t="shared" si="73"/>
        <v>717.60000000000036</v>
      </c>
      <c r="O319" s="114">
        <f t="shared" si="76"/>
        <v>-4.5561643835616437</v>
      </c>
      <c r="P319" s="114">
        <f t="shared" si="74"/>
        <v>0</v>
      </c>
      <c r="Q319" s="118">
        <v>0</v>
      </c>
      <c r="R319" s="118">
        <f t="shared" si="77"/>
        <v>717.6</v>
      </c>
      <c r="S319" s="141">
        <f t="shared" si="78"/>
        <v>0</v>
      </c>
    </row>
    <row r="320" spans="1:19">
      <c r="A320" s="107" t="s">
        <v>137</v>
      </c>
      <c r="B320" s="105">
        <v>40435</v>
      </c>
      <c r="C320" s="107">
        <v>28500</v>
      </c>
      <c r="D320" s="107"/>
      <c r="E320" s="107"/>
      <c r="F320" s="107"/>
      <c r="G320" s="99">
        <f t="shared" si="75"/>
        <v>1425</v>
      </c>
      <c r="H320" s="107"/>
      <c r="I320" s="107"/>
      <c r="J320" s="107"/>
      <c r="K320" s="107">
        <f t="shared" si="71"/>
        <v>2755</v>
      </c>
      <c r="L320" s="99">
        <f t="shared" si="72"/>
        <v>7.5479452054794525</v>
      </c>
      <c r="M320" s="99">
        <v>27075</v>
      </c>
      <c r="N320" s="100">
        <f t="shared" si="73"/>
        <v>1425</v>
      </c>
      <c r="O320" s="114">
        <f t="shared" si="76"/>
        <v>-4.5479452054794525</v>
      </c>
      <c r="P320" s="114">
        <f t="shared" si="74"/>
        <v>0</v>
      </c>
      <c r="Q320" s="118">
        <v>0</v>
      </c>
      <c r="R320" s="118">
        <f t="shared" si="77"/>
        <v>1425</v>
      </c>
      <c r="S320" s="141">
        <f t="shared" si="78"/>
        <v>0</v>
      </c>
    </row>
    <row r="321" spans="1:19">
      <c r="A321" s="107" t="s">
        <v>137</v>
      </c>
      <c r="B321" s="105">
        <v>40451</v>
      </c>
      <c r="C321" s="107">
        <v>29500</v>
      </c>
      <c r="D321" s="107"/>
      <c r="E321" s="107"/>
      <c r="F321" s="107"/>
      <c r="G321" s="99">
        <f t="shared" si="75"/>
        <v>1475</v>
      </c>
      <c r="H321" s="107"/>
      <c r="I321" s="107"/>
      <c r="J321" s="107"/>
      <c r="K321" s="107">
        <f t="shared" si="71"/>
        <v>2739</v>
      </c>
      <c r="L321" s="99">
        <f t="shared" si="72"/>
        <v>7.5041095890410956</v>
      </c>
      <c r="M321" s="99">
        <v>28025</v>
      </c>
      <c r="N321" s="100">
        <f t="shared" si="73"/>
        <v>1475</v>
      </c>
      <c r="O321" s="114">
        <f t="shared" si="76"/>
        <v>-4.5041095890410956</v>
      </c>
      <c r="P321" s="114">
        <f t="shared" si="74"/>
        <v>0</v>
      </c>
      <c r="Q321" s="118">
        <v>0</v>
      </c>
      <c r="R321" s="118">
        <f t="shared" si="77"/>
        <v>1475</v>
      </c>
      <c r="S321" s="141">
        <f t="shared" si="78"/>
        <v>0</v>
      </c>
    </row>
    <row r="322" spans="1:19">
      <c r="A322" s="107" t="s">
        <v>137</v>
      </c>
      <c r="B322" s="105">
        <v>40458</v>
      </c>
      <c r="C322" s="107">
        <v>1800</v>
      </c>
      <c r="D322" s="107"/>
      <c r="E322" s="107"/>
      <c r="F322" s="107"/>
      <c r="G322" s="99">
        <f t="shared" si="75"/>
        <v>90</v>
      </c>
      <c r="H322" s="107"/>
      <c r="I322" s="107"/>
      <c r="J322" s="107"/>
      <c r="K322" s="107">
        <f t="shared" si="71"/>
        <v>2732</v>
      </c>
      <c r="L322" s="99">
        <f t="shared" si="72"/>
        <v>7.484931506849315</v>
      </c>
      <c r="M322" s="99">
        <v>1710</v>
      </c>
      <c r="N322" s="100">
        <f t="shared" si="73"/>
        <v>90</v>
      </c>
      <c r="O322" s="114">
        <f t="shared" si="76"/>
        <v>-4.484931506849315</v>
      </c>
      <c r="P322" s="114">
        <f t="shared" si="74"/>
        <v>0</v>
      </c>
      <c r="Q322" s="118">
        <v>0</v>
      </c>
      <c r="R322" s="118">
        <f t="shared" si="77"/>
        <v>90</v>
      </c>
      <c r="S322" s="141">
        <f t="shared" si="78"/>
        <v>0</v>
      </c>
    </row>
    <row r="323" spans="1:19">
      <c r="A323" s="107" t="s">
        <v>137</v>
      </c>
      <c r="B323" s="105">
        <v>40459</v>
      </c>
      <c r="C323" s="107">
        <v>1500</v>
      </c>
      <c r="D323" s="107"/>
      <c r="E323" s="107"/>
      <c r="F323" s="107"/>
      <c r="G323" s="99">
        <f t="shared" si="75"/>
        <v>75</v>
      </c>
      <c r="H323" s="107"/>
      <c r="I323" s="107"/>
      <c r="J323" s="107"/>
      <c r="K323" s="107">
        <f t="shared" si="71"/>
        <v>2731</v>
      </c>
      <c r="L323" s="99">
        <f t="shared" si="72"/>
        <v>7.4821917808219176</v>
      </c>
      <c r="M323" s="99">
        <v>1425</v>
      </c>
      <c r="N323" s="100">
        <f t="shared" si="73"/>
        <v>75</v>
      </c>
      <c r="O323" s="114">
        <f t="shared" si="76"/>
        <v>-4.4821917808219176</v>
      </c>
      <c r="P323" s="114">
        <f t="shared" si="74"/>
        <v>0</v>
      </c>
      <c r="Q323" s="118">
        <v>0</v>
      </c>
      <c r="R323" s="118">
        <f t="shared" si="77"/>
        <v>75</v>
      </c>
      <c r="S323" s="141">
        <f t="shared" si="78"/>
        <v>0</v>
      </c>
    </row>
    <row r="324" spans="1:19">
      <c r="A324" s="107" t="s">
        <v>137</v>
      </c>
      <c r="B324" s="105">
        <v>40470</v>
      </c>
      <c r="C324" s="107">
        <v>29300</v>
      </c>
      <c r="D324" s="107"/>
      <c r="E324" s="107"/>
      <c r="F324" s="107"/>
      <c r="G324" s="99">
        <f t="shared" si="75"/>
        <v>1465</v>
      </c>
      <c r="H324" s="107"/>
      <c r="I324" s="107"/>
      <c r="J324" s="107"/>
      <c r="K324" s="107">
        <f t="shared" si="71"/>
        <v>2720</v>
      </c>
      <c r="L324" s="99">
        <f t="shared" si="72"/>
        <v>7.4520547945205475</v>
      </c>
      <c r="M324" s="99">
        <v>27835</v>
      </c>
      <c r="N324" s="100">
        <f t="shared" si="73"/>
        <v>1465</v>
      </c>
      <c r="O324" s="114">
        <f t="shared" si="76"/>
        <v>-4.4520547945205475</v>
      </c>
      <c r="P324" s="114">
        <f t="shared" si="74"/>
        <v>0</v>
      </c>
      <c r="Q324" s="118">
        <v>0</v>
      </c>
      <c r="R324" s="118">
        <f t="shared" si="77"/>
        <v>1465</v>
      </c>
      <c r="S324" s="141">
        <f t="shared" si="78"/>
        <v>0</v>
      </c>
    </row>
    <row r="325" spans="1:19">
      <c r="A325" s="107" t="s">
        <v>137</v>
      </c>
      <c r="B325" s="105">
        <v>40472</v>
      </c>
      <c r="C325" s="107">
        <v>9140</v>
      </c>
      <c r="D325" s="107"/>
      <c r="E325" s="107"/>
      <c r="F325" s="107"/>
      <c r="G325" s="99">
        <f t="shared" si="75"/>
        <v>457</v>
      </c>
      <c r="H325" s="107"/>
      <c r="I325" s="107"/>
      <c r="J325" s="107"/>
      <c r="K325" s="107">
        <f t="shared" si="71"/>
        <v>2718</v>
      </c>
      <c r="L325" s="99">
        <f t="shared" si="72"/>
        <v>7.4465753424657537</v>
      </c>
      <c r="M325" s="99">
        <v>8683</v>
      </c>
      <c r="N325" s="100">
        <f t="shared" si="73"/>
        <v>457</v>
      </c>
      <c r="O325" s="114">
        <f t="shared" si="76"/>
        <v>-4.4465753424657537</v>
      </c>
      <c r="P325" s="114">
        <f t="shared" si="74"/>
        <v>0</v>
      </c>
      <c r="Q325" s="118">
        <v>0</v>
      </c>
      <c r="R325" s="118">
        <f t="shared" si="77"/>
        <v>457</v>
      </c>
      <c r="S325" s="141">
        <f t="shared" si="78"/>
        <v>0</v>
      </c>
    </row>
    <row r="326" spans="1:19">
      <c r="A326" s="107" t="s">
        <v>137</v>
      </c>
      <c r="B326" s="105">
        <v>40481</v>
      </c>
      <c r="C326" s="107">
        <v>24200</v>
      </c>
      <c r="D326" s="107"/>
      <c r="E326" s="107"/>
      <c r="F326" s="107"/>
      <c r="G326" s="99">
        <f t="shared" si="75"/>
        <v>1210</v>
      </c>
      <c r="H326" s="107"/>
      <c r="I326" s="107"/>
      <c r="J326" s="107"/>
      <c r="K326" s="107">
        <f t="shared" si="71"/>
        <v>2709</v>
      </c>
      <c r="L326" s="99">
        <f t="shared" si="72"/>
        <v>7.4219178082191783</v>
      </c>
      <c r="M326" s="99">
        <v>22990</v>
      </c>
      <c r="N326" s="100">
        <f t="shared" si="73"/>
        <v>1210</v>
      </c>
      <c r="O326" s="114">
        <f t="shared" si="76"/>
        <v>-4.4219178082191783</v>
      </c>
      <c r="P326" s="114">
        <f t="shared" si="74"/>
        <v>0</v>
      </c>
      <c r="Q326" s="118">
        <v>0</v>
      </c>
      <c r="R326" s="118">
        <f t="shared" si="77"/>
        <v>1210</v>
      </c>
      <c r="S326" s="141">
        <f t="shared" si="78"/>
        <v>0</v>
      </c>
    </row>
    <row r="327" spans="1:19">
      <c r="A327" s="107" t="s">
        <v>137</v>
      </c>
      <c r="B327" s="105">
        <v>40486</v>
      </c>
      <c r="C327" s="107">
        <v>1610</v>
      </c>
      <c r="D327" s="107"/>
      <c r="E327" s="107"/>
      <c r="F327" s="107"/>
      <c r="G327" s="99">
        <f t="shared" si="75"/>
        <v>80.5</v>
      </c>
      <c r="H327" s="107"/>
      <c r="I327" s="107"/>
      <c r="J327" s="107"/>
      <c r="K327" s="107">
        <f t="shared" si="71"/>
        <v>2704</v>
      </c>
      <c r="L327" s="99">
        <f t="shared" si="72"/>
        <v>7.4082191780821915</v>
      </c>
      <c r="M327" s="99">
        <v>1529.5</v>
      </c>
      <c r="N327" s="100">
        <f t="shared" si="73"/>
        <v>80.5</v>
      </c>
      <c r="O327" s="114">
        <f t="shared" si="76"/>
        <v>-4.4082191780821915</v>
      </c>
      <c r="P327" s="114">
        <f t="shared" si="74"/>
        <v>0</v>
      </c>
      <c r="Q327" s="118">
        <v>0</v>
      </c>
      <c r="R327" s="118">
        <f t="shared" si="77"/>
        <v>80.5</v>
      </c>
      <c r="S327" s="141">
        <f t="shared" si="78"/>
        <v>0</v>
      </c>
    </row>
    <row r="328" spans="1:19">
      <c r="A328" s="107" t="s">
        <v>137</v>
      </c>
      <c r="B328" s="105">
        <v>40487</v>
      </c>
      <c r="C328" s="107">
        <v>2640</v>
      </c>
      <c r="D328" s="107"/>
      <c r="E328" s="107"/>
      <c r="F328" s="107"/>
      <c r="G328" s="99">
        <f t="shared" si="75"/>
        <v>132</v>
      </c>
      <c r="H328" s="107"/>
      <c r="I328" s="107"/>
      <c r="J328" s="107"/>
      <c r="K328" s="107">
        <f t="shared" si="71"/>
        <v>2703</v>
      </c>
      <c r="L328" s="99">
        <f t="shared" si="72"/>
        <v>7.4054794520547942</v>
      </c>
      <c r="M328" s="99">
        <v>2508</v>
      </c>
      <c r="N328" s="100">
        <f t="shared" si="73"/>
        <v>132</v>
      </c>
      <c r="O328" s="114">
        <f t="shared" si="76"/>
        <v>-4.4054794520547942</v>
      </c>
      <c r="P328" s="114">
        <f t="shared" si="74"/>
        <v>0</v>
      </c>
      <c r="Q328" s="118">
        <f t="shared" ref="Q328:Q343" si="79">P328/O328</f>
        <v>0</v>
      </c>
      <c r="R328" s="118">
        <f t="shared" si="77"/>
        <v>132</v>
      </c>
      <c r="S328" s="141">
        <f t="shared" si="78"/>
        <v>0</v>
      </c>
    </row>
    <row r="329" spans="1:19">
      <c r="A329" s="107" t="s">
        <v>137</v>
      </c>
      <c r="B329" s="105">
        <v>40492</v>
      </c>
      <c r="C329" s="107">
        <v>5283</v>
      </c>
      <c r="D329" s="107"/>
      <c r="E329" s="107"/>
      <c r="F329" s="107"/>
      <c r="G329" s="99">
        <f t="shared" si="75"/>
        <v>264.15000000000003</v>
      </c>
      <c r="H329" s="107"/>
      <c r="I329" s="107"/>
      <c r="J329" s="107"/>
      <c r="K329" s="107">
        <f t="shared" si="71"/>
        <v>2698</v>
      </c>
      <c r="L329" s="99">
        <f t="shared" si="72"/>
        <v>7.3917808219178083</v>
      </c>
      <c r="M329" s="99">
        <v>5018.8500000000004</v>
      </c>
      <c r="N329" s="100">
        <f t="shared" si="73"/>
        <v>264.14999999999964</v>
      </c>
      <c r="O329" s="114">
        <f t="shared" si="76"/>
        <v>-4.3917808219178083</v>
      </c>
      <c r="P329" s="114">
        <f t="shared" si="74"/>
        <v>0</v>
      </c>
      <c r="Q329" s="118">
        <f t="shared" si="79"/>
        <v>0</v>
      </c>
      <c r="R329" s="118">
        <f t="shared" si="77"/>
        <v>264.15000000000003</v>
      </c>
      <c r="S329" s="141">
        <f t="shared" si="78"/>
        <v>0</v>
      </c>
    </row>
    <row r="330" spans="1:19">
      <c r="A330" s="107" t="s">
        <v>137</v>
      </c>
      <c r="B330" s="105">
        <v>40502</v>
      </c>
      <c r="C330" s="107">
        <v>550</v>
      </c>
      <c r="D330" s="107"/>
      <c r="E330" s="107"/>
      <c r="F330" s="107"/>
      <c r="G330" s="99">
        <f t="shared" si="75"/>
        <v>27.5</v>
      </c>
      <c r="H330" s="107"/>
      <c r="I330" s="107"/>
      <c r="J330" s="107"/>
      <c r="K330" s="107">
        <f t="shared" si="71"/>
        <v>2688</v>
      </c>
      <c r="L330" s="99">
        <f t="shared" si="72"/>
        <v>7.3643835616438356</v>
      </c>
      <c r="M330" s="99">
        <v>522.5</v>
      </c>
      <c r="N330" s="100">
        <f t="shared" si="73"/>
        <v>27.5</v>
      </c>
      <c r="O330" s="114">
        <f t="shared" si="76"/>
        <v>-4.3643835616438356</v>
      </c>
      <c r="P330" s="114">
        <f t="shared" si="74"/>
        <v>0</v>
      </c>
      <c r="Q330" s="118">
        <f t="shared" si="79"/>
        <v>0</v>
      </c>
      <c r="R330" s="118">
        <f t="shared" si="77"/>
        <v>27.5</v>
      </c>
      <c r="S330" s="141">
        <f t="shared" si="78"/>
        <v>0</v>
      </c>
    </row>
    <row r="331" spans="1:19">
      <c r="A331" s="107" t="s">
        <v>137</v>
      </c>
      <c r="B331" s="105">
        <v>40657</v>
      </c>
      <c r="C331" s="107">
        <v>32000</v>
      </c>
      <c r="D331" s="107"/>
      <c r="E331" s="107"/>
      <c r="F331" s="107"/>
      <c r="G331" s="99">
        <f t="shared" si="75"/>
        <v>1600</v>
      </c>
      <c r="H331" s="107"/>
      <c r="I331" s="107"/>
      <c r="J331" s="107"/>
      <c r="K331" s="107">
        <f t="shared" si="71"/>
        <v>2533</v>
      </c>
      <c r="L331" s="99">
        <f t="shared" si="72"/>
        <v>6.9397260273972599</v>
      </c>
      <c r="M331" s="99">
        <v>30400</v>
      </c>
      <c r="N331" s="100">
        <f t="shared" si="73"/>
        <v>1600</v>
      </c>
      <c r="O331" s="114">
        <f t="shared" si="76"/>
        <v>-3.9397260273972599</v>
      </c>
      <c r="P331" s="114">
        <f t="shared" si="74"/>
        <v>0</v>
      </c>
      <c r="Q331" s="118">
        <f t="shared" si="79"/>
        <v>0</v>
      </c>
      <c r="R331" s="118">
        <f t="shared" ref="R331" si="80">N331-Q331</f>
        <v>1600</v>
      </c>
      <c r="S331" s="141">
        <f t="shared" si="78"/>
        <v>0</v>
      </c>
    </row>
    <row r="332" spans="1:19">
      <c r="A332" s="107" t="s">
        <v>137</v>
      </c>
      <c r="B332" s="105">
        <v>41387</v>
      </c>
      <c r="C332" s="107">
        <v>7170</v>
      </c>
      <c r="D332" s="107"/>
      <c r="E332" s="107"/>
      <c r="F332" s="107"/>
      <c r="G332" s="99">
        <f t="shared" si="75"/>
        <v>358.5</v>
      </c>
      <c r="H332" s="107"/>
      <c r="I332" s="107"/>
      <c r="J332" s="107"/>
      <c r="K332" s="107">
        <f t="shared" si="71"/>
        <v>1803</v>
      </c>
      <c r="L332" s="99">
        <f t="shared" si="72"/>
        <v>4.9397260273972599</v>
      </c>
      <c r="M332" s="99">
        <v>6811.5</v>
      </c>
      <c r="N332" s="100">
        <f t="shared" si="73"/>
        <v>358.5</v>
      </c>
      <c r="O332" s="114">
        <f t="shared" si="76"/>
        <v>-1.9397260273972599</v>
      </c>
      <c r="P332" s="114">
        <f t="shared" si="74"/>
        <v>0</v>
      </c>
      <c r="Q332" s="118">
        <f t="shared" si="79"/>
        <v>0</v>
      </c>
      <c r="R332" s="118">
        <f>N332-Q332</f>
        <v>358.5</v>
      </c>
      <c r="S332" s="141">
        <f t="shared" si="78"/>
        <v>0</v>
      </c>
    </row>
    <row r="333" spans="1:19">
      <c r="A333" s="107" t="s">
        <v>137</v>
      </c>
      <c r="B333" s="105">
        <v>41606</v>
      </c>
      <c r="C333" s="107">
        <v>39849</v>
      </c>
      <c r="D333" s="107"/>
      <c r="E333" s="107"/>
      <c r="F333" s="107"/>
      <c r="G333" s="99">
        <f t="shared" si="75"/>
        <v>1992.45</v>
      </c>
      <c r="H333" s="107"/>
      <c r="I333" s="107"/>
      <c r="J333" s="107"/>
      <c r="K333" s="107">
        <f t="shared" si="71"/>
        <v>1584</v>
      </c>
      <c r="L333" s="99">
        <f t="shared" si="72"/>
        <v>4.3397260273972602</v>
      </c>
      <c r="M333" s="99">
        <v>37856.55000000001</v>
      </c>
      <c r="N333" s="100">
        <f t="shared" si="73"/>
        <v>1992.4499999999898</v>
      </c>
      <c r="O333" s="114">
        <f t="shared" si="76"/>
        <v>-1.3397260273972602</v>
      </c>
      <c r="P333" s="114">
        <f t="shared" si="74"/>
        <v>-1.0231815394945443E-11</v>
      </c>
      <c r="Q333" s="118">
        <f t="shared" si="79"/>
        <v>7.6372446199490531E-12</v>
      </c>
      <c r="R333" s="118">
        <f>N333-Q333</f>
        <v>1992.4499999999821</v>
      </c>
      <c r="S333" s="141">
        <f t="shared" si="78"/>
        <v>1.7962520360015333E-11</v>
      </c>
    </row>
    <row r="334" spans="1:19">
      <c r="A334" s="107" t="s">
        <v>137</v>
      </c>
      <c r="B334" s="105">
        <v>41676</v>
      </c>
      <c r="C334" s="107">
        <v>68798</v>
      </c>
      <c r="D334" s="107"/>
      <c r="E334" s="107"/>
      <c r="F334" s="107"/>
      <c r="G334" s="99">
        <f t="shared" si="75"/>
        <v>3439.9</v>
      </c>
      <c r="H334" s="107"/>
      <c r="I334" s="107"/>
      <c r="J334" s="107"/>
      <c r="K334" s="107">
        <f t="shared" si="71"/>
        <v>1514</v>
      </c>
      <c r="L334" s="99">
        <f t="shared" si="72"/>
        <v>4.1479452054794521</v>
      </c>
      <c r="M334" s="99">
        <v>68671.880666724479</v>
      </c>
      <c r="N334" s="100">
        <f t="shared" si="73"/>
        <v>126.11933327552106</v>
      </c>
      <c r="O334" s="114">
        <f t="shared" si="76"/>
        <v>-1.1479452054794521</v>
      </c>
      <c r="P334" s="114">
        <v>0</v>
      </c>
      <c r="Q334" s="118">
        <f t="shared" si="79"/>
        <v>0</v>
      </c>
      <c r="R334" s="118">
        <f>N334-Q334</f>
        <v>126.11933327552106</v>
      </c>
      <c r="S334" s="141">
        <f t="shared" si="78"/>
        <v>3313.780666724479</v>
      </c>
    </row>
    <row r="335" spans="1:19">
      <c r="A335" s="107" t="s">
        <v>137</v>
      </c>
      <c r="B335" s="105">
        <v>41704</v>
      </c>
      <c r="C335" s="107">
        <v>171124</v>
      </c>
      <c r="D335" s="107"/>
      <c r="E335" s="107"/>
      <c r="F335" s="107"/>
      <c r="G335" s="99">
        <f t="shared" si="75"/>
        <v>8556.2000000000007</v>
      </c>
      <c r="H335" s="107"/>
      <c r="I335" s="107"/>
      <c r="J335" s="107"/>
      <c r="K335" s="107">
        <f t="shared" si="71"/>
        <v>1486</v>
      </c>
      <c r="L335" s="99">
        <f t="shared" si="72"/>
        <v>4.0712328767123287</v>
      </c>
      <c r="M335" s="99">
        <v>166483.39517035085</v>
      </c>
      <c r="N335" s="100">
        <f t="shared" si="73"/>
        <v>4640.6048296491499</v>
      </c>
      <c r="O335" s="114">
        <f t="shared" si="76"/>
        <v>-1.0712328767123287</v>
      </c>
      <c r="P335" s="114">
        <v>0</v>
      </c>
      <c r="Q335" s="118">
        <f t="shared" si="79"/>
        <v>0</v>
      </c>
      <c r="R335" s="118">
        <f>N335-Q335</f>
        <v>4640.6048296491499</v>
      </c>
      <c r="S335" s="141">
        <f t="shared" si="78"/>
        <v>3915.5951703508508</v>
      </c>
    </row>
    <row r="336" spans="1:19">
      <c r="A336" s="139" t="s">
        <v>5</v>
      </c>
      <c r="B336" s="105">
        <v>41740</v>
      </c>
      <c r="C336" s="139">
        <v>27443</v>
      </c>
      <c r="D336" s="107"/>
      <c r="E336" s="107"/>
      <c r="F336" s="107"/>
      <c r="G336" s="99">
        <f t="shared" si="75"/>
        <v>1372.15</v>
      </c>
      <c r="H336" s="107"/>
      <c r="I336" s="107"/>
      <c r="J336" s="107"/>
      <c r="K336" s="107">
        <f t="shared" si="71"/>
        <v>1450</v>
      </c>
      <c r="L336" s="99">
        <f t="shared" si="72"/>
        <v>3.9726027397260273</v>
      </c>
      <c r="M336" s="99">
        <v>26070.85</v>
      </c>
      <c r="N336" s="100">
        <f t="shared" si="73"/>
        <v>1372.1500000000015</v>
      </c>
      <c r="O336" s="114">
        <f t="shared" si="76"/>
        <v>-0.97260273972602729</v>
      </c>
      <c r="P336" s="114">
        <f t="shared" si="74"/>
        <v>0</v>
      </c>
      <c r="Q336" s="118">
        <f t="shared" si="79"/>
        <v>0</v>
      </c>
      <c r="R336" s="118">
        <f t="shared" ref="R336:R347" si="81">N336-Q336</f>
        <v>1372.1500000000015</v>
      </c>
      <c r="S336" s="141">
        <f t="shared" si="78"/>
        <v>0</v>
      </c>
    </row>
    <row r="337" spans="1:19">
      <c r="A337" s="139" t="s">
        <v>5</v>
      </c>
      <c r="B337" s="105">
        <v>41743</v>
      </c>
      <c r="C337" s="139">
        <v>57543</v>
      </c>
      <c r="D337" s="107"/>
      <c r="E337" s="107"/>
      <c r="F337" s="107"/>
      <c r="G337" s="99">
        <f t="shared" si="75"/>
        <v>2877.15</v>
      </c>
      <c r="H337" s="107"/>
      <c r="I337" s="107"/>
      <c r="J337" s="107"/>
      <c r="K337" s="107">
        <f t="shared" si="71"/>
        <v>1447</v>
      </c>
      <c r="L337" s="99">
        <f t="shared" si="72"/>
        <v>3.9643835616438357</v>
      </c>
      <c r="M337" s="99">
        <v>54665.85</v>
      </c>
      <c r="N337" s="100">
        <f t="shared" si="73"/>
        <v>2877.1500000000015</v>
      </c>
      <c r="O337" s="114">
        <f t="shared" si="76"/>
        <v>-0.96438356164383565</v>
      </c>
      <c r="P337" s="114">
        <f t="shared" si="74"/>
        <v>0</v>
      </c>
      <c r="Q337" s="118">
        <f t="shared" si="79"/>
        <v>0</v>
      </c>
      <c r="R337" s="118">
        <f t="shared" si="81"/>
        <v>2877.1500000000015</v>
      </c>
      <c r="S337" s="141">
        <f t="shared" si="78"/>
        <v>0</v>
      </c>
    </row>
    <row r="338" spans="1:19">
      <c r="A338" s="139" t="s">
        <v>5</v>
      </c>
      <c r="B338" s="105">
        <v>41764</v>
      </c>
      <c r="C338" s="139">
        <v>5900</v>
      </c>
      <c r="D338" s="107"/>
      <c r="E338" s="107"/>
      <c r="F338" s="107"/>
      <c r="G338" s="99">
        <f t="shared" si="75"/>
        <v>295</v>
      </c>
      <c r="H338" s="107"/>
      <c r="I338" s="107"/>
      <c r="J338" s="107"/>
      <c r="K338" s="107">
        <f t="shared" si="71"/>
        <v>1426</v>
      </c>
      <c r="L338" s="99">
        <f t="shared" si="72"/>
        <v>3.9068493150684933</v>
      </c>
      <c r="M338" s="99">
        <v>5605</v>
      </c>
      <c r="N338" s="100">
        <f t="shared" si="73"/>
        <v>295</v>
      </c>
      <c r="O338" s="114">
        <f t="shared" si="76"/>
        <v>-0.90684931506849331</v>
      </c>
      <c r="P338" s="114">
        <f t="shared" si="74"/>
        <v>0</v>
      </c>
      <c r="Q338" s="118">
        <f t="shared" si="79"/>
        <v>0</v>
      </c>
      <c r="R338" s="118">
        <f t="shared" si="81"/>
        <v>295</v>
      </c>
      <c r="S338" s="141">
        <f t="shared" si="78"/>
        <v>0</v>
      </c>
    </row>
    <row r="339" spans="1:19">
      <c r="A339" s="139" t="s">
        <v>5</v>
      </c>
      <c r="B339" s="105">
        <v>41772</v>
      </c>
      <c r="C339" s="139">
        <v>3500</v>
      </c>
      <c r="D339" s="107"/>
      <c r="E339" s="107"/>
      <c r="F339" s="107"/>
      <c r="G339" s="99">
        <f t="shared" si="75"/>
        <v>175</v>
      </c>
      <c r="H339" s="107"/>
      <c r="I339" s="107"/>
      <c r="J339" s="107"/>
      <c r="K339" s="107">
        <f t="shared" si="71"/>
        <v>1418</v>
      </c>
      <c r="L339" s="99">
        <f t="shared" si="72"/>
        <v>3.8849315068493149</v>
      </c>
      <c r="M339" s="99">
        <v>3325</v>
      </c>
      <c r="N339" s="100">
        <f t="shared" si="73"/>
        <v>175</v>
      </c>
      <c r="O339" s="114">
        <f t="shared" si="76"/>
        <v>-0.88493150684931488</v>
      </c>
      <c r="P339" s="114">
        <f t="shared" si="74"/>
        <v>0</v>
      </c>
      <c r="Q339" s="118">
        <f t="shared" si="79"/>
        <v>0</v>
      </c>
      <c r="R339" s="118">
        <f t="shared" si="81"/>
        <v>175</v>
      </c>
      <c r="S339" s="141">
        <f t="shared" si="78"/>
        <v>0</v>
      </c>
    </row>
    <row r="340" spans="1:19">
      <c r="A340" s="139" t="s">
        <v>5</v>
      </c>
      <c r="B340" s="105">
        <v>41808</v>
      </c>
      <c r="C340" s="144">
        <v>116400</v>
      </c>
      <c r="D340" s="107"/>
      <c r="E340" s="107"/>
      <c r="F340" s="107"/>
      <c r="G340" s="99">
        <f t="shared" si="75"/>
        <v>5820</v>
      </c>
      <c r="H340" s="107"/>
      <c r="I340" s="107"/>
      <c r="J340" s="107"/>
      <c r="K340" s="107">
        <f t="shared" si="71"/>
        <v>1382</v>
      </c>
      <c r="L340" s="99">
        <f t="shared" si="72"/>
        <v>3.7863013698630139</v>
      </c>
      <c r="M340" s="99">
        <v>110580</v>
      </c>
      <c r="N340" s="100">
        <f t="shared" si="73"/>
        <v>5820</v>
      </c>
      <c r="O340" s="114">
        <f t="shared" si="76"/>
        <v>-0.78630136986301391</v>
      </c>
      <c r="P340" s="114">
        <f t="shared" si="74"/>
        <v>0</v>
      </c>
      <c r="Q340" s="118">
        <f t="shared" si="79"/>
        <v>0</v>
      </c>
      <c r="R340" s="118">
        <f t="shared" si="81"/>
        <v>5820</v>
      </c>
      <c r="S340" s="141">
        <f t="shared" si="78"/>
        <v>0</v>
      </c>
    </row>
    <row r="341" spans="1:19">
      <c r="A341" s="139" t="s">
        <v>5</v>
      </c>
      <c r="B341" s="105">
        <v>41811</v>
      </c>
      <c r="C341" s="144">
        <v>7100</v>
      </c>
      <c r="D341" s="107"/>
      <c r="E341" s="107"/>
      <c r="F341" s="107"/>
      <c r="G341" s="99">
        <f t="shared" si="75"/>
        <v>355</v>
      </c>
      <c r="H341" s="107"/>
      <c r="I341" s="107"/>
      <c r="J341" s="107"/>
      <c r="K341" s="107">
        <f t="shared" si="71"/>
        <v>1379</v>
      </c>
      <c r="L341" s="99">
        <f t="shared" si="72"/>
        <v>3.7780821917808218</v>
      </c>
      <c r="M341" s="99">
        <v>6745</v>
      </c>
      <c r="N341" s="100">
        <f t="shared" si="73"/>
        <v>355</v>
      </c>
      <c r="O341" s="114">
        <f t="shared" si="76"/>
        <v>-0.77808219178082183</v>
      </c>
      <c r="P341" s="114">
        <f t="shared" si="74"/>
        <v>0</v>
      </c>
      <c r="Q341" s="118">
        <f t="shared" si="79"/>
        <v>0</v>
      </c>
      <c r="R341" s="118">
        <f t="shared" si="81"/>
        <v>355</v>
      </c>
      <c r="S341" s="141">
        <f t="shared" si="78"/>
        <v>0</v>
      </c>
    </row>
    <row r="342" spans="1:19">
      <c r="A342" s="139" t="s">
        <v>5</v>
      </c>
      <c r="B342" s="105">
        <v>41950</v>
      </c>
      <c r="C342" s="144">
        <v>23890</v>
      </c>
      <c r="D342" s="107"/>
      <c r="E342" s="107"/>
      <c r="F342" s="107"/>
      <c r="G342" s="99">
        <f t="shared" si="75"/>
        <v>1194.5</v>
      </c>
      <c r="H342" s="107"/>
      <c r="I342" s="107"/>
      <c r="J342" s="107"/>
      <c r="K342" s="107">
        <f t="shared" si="71"/>
        <v>1240</v>
      </c>
      <c r="L342" s="99">
        <f t="shared" si="72"/>
        <v>3.3972602739726026</v>
      </c>
      <c r="M342" s="99">
        <v>22695.5</v>
      </c>
      <c r="N342" s="100">
        <f t="shared" si="73"/>
        <v>1194.5</v>
      </c>
      <c r="O342" s="114">
        <f t="shared" si="76"/>
        <v>-0.39726027397260255</v>
      </c>
      <c r="P342" s="114">
        <f t="shared" si="74"/>
        <v>0</v>
      </c>
      <c r="Q342" s="118">
        <f t="shared" si="79"/>
        <v>0</v>
      </c>
      <c r="R342" s="118">
        <f t="shared" si="81"/>
        <v>1194.5</v>
      </c>
      <c r="S342" s="141">
        <f t="shared" si="78"/>
        <v>0</v>
      </c>
    </row>
    <row r="343" spans="1:19">
      <c r="A343" s="139" t="s">
        <v>5</v>
      </c>
      <c r="B343" s="105">
        <v>41951</v>
      </c>
      <c r="C343" s="144">
        <v>16800</v>
      </c>
      <c r="D343" s="107"/>
      <c r="E343" s="107"/>
      <c r="F343" s="107"/>
      <c r="G343" s="99">
        <f t="shared" si="75"/>
        <v>840</v>
      </c>
      <c r="H343" s="107"/>
      <c r="I343" s="107"/>
      <c r="J343" s="107"/>
      <c r="K343" s="107">
        <f t="shared" si="71"/>
        <v>1239</v>
      </c>
      <c r="L343" s="99">
        <f t="shared" si="72"/>
        <v>3.3945205479452056</v>
      </c>
      <c r="M343" s="99">
        <v>15960</v>
      </c>
      <c r="N343" s="100">
        <f t="shared" si="73"/>
        <v>840</v>
      </c>
      <c r="O343" s="114">
        <f t="shared" si="76"/>
        <v>-0.39452054794520564</v>
      </c>
      <c r="P343" s="114">
        <f t="shared" si="74"/>
        <v>0</v>
      </c>
      <c r="Q343" s="118">
        <f t="shared" si="79"/>
        <v>0</v>
      </c>
      <c r="R343" s="118">
        <f t="shared" si="81"/>
        <v>840</v>
      </c>
      <c r="S343" s="141">
        <f t="shared" si="78"/>
        <v>0</v>
      </c>
    </row>
    <row r="344" spans="1:19" ht="15">
      <c r="A344" s="140" t="s">
        <v>138</v>
      </c>
      <c r="B344" s="105">
        <v>42242</v>
      </c>
      <c r="C344" s="126">
        <v>7670</v>
      </c>
      <c r="D344" s="107"/>
      <c r="E344" s="107"/>
      <c r="F344" s="107"/>
      <c r="G344" s="99">
        <f t="shared" si="75"/>
        <v>383.5</v>
      </c>
      <c r="H344" s="107"/>
      <c r="I344" s="107"/>
      <c r="J344" s="107"/>
      <c r="K344" s="107">
        <f t="shared" si="71"/>
        <v>948</v>
      </c>
      <c r="L344" s="99">
        <f t="shared" si="72"/>
        <v>2.5972602739726027</v>
      </c>
      <c r="M344" s="99">
        <v>6308.3123287671233</v>
      </c>
      <c r="N344" s="100">
        <f t="shared" si="73"/>
        <v>1361.6876712328767</v>
      </c>
      <c r="O344" s="114">
        <f t="shared" si="76"/>
        <v>0.40273972602739727</v>
      </c>
      <c r="P344" s="114">
        <f t="shared" si="74"/>
        <v>978.18767123287671</v>
      </c>
      <c r="Q344" s="118">
        <f>P344</f>
        <v>978.18767123287671</v>
      </c>
      <c r="R344" s="118">
        <f t="shared" si="81"/>
        <v>383.5</v>
      </c>
      <c r="S344" s="141">
        <f t="shared" si="78"/>
        <v>0</v>
      </c>
    </row>
    <row r="345" spans="1:19" ht="15">
      <c r="A345" s="140" t="s">
        <v>139</v>
      </c>
      <c r="B345" s="105">
        <v>42257</v>
      </c>
      <c r="C345" s="126">
        <v>8138</v>
      </c>
      <c r="D345" s="107"/>
      <c r="E345" s="107"/>
      <c r="F345" s="107"/>
      <c r="G345" s="99">
        <f t="shared" si="75"/>
        <v>406.90000000000003</v>
      </c>
      <c r="H345" s="107"/>
      <c r="I345" s="107"/>
      <c r="J345" s="107"/>
      <c r="K345" s="107">
        <f t="shared" si="71"/>
        <v>933</v>
      </c>
      <c r="L345" s="99">
        <f t="shared" si="72"/>
        <v>2.5561643835616437</v>
      </c>
      <c r="M345" s="99">
        <v>6587.3208219178086</v>
      </c>
      <c r="N345" s="100">
        <f t="shared" si="73"/>
        <v>1550.6791780821914</v>
      </c>
      <c r="O345" s="114">
        <f t="shared" si="76"/>
        <v>0.44383561643835634</v>
      </c>
      <c r="P345" s="114">
        <f t="shared" si="74"/>
        <v>1143.7791780821913</v>
      </c>
      <c r="Q345" s="118">
        <f>P345</f>
        <v>1143.7791780821913</v>
      </c>
      <c r="R345" s="118">
        <f t="shared" si="81"/>
        <v>406.90000000000009</v>
      </c>
      <c r="S345" s="141">
        <f t="shared" si="78"/>
        <v>0</v>
      </c>
    </row>
    <row r="346" spans="1:19" ht="15">
      <c r="A346" s="140" t="s">
        <v>139</v>
      </c>
      <c r="B346" s="105">
        <v>42275</v>
      </c>
      <c r="C346" s="126">
        <v>17736</v>
      </c>
      <c r="D346" s="107"/>
      <c r="E346" s="107"/>
      <c r="F346" s="107"/>
      <c r="G346" s="99">
        <f t="shared" si="75"/>
        <v>886.80000000000007</v>
      </c>
      <c r="H346" s="107"/>
      <c r="I346" s="107"/>
      <c r="J346" s="107"/>
      <c r="K346" s="107">
        <f t="shared" si="71"/>
        <v>915</v>
      </c>
      <c r="L346" s="99">
        <f t="shared" si="72"/>
        <v>2.506849315068493</v>
      </c>
      <c r="M346" s="99">
        <v>14079.468493150685</v>
      </c>
      <c r="N346" s="100">
        <f t="shared" si="73"/>
        <v>3656.5315068493146</v>
      </c>
      <c r="O346" s="114">
        <f t="shared" si="76"/>
        <v>0.49315068493150704</v>
      </c>
      <c r="P346" s="114">
        <f t="shared" si="74"/>
        <v>2769.7315068493144</v>
      </c>
      <c r="Q346" s="118">
        <f>P346</f>
        <v>2769.7315068493144</v>
      </c>
      <c r="R346" s="118">
        <f t="shared" si="81"/>
        <v>886.80000000000018</v>
      </c>
      <c r="S346" s="141">
        <f t="shared" si="78"/>
        <v>0</v>
      </c>
    </row>
    <row r="347" spans="1:19" ht="15">
      <c r="A347" s="140" t="s">
        <v>161</v>
      </c>
      <c r="B347" s="157">
        <v>42873</v>
      </c>
      <c r="C347" s="126">
        <v>31630</v>
      </c>
      <c r="D347" s="107"/>
      <c r="E347" s="107"/>
      <c r="F347" s="107"/>
      <c r="G347" s="99">
        <f t="shared" si="75"/>
        <v>1581.5</v>
      </c>
      <c r="H347" s="107"/>
      <c r="I347" s="107"/>
      <c r="J347" s="107"/>
      <c r="K347" s="107">
        <f t="shared" si="71"/>
        <v>317</v>
      </c>
      <c r="L347" s="99">
        <f t="shared" si="72"/>
        <v>0.86849315068493149</v>
      </c>
      <c r="M347" s="99">
        <v>8699</v>
      </c>
      <c r="N347" s="100">
        <f t="shared" si="73"/>
        <v>22931</v>
      </c>
      <c r="O347" s="114">
        <f t="shared" si="76"/>
        <v>2.1315068493150684</v>
      </c>
      <c r="P347" s="114">
        <f t="shared" si="74"/>
        <v>21349.5</v>
      </c>
      <c r="Q347" s="118">
        <f t="shared" ref="Q347" si="82">P347/O347</f>
        <v>10016.153598971723</v>
      </c>
      <c r="R347" s="118">
        <f t="shared" si="81"/>
        <v>12914.846401028277</v>
      </c>
      <c r="S347" s="141">
        <f t="shared" si="78"/>
        <v>-11333.346401028277</v>
      </c>
    </row>
    <row r="348" spans="1:19" ht="15">
      <c r="A348" s="101" t="s">
        <v>140</v>
      </c>
      <c r="B348" s="107"/>
      <c r="C348" s="116">
        <f>SUM(C305:C347)</f>
        <v>1342912</v>
      </c>
      <c r="D348" s="107"/>
      <c r="E348" s="107"/>
      <c r="F348" s="107"/>
      <c r="G348" s="116">
        <f>SUM(G305:G347)</f>
        <v>67145.600000000006</v>
      </c>
      <c r="H348" s="107"/>
      <c r="I348" s="107"/>
      <c r="J348" s="107"/>
      <c r="K348" s="107"/>
      <c r="L348" s="99"/>
      <c r="M348" s="116">
        <f>SUM(M305:M347)</f>
        <v>1256754.577480911</v>
      </c>
      <c r="N348" s="116">
        <f>SUM(N305:N347)</f>
        <v>86157.422519089043</v>
      </c>
      <c r="O348" s="99"/>
      <c r="P348" s="116">
        <f t="shared" ref="P348:R348" si="83">SUM(P305:P347)</f>
        <v>26241.198356164372</v>
      </c>
      <c r="Q348" s="116">
        <f t="shared" si="83"/>
        <v>14907.851955136113</v>
      </c>
      <c r="R348" s="116">
        <f t="shared" si="83"/>
        <v>71249.570563952933</v>
      </c>
      <c r="S348" s="145"/>
    </row>
    <row r="349" spans="1:19" ht="15">
      <c r="A349" s="101"/>
      <c r="B349" s="107"/>
      <c r="C349" s="111"/>
      <c r="D349" s="107"/>
      <c r="E349" s="107"/>
      <c r="F349" s="107"/>
      <c r="G349" s="99"/>
      <c r="H349" s="107"/>
      <c r="I349" s="107"/>
      <c r="J349" s="107"/>
      <c r="K349" s="107"/>
      <c r="L349" s="99"/>
      <c r="M349" s="99"/>
      <c r="N349" s="100"/>
      <c r="O349" s="99"/>
      <c r="P349" s="99"/>
      <c r="Q349" s="100"/>
      <c r="R349" s="118"/>
    </row>
    <row r="350" spans="1:19">
      <c r="A350" s="107" t="s">
        <v>141</v>
      </c>
      <c r="B350" s="123">
        <v>41723</v>
      </c>
      <c r="C350" s="107">
        <v>28000</v>
      </c>
      <c r="D350" s="107"/>
      <c r="E350" s="107"/>
      <c r="F350" s="107"/>
      <c r="G350" s="114">
        <f>C350*5%</f>
        <v>1400</v>
      </c>
      <c r="H350" s="107"/>
      <c r="I350" s="107"/>
      <c r="J350" s="107"/>
      <c r="K350" s="107">
        <f>$K$2-B350</f>
        <v>1467</v>
      </c>
      <c r="L350" s="99">
        <f>K350/365</f>
        <v>4.0191780821917806</v>
      </c>
      <c r="M350" s="100">
        <v>11282</v>
      </c>
      <c r="N350" s="100">
        <f>C350-M350</f>
        <v>16718</v>
      </c>
      <c r="O350" s="114"/>
      <c r="P350" s="114">
        <f t="shared" ref="P350" si="84">N350-G350</f>
        <v>15318</v>
      </c>
      <c r="Q350" s="118">
        <v>2787</v>
      </c>
      <c r="R350" s="118">
        <f t="shared" ref="R350" si="85">N350-Q350</f>
        <v>13931</v>
      </c>
    </row>
    <row r="351" spans="1:19" ht="15">
      <c r="A351" s="101" t="s">
        <v>142</v>
      </c>
      <c r="B351" s="107"/>
      <c r="C351" s="110">
        <f>C350</f>
        <v>28000</v>
      </c>
      <c r="D351" s="107"/>
      <c r="E351" s="107"/>
      <c r="F351" s="107"/>
      <c r="G351" s="99"/>
      <c r="H351" s="107"/>
      <c r="I351" s="107"/>
      <c r="J351" s="107"/>
      <c r="K351" s="107"/>
      <c r="L351" s="99"/>
      <c r="M351" s="99"/>
      <c r="N351" s="110">
        <f>N350</f>
        <v>16718</v>
      </c>
      <c r="O351" s="99"/>
      <c r="P351" s="110">
        <f>P350</f>
        <v>15318</v>
      </c>
      <c r="Q351" s="110">
        <f t="shared" ref="Q351:R351" si="86">Q350</f>
        <v>2787</v>
      </c>
      <c r="R351" s="110">
        <f t="shared" si="86"/>
        <v>13931</v>
      </c>
    </row>
    <row r="354" spans="3:18">
      <c r="C354" s="145">
        <f>C9+C218+C227+C271+C278+C286+C302+C348</f>
        <v>630147196.94999981</v>
      </c>
      <c r="N354" s="145">
        <f>N9+N218+N227+N271+N278+N286+N302+N348</f>
        <v>397641130.13196743</v>
      </c>
      <c r="Q354" s="145">
        <f>Q9+Q218+Q227+Q271+Q278+Q286+Q302+Q348+Q350</f>
        <v>33040229.904275272</v>
      </c>
      <c r="R354" s="145">
        <f>R9+R218+R227+R271+R278+R286+R302+R348+R350</f>
        <v>365379082.26328015</v>
      </c>
    </row>
    <row r="355" spans="3:18">
      <c r="C355" s="145">
        <f>C350+R355</f>
        <v>14387295</v>
      </c>
      <c r="N355" s="145">
        <f>'[4]Note 12 Fixed Assets 15-16'!M22+'[4]Note 12 Fixed Assets 15-16'!M11</f>
        <v>14378800</v>
      </c>
      <c r="R355" s="145">
        <f>'[4]Note 12 Fixed Assets 15-16'!M11</f>
        <v>14359295</v>
      </c>
    </row>
    <row r="356" spans="3:18">
      <c r="C356" s="145">
        <f>C355+C354</f>
        <v>644534491.94999981</v>
      </c>
      <c r="N356" s="146">
        <f>N354+N355</f>
        <v>412019930.13196743</v>
      </c>
      <c r="R356" s="146">
        <f>R354+R355</f>
        <v>379738377.26328015</v>
      </c>
    </row>
    <row r="357" spans="3:18">
      <c r="R357" s="145">
        <f>'[4]DEP ADD 2016-17'!K25+'[4]DEP ADD 2016-17'!K36</f>
        <v>6679791.1745945197</v>
      </c>
    </row>
    <row r="358" spans="3:18">
      <c r="R358" s="147">
        <f>R356+R357</f>
        <v>386418168.43787467</v>
      </c>
    </row>
  </sheetData>
  <printOptions horizontalCentered="1"/>
  <pageMargins left="0" right="0" top="0" bottom="0" header="0" footer="0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22"/>
  <sheetViews>
    <sheetView workbookViewId="0">
      <pane ySplit="1" topLeftCell="A100" activePane="bottomLeft" state="frozen"/>
      <selection activeCell="N22" sqref="N22"/>
      <selection pane="bottomLeft" activeCell="B120" sqref="B120"/>
    </sheetView>
  </sheetViews>
  <sheetFormatPr defaultColWidth="9.109375" defaultRowHeight="13.2"/>
  <cols>
    <col min="1" max="1" width="43.109375" style="148" customWidth="1"/>
    <col min="2" max="2" width="12" style="172" customWidth="1"/>
    <col min="3" max="3" width="11.109375" style="148" customWidth="1"/>
    <col min="4" max="4" width="9.88671875" style="148" customWidth="1"/>
    <col min="5" max="5" width="6.6640625" style="148" customWidth="1"/>
    <col min="6" max="6" width="10" style="148" customWidth="1"/>
    <col min="7" max="7" width="5.5546875" style="148" customWidth="1"/>
    <col min="8" max="8" width="10.109375" style="148" customWidth="1"/>
    <col min="9" max="9" width="12.88671875" style="172" customWidth="1"/>
    <col min="10" max="10" width="9.88671875" style="148" customWidth="1"/>
    <col min="11" max="11" width="11.109375" style="148" hidden="1" customWidth="1"/>
    <col min="12" max="12" width="11.44140625" style="148" hidden="1" customWidth="1"/>
    <col min="13" max="13" width="9.109375" style="148" hidden="1" customWidth="1"/>
    <col min="14" max="14" width="10" style="148" bestFit="1" customWidth="1"/>
    <col min="15" max="16384" width="9.109375" style="148"/>
  </cols>
  <sheetData>
    <row r="1" spans="1:15" ht="45.75" customHeight="1">
      <c r="A1" s="168" t="s">
        <v>143</v>
      </c>
      <c r="B1" s="184" t="s">
        <v>144</v>
      </c>
      <c r="C1" s="168" t="s">
        <v>145</v>
      </c>
      <c r="D1" s="168" t="s">
        <v>146</v>
      </c>
      <c r="E1" s="168" t="s">
        <v>147</v>
      </c>
      <c r="F1" s="168" t="s">
        <v>148</v>
      </c>
      <c r="G1" s="168" t="s">
        <v>149</v>
      </c>
      <c r="H1" s="168" t="s">
        <v>150</v>
      </c>
      <c r="I1" s="173" t="s">
        <v>225</v>
      </c>
      <c r="J1" s="169" t="s">
        <v>224</v>
      </c>
    </row>
    <row r="2" spans="1:15" ht="14.4">
      <c r="A2" s="151" t="s">
        <v>223</v>
      </c>
      <c r="B2" s="174"/>
      <c r="C2" s="153"/>
      <c r="D2" s="153"/>
      <c r="E2" s="153"/>
      <c r="F2" s="154">
        <v>43555</v>
      </c>
      <c r="G2" s="153"/>
      <c r="H2" s="153"/>
      <c r="I2" s="174"/>
      <c r="J2" s="152"/>
      <c r="K2" s="155"/>
      <c r="L2" s="155"/>
    </row>
    <row r="3" spans="1:15" ht="14.4">
      <c r="A3" s="101" t="s">
        <v>10</v>
      </c>
      <c r="B3" s="185"/>
      <c r="C3" s="144"/>
      <c r="D3" s="144"/>
      <c r="E3" s="144"/>
      <c r="F3" s="144"/>
      <c r="G3" s="144"/>
      <c r="H3" s="144"/>
      <c r="I3" s="175"/>
      <c r="J3" s="150"/>
      <c r="K3" s="149" t="s">
        <v>151</v>
      </c>
      <c r="L3" s="150" t="s">
        <v>152</v>
      </c>
      <c r="M3" s="149" t="s">
        <v>153</v>
      </c>
    </row>
    <row r="4" spans="1:15" s="155" customFormat="1" ht="14.4">
      <c r="A4" s="140" t="s">
        <v>200</v>
      </c>
      <c r="B4" s="186">
        <v>2325000</v>
      </c>
      <c r="C4" s="157">
        <v>43287</v>
      </c>
      <c r="D4" s="162">
        <f>B4*5%</f>
        <v>116250</v>
      </c>
      <c r="E4" s="144">
        <v>20</v>
      </c>
      <c r="F4" s="144">
        <f>$F$2-C4</f>
        <v>268</v>
      </c>
      <c r="G4" s="144">
        <f>F4/365</f>
        <v>0.73424657534246573</v>
      </c>
      <c r="H4" s="144">
        <f>(E4-G4)*365</f>
        <v>7032.0000000000009</v>
      </c>
      <c r="I4" s="176">
        <f>(B4-D4)/(E4*365)*F4</f>
        <v>81088.356164383571</v>
      </c>
      <c r="J4" s="159">
        <f>B4-I4</f>
        <v>2243911.6438356163</v>
      </c>
      <c r="K4" s="159"/>
      <c r="L4" s="159">
        <v>191510</v>
      </c>
      <c r="M4" s="159">
        <f>K4+L4</f>
        <v>191510</v>
      </c>
      <c r="O4" s="170"/>
    </row>
    <row r="5" spans="1:15" s="155" customFormat="1" ht="14.4">
      <c r="A5" s="140" t="s">
        <v>201</v>
      </c>
      <c r="B5" s="186">
        <v>420000</v>
      </c>
      <c r="C5" s="157">
        <v>43294</v>
      </c>
      <c r="D5" s="162">
        <f t="shared" ref="D5:D15" si="0">B5*5%</f>
        <v>21000</v>
      </c>
      <c r="E5" s="144">
        <v>20</v>
      </c>
      <c r="F5" s="144">
        <f t="shared" ref="F5:F15" si="1">$F$2-C5</f>
        <v>261</v>
      </c>
      <c r="G5" s="144">
        <f t="shared" ref="G5:G15" si="2">F5/365</f>
        <v>0.71506849315068488</v>
      </c>
      <c r="H5" s="144">
        <f t="shared" ref="H5:H15" si="3">(E5-G5)*365</f>
        <v>7039</v>
      </c>
      <c r="I5" s="176">
        <f t="shared" ref="I5:I15" si="4">(B5-D5)/(E5*365)*F5</f>
        <v>14265.616438356165</v>
      </c>
      <c r="J5" s="159">
        <f t="shared" ref="J5:J15" si="5">B5-I5</f>
        <v>405734.38356164383</v>
      </c>
      <c r="K5" s="159">
        <v>99360</v>
      </c>
      <c r="L5" s="159"/>
      <c r="M5" s="159">
        <f t="shared" ref="M5:M8" si="6">K5+L5</f>
        <v>99360</v>
      </c>
    </row>
    <row r="6" spans="1:15" s="155" customFormat="1" ht="14.4">
      <c r="A6" s="140" t="s">
        <v>202</v>
      </c>
      <c r="B6" s="186">
        <v>178500</v>
      </c>
      <c r="C6" s="157">
        <v>43308</v>
      </c>
      <c r="D6" s="162">
        <f t="shared" si="0"/>
        <v>8925</v>
      </c>
      <c r="E6" s="144">
        <v>20</v>
      </c>
      <c r="F6" s="144">
        <f t="shared" si="1"/>
        <v>247</v>
      </c>
      <c r="G6" s="144">
        <f t="shared" si="2"/>
        <v>0.67671232876712328</v>
      </c>
      <c r="H6" s="144">
        <f t="shared" si="3"/>
        <v>7053</v>
      </c>
      <c r="I6" s="176">
        <f t="shared" si="4"/>
        <v>5737.6746575342468</v>
      </c>
      <c r="J6" s="159">
        <f t="shared" si="5"/>
        <v>172762.32534246575</v>
      </c>
      <c r="K6" s="159">
        <v>1900000</v>
      </c>
      <c r="L6" s="159"/>
      <c r="M6" s="159">
        <f t="shared" si="6"/>
        <v>1900000</v>
      </c>
    </row>
    <row r="7" spans="1:15" s="155" customFormat="1" ht="14.4">
      <c r="A7" s="140" t="s">
        <v>203</v>
      </c>
      <c r="B7" s="186">
        <v>109650.74</v>
      </c>
      <c r="C7" s="157">
        <v>43294</v>
      </c>
      <c r="D7" s="162">
        <f t="shared" si="0"/>
        <v>5482.5370000000003</v>
      </c>
      <c r="E7" s="144">
        <v>20</v>
      </c>
      <c r="F7" s="144">
        <f t="shared" si="1"/>
        <v>261</v>
      </c>
      <c r="G7" s="144">
        <f t="shared" si="2"/>
        <v>0.71506849315068488</v>
      </c>
      <c r="H7" s="144">
        <f t="shared" si="3"/>
        <v>7039</v>
      </c>
      <c r="I7" s="176">
        <f t="shared" si="4"/>
        <v>3724.3699976712328</v>
      </c>
      <c r="J7" s="159">
        <f t="shared" si="5"/>
        <v>105926.37000232877</v>
      </c>
      <c r="K7" s="159">
        <v>19000</v>
      </c>
      <c r="L7" s="159"/>
      <c r="M7" s="159">
        <f t="shared" si="6"/>
        <v>19000</v>
      </c>
    </row>
    <row r="8" spans="1:15" s="155" customFormat="1" ht="14.4">
      <c r="A8" s="140" t="s">
        <v>204</v>
      </c>
      <c r="B8" s="186">
        <v>115500</v>
      </c>
      <c r="C8" s="157">
        <v>43293</v>
      </c>
      <c r="D8" s="162">
        <f t="shared" si="0"/>
        <v>5775</v>
      </c>
      <c r="E8" s="144">
        <v>20</v>
      </c>
      <c r="F8" s="144">
        <f t="shared" si="1"/>
        <v>262</v>
      </c>
      <c r="G8" s="144">
        <f t="shared" si="2"/>
        <v>0.71780821917808224</v>
      </c>
      <c r="H8" s="144">
        <f t="shared" si="3"/>
        <v>7038</v>
      </c>
      <c r="I8" s="176">
        <f t="shared" si="4"/>
        <v>3938.0753424657532</v>
      </c>
      <c r="J8" s="159">
        <f t="shared" si="5"/>
        <v>111561.92465753424</v>
      </c>
      <c r="K8" s="159">
        <v>110496</v>
      </c>
      <c r="L8" s="159"/>
      <c r="M8" s="159">
        <f t="shared" si="6"/>
        <v>110496</v>
      </c>
    </row>
    <row r="9" spans="1:15" s="155" customFormat="1" ht="14.4">
      <c r="A9" s="140" t="s">
        <v>205</v>
      </c>
      <c r="B9" s="186">
        <v>1900000</v>
      </c>
      <c r="C9" s="157">
        <v>43308</v>
      </c>
      <c r="D9" s="162">
        <f t="shared" si="0"/>
        <v>95000</v>
      </c>
      <c r="E9" s="144">
        <v>20</v>
      </c>
      <c r="F9" s="144">
        <f t="shared" si="1"/>
        <v>247</v>
      </c>
      <c r="G9" s="144">
        <f t="shared" si="2"/>
        <v>0.67671232876712328</v>
      </c>
      <c r="H9" s="144">
        <f t="shared" si="3"/>
        <v>7053</v>
      </c>
      <c r="I9" s="176">
        <f t="shared" si="4"/>
        <v>61073.287671232873</v>
      </c>
      <c r="J9" s="159">
        <f t="shared" si="5"/>
        <v>1838926.7123287672</v>
      </c>
      <c r="K9" s="159"/>
      <c r="L9" s="159"/>
      <c r="M9" s="159"/>
    </row>
    <row r="10" spans="1:15" s="155" customFormat="1" ht="14.4">
      <c r="A10" s="140" t="s">
        <v>156</v>
      </c>
      <c r="B10" s="186">
        <v>24500</v>
      </c>
      <c r="C10" s="157">
        <v>43265</v>
      </c>
      <c r="D10" s="162">
        <f t="shared" si="0"/>
        <v>1225</v>
      </c>
      <c r="E10" s="144">
        <v>20</v>
      </c>
      <c r="F10" s="144">
        <f t="shared" si="1"/>
        <v>290</v>
      </c>
      <c r="G10" s="144">
        <f t="shared" si="2"/>
        <v>0.79452054794520544</v>
      </c>
      <c r="H10" s="144">
        <f t="shared" si="3"/>
        <v>7010.0000000000009</v>
      </c>
      <c r="I10" s="176">
        <f t="shared" si="4"/>
        <v>924.6232876712329</v>
      </c>
      <c r="J10" s="159">
        <f t="shared" si="5"/>
        <v>23575.376712328769</v>
      </c>
      <c r="K10" s="159"/>
      <c r="L10" s="159"/>
      <c r="M10" s="159"/>
    </row>
    <row r="11" spans="1:15" s="155" customFormat="1" ht="14.4">
      <c r="A11" s="140" t="s">
        <v>206</v>
      </c>
      <c r="B11" s="186">
        <v>212500</v>
      </c>
      <c r="C11" s="157">
        <v>43308</v>
      </c>
      <c r="D11" s="162">
        <f t="shared" si="0"/>
        <v>10625</v>
      </c>
      <c r="E11" s="144">
        <v>20</v>
      </c>
      <c r="F11" s="144">
        <f t="shared" si="1"/>
        <v>247</v>
      </c>
      <c r="G11" s="144">
        <f t="shared" si="2"/>
        <v>0.67671232876712328</v>
      </c>
      <c r="H11" s="144">
        <f t="shared" si="3"/>
        <v>7053</v>
      </c>
      <c r="I11" s="176">
        <f t="shared" si="4"/>
        <v>6830.5650684931506</v>
      </c>
      <c r="J11" s="159">
        <f t="shared" si="5"/>
        <v>205669.43493150684</v>
      </c>
      <c r="K11" s="159"/>
      <c r="L11" s="159"/>
      <c r="M11" s="159"/>
    </row>
    <row r="12" spans="1:15" s="155" customFormat="1" ht="14.4">
      <c r="A12" s="140" t="s">
        <v>207</v>
      </c>
      <c r="B12" s="186">
        <v>198000</v>
      </c>
      <c r="C12" s="157">
        <v>43406</v>
      </c>
      <c r="D12" s="162">
        <f t="shared" si="0"/>
        <v>9900</v>
      </c>
      <c r="E12" s="144">
        <v>20</v>
      </c>
      <c r="F12" s="144">
        <f t="shared" si="1"/>
        <v>149</v>
      </c>
      <c r="G12" s="144">
        <f t="shared" si="2"/>
        <v>0.40821917808219177</v>
      </c>
      <c r="H12" s="144">
        <f t="shared" si="3"/>
        <v>7151</v>
      </c>
      <c r="I12" s="176">
        <f t="shared" si="4"/>
        <v>3839.3013698630134</v>
      </c>
      <c r="J12" s="159">
        <f t="shared" si="5"/>
        <v>194160.69863013699</v>
      </c>
      <c r="K12" s="159"/>
      <c r="L12" s="159"/>
      <c r="M12" s="159"/>
    </row>
    <row r="13" spans="1:15">
      <c r="A13" s="144" t="s">
        <v>199</v>
      </c>
      <c r="B13" s="176">
        <v>407744</v>
      </c>
      <c r="C13" s="157">
        <v>43201</v>
      </c>
      <c r="D13" s="158">
        <f>B13*5%</f>
        <v>20387.2</v>
      </c>
      <c r="E13" s="139">
        <v>20</v>
      </c>
      <c r="F13" s="144">
        <f>$F$2-C13</f>
        <v>354</v>
      </c>
      <c r="G13" s="144">
        <f>F13/365</f>
        <v>0.96986301369863015</v>
      </c>
      <c r="H13" s="144">
        <f>(E13-G13)*365</f>
        <v>6945.9999999999991</v>
      </c>
      <c r="I13" s="176">
        <f>(B13-D13)/(E13*365)*F13</f>
        <v>18784.151671232874</v>
      </c>
      <c r="J13" s="159">
        <f>B13-I13</f>
        <v>388959.84832876711</v>
      </c>
      <c r="K13" s="161"/>
      <c r="L13" s="161"/>
      <c r="M13" s="161"/>
    </row>
    <row r="14" spans="1:15" s="155" customFormat="1" ht="14.4">
      <c r="A14" s="140" t="s">
        <v>208</v>
      </c>
      <c r="B14" s="186">
        <v>27870</v>
      </c>
      <c r="C14" s="157">
        <v>43406</v>
      </c>
      <c r="D14" s="162">
        <f t="shared" si="0"/>
        <v>1393.5</v>
      </c>
      <c r="E14" s="144">
        <v>20</v>
      </c>
      <c r="F14" s="144">
        <f t="shared" si="1"/>
        <v>149</v>
      </c>
      <c r="G14" s="144">
        <f t="shared" si="2"/>
        <v>0.40821917808219177</v>
      </c>
      <c r="H14" s="144">
        <f t="shared" si="3"/>
        <v>7151</v>
      </c>
      <c r="I14" s="176">
        <f t="shared" si="4"/>
        <v>540.41075342465751</v>
      </c>
      <c r="J14" s="159">
        <f t="shared" si="5"/>
        <v>27329.589246575342</v>
      </c>
      <c r="K14" s="159"/>
      <c r="L14" s="159"/>
      <c r="M14" s="159"/>
    </row>
    <row r="15" spans="1:15" s="155" customFormat="1" ht="14.4">
      <c r="A15" s="140" t="s">
        <v>209</v>
      </c>
      <c r="B15" s="186">
        <v>105600</v>
      </c>
      <c r="C15" s="157">
        <v>43285</v>
      </c>
      <c r="D15" s="162">
        <f t="shared" si="0"/>
        <v>5280</v>
      </c>
      <c r="E15" s="144">
        <v>20</v>
      </c>
      <c r="F15" s="144">
        <f t="shared" si="1"/>
        <v>270</v>
      </c>
      <c r="G15" s="144">
        <f t="shared" si="2"/>
        <v>0.73972602739726023</v>
      </c>
      <c r="H15" s="144">
        <f t="shared" si="3"/>
        <v>7030</v>
      </c>
      <c r="I15" s="176">
        <f t="shared" si="4"/>
        <v>3710.4657534246576</v>
      </c>
      <c r="J15" s="159">
        <f t="shared" si="5"/>
        <v>101889.53424657535</v>
      </c>
      <c r="K15" s="159"/>
      <c r="L15" s="159"/>
      <c r="M15" s="159"/>
    </row>
    <row r="16" spans="1:15" ht="14.4">
      <c r="A16" s="140"/>
      <c r="B16" s="178">
        <f>SUM(B4:B15)</f>
        <v>6024864.7400000002</v>
      </c>
      <c r="C16" s="157"/>
      <c r="D16" s="144"/>
      <c r="E16" s="144"/>
      <c r="F16" s="144"/>
      <c r="G16" s="144"/>
      <c r="H16" s="144"/>
      <c r="I16" s="177">
        <f>SUM(I4:I15)</f>
        <v>204456.89817575348</v>
      </c>
      <c r="J16" s="161">
        <f>SUM(J4:J15)</f>
        <v>5820407.8418242466</v>
      </c>
      <c r="K16" s="161">
        <f>SUM(K4:K8)</f>
        <v>2128856</v>
      </c>
      <c r="L16" s="161">
        <f>SUM(L4:L8)</f>
        <v>191510</v>
      </c>
      <c r="M16" s="161">
        <f>SUM(M4:M8)</f>
        <v>2320366</v>
      </c>
      <c r="N16" s="164">
        <f>J16+'DEP 2018-19'!R218-'Note 12 Fixed Assets 20-21'!M15</f>
        <v>-217630283.5010854</v>
      </c>
      <c r="O16" s="148" t="s">
        <v>226</v>
      </c>
    </row>
    <row r="17" spans="1:15">
      <c r="A17" s="160" t="s">
        <v>8</v>
      </c>
      <c r="B17" s="176"/>
      <c r="C17" s="157"/>
      <c r="D17" s="158"/>
      <c r="E17" s="139"/>
      <c r="F17" s="144"/>
      <c r="G17" s="144"/>
      <c r="H17" s="144"/>
      <c r="I17" s="176"/>
      <c r="J17" s="159"/>
      <c r="K17" s="161"/>
      <c r="L17" s="161"/>
      <c r="M17" s="161"/>
    </row>
    <row r="18" spans="1:15">
      <c r="A18" s="144" t="s">
        <v>198</v>
      </c>
      <c r="B18" s="176">
        <v>37890.629999999997</v>
      </c>
      <c r="C18" s="157">
        <v>43231</v>
      </c>
      <c r="D18" s="158">
        <f>B18*5%</f>
        <v>1894.5315000000001</v>
      </c>
      <c r="E18" s="139">
        <v>5</v>
      </c>
      <c r="F18" s="144">
        <f t="shared" ref="F18" si="7">$F$2-C18</f>
        <v>324</v>
      </c>
      <c r="G18" s="144">
        <f t="shared" ref="G18" si="8">F18/365</f>
        <v>0.88767123287671235</v>
      </c>
      <c r="H18" s="144">
        <f t="shared" ref="H18" si="9">(E18-G18)*365</f>
        <v>1500.9999999999998</v>
      </c>
      <c r="I18" s="176">
        <f t="shared" ref="I18" si="10">(B18-D18)/(E18*365)*F18</f>
        <v>6390.5402268493153</v>
      </c>
      <c r="J18" s="159">
        <f t="shared" ref="J18" si="11">B18-I18</f>
        <v>31500.089773150681</v>
      </c>
      <c r="K18" s="161"/>
      <c r="L18" s="161"/>
      <c r="M18" s="161"/>
    </row>
    <row r="19" spans="1:15">
      <c r="A19" s="144" t="s">
        <v>213</v>
      </c>
      <c r="B19" s="176">
        <v>10500</v>
      </c>
      <c r="C19" s="157">
        <v>43537</v>
      </c>
      <c r="D19" s="158">
        <f>B19*5%</f>
        <v>525</v>
      </c>
      <c r="E19" s="139">
        <v>5</v>
      </c>
      <c r="F19" s="144">
        <f t="shared" ref="F19" si="12">$F$2-C19</f>
        <v>18</v>
      </c>
      <c r="G19" s="144">
        <f t="shared" ref="G19" si="13">F19/365</f>
        <v>4.9315068493150684E-2</v>
      </c>
      <c r="H19" s="144">
        <f t="shared" ref="H19" si="14">(E19-G19)*365</f>
        <v>1807</v>
      </c>
      <c r="I19" s="176">
        <f t="shared" ref="I19" si="15">(B19-D19)/(E19*365)*F19</f>
        <v>98.38356164383562</v>
      </c>
      <c r="J19" s="159">
        <f t="shared" ref="J19" si="16">B19-I19</f>
        <v>10401.616438356165</v>
      </c>
      <c r="K19" s="161"/>
      <c r="L19" s="161"/>
      <c r="M19" s="161"/>
    </row>
    <row r="20" spans="1:15">
      <c r="A20" s="144" t="s">
        <v>214</v>
      </c>
      <c r="B20" s="176">
        <v>7800</v>
      </c>
      <c r="C20" s="157">
        <v>43555</v>
      </c>
      <c r="D20" s="158">
        <f t="shared" ref="D20:D21" si="17">B20*5%</f>
        <v>390</v>
      </c>
      <c r="E20" s="139">
        <v>5</v>
      </c>
      <c r="F20" s="144">
        <f t="shared" ref="F20:F21" si="18">$F$2-C20</f>
        <v>0</v>
      </c>
      <c r="G20" s="144">
        <f t="shared" ref="G20:G21" si="19">F20/365</f>
        <v>0</v>
      </c>
      <c r="H20" s="144">
        <f t="shared" ref="H20:H21" si="20">(E20-G20)*365</f>
        <v>1825</v>
      </c>
      <c r="I20" s="176">
        <f t="shared" ref="I20:I21" si="21">(B20-D20)/(E20*365)*F20</f>
        <v>0</v>
      </c>
      <c r="J20" s="159">
        <f t="shared" ref="J20:J21" si="22">B20-I20</f>
        <v>7800</v>
      </c>
      <c r="K20" s="161"/>
      <c r="L20" s="161"/>
      <c r="M20" s="161"/>
    </row>
    <row r="21" spans="1:15">
      <c r="A21" s="144" t="s">
        <v>214</v>
      </c>
      <c r="B21" s="176">
        <v>14000</v>
      </c>
      <c r="C21" s="157">
        <v>43555</v>
      </c>
      <c r="D21" s="158">
        <f t="shared" si="17"/>
        <v>700</v>
      </c>
      <c r="E21" s="139">
        <v>5</v>
      </c>
      <c r="F21" s="144">
        <f t="shared" si="18"/>
        <v>0</v>
      </c>
      <c r="G21" s="144">
        <f t="shared" si="19"/>
        <v>0</v>
      </c>
      <c r="H21" s="144">
        <f t="shared" si="20"/>
        <v>1825</v>
      </c>
      <c r="I21" s="176">
        <f t="shared" si="21"/>
        <v>0</v>
      </c>
      <c r="J21" s="159">
        <f t="shared" si="22"/>
        <v>14000</v>
      </c>
      <c r="K21" s="161"/>
      <c r="L21" s="161"/>
      <c r="M21" s="161"/>
    </row>
    <row r="22" spans="1:15">
      <c r="A22" s="144"/>
      <c r="B22" s="178">
        <f>SUM(B18:B21)</f>
        <v>70190.63</v>
      </c>
      <c r="C22" s="157"/>
      <c r="D22" s="158"/>
      <c r="E22" s="139"/>
      <c r="F22" s="144"/>
      <c r="G22" s="144"/>
      <c r="H22" s="144"/>
      <c r="I22" s="177">
        <f>SUM(I18:I19)</f>
        <v>6488.9237884931508</v>
      </c>
      <c r="J22" s="161">
        <f>SUM(J18:J21)</f>
        <v>63701.706211506847</v>
      </c>
      <c r="K22" s="161"/>
      <c r="L22" s="161"/>
      <c r="M22" s="161"/>
      <c r="N22" s="164">
        <f>'DEP 2018-19'!R271+'DEP ADD 2018-19'!J22-'Note 12 Fixed Assets 20-21'!M18</f>
        <v>-261634.31564931513</v>
      </c>
      <c r="O22" s="148" t="s">
        <v>222</v>
      </c>
    </row>
    <row r="23" spans="1:15">
      <c r="A23" s="160" t="s">
        <v>9</v>
      </c>
      <c r="B23" s="176"/>
      <c r="C23" s="157"/>
      <c r="D23" s="158"/>
      <c r="E23" s="139"/>
      <c r="F23" s="144"/>
      <c r="G23" s="144"/>
      <c r="H23" s="144"/>
      <c r="I23" s="176"/>
      <c r="J23" s="159"/>
      <c r="K23" s="159"/>
      <c r="L23" s="159"/>
      <c r="M23" s="159"/>
    </row>
    <row r="24" spans="1:15">
      <c r="A24" s="144" t="s">
        <v>197</v>
      </c>
      <c r="B24" s="176">
        <v>395974</v>
      </c>
      <c r="C24" s="157">
        <v>43358</v>
      </c>
      <c r="D24" s="158">
        <f t="shared" ref="D24" si="23">B24*5%</f>
        <v>19798.7</v>
      </c>
      <c r="E24" s="139">
        <v>10</v>
      </c>
      <c r="F24" s="144">
        <f t="shared" ref="F24" si="24">$F$2-C24</f>
        <v>197</v>
      </c>
      <c r="G24" s="144">
        <f t="shared" ref="G24" si="25">F24/365</f>
        <v>0.53972602739726028</v>
      </c>
      <c r="H24" s="144">
        <f t="shared" ref="H24" si="26">(E24-G24)*365</f>
        <v>3453.0000000000005</v>
      </c>
      <c r="I24" s="176">
        <f t="shared" ref="I24" si="27">(B24-D24)/(E24*365)*F24</f>
        <v>20303.160027397258</v>
      </c>
      <c r="J24" s="159">
        <f t="shared" ref="J24" si="28">B24-I24</f>
        <v>375670.83997260273</v>
      </c>
      <c r="K24" s="159">
        <v>41048.03</v>
      </c>
      <c r="L24" s="159"/>
      <c r="M24" s="159">
        <f t="shared" ref="M24" si="29">K24+L24</f>
        <v>41048.03</v>
      </c>
    </row>
    <row r="25" spans="1:15" s="155" customFormat="1" ht="14.4">
      <c r="A25" s="140"/>
      <c r="B25" s="178">
        <f>SUM(B24:B24)</f>
        <v>395974</v>
      </c>
      <c r="C25" s="157"/>
      <c r="D25" s="162"/>
      <c r="E25" s="144"/>
      <c r="F25" s="144"/>
      <c r="G25" s="144"/>
      <c r="H25" s="144"/>
      <c r="I25" s="175">
        <f>SUM(I24:I24)</f>
        <v>20303.160027397258</v>
      </c>
      <c r="J25" s="163">
        <f>SUM(J24:J24)</f>
        <v>375670.83997260273</v>
      </c>
      <c r="K25" s="163">
        <f>SUM(K24:K24)</f>
        <v>41048.03</v>
      </c>
      <c r="L25" s="163">
        <f>SUM(L24:L24)</f>
        <v>0</v>
      </c>
      <c r="M25" s="163">
        <f>SUM(M24:M24)</f>
        <v>41048.03</v>
      </c>
      <c r="N25" s="170">
        <f>J25+'DEP 2018-19'!R302-'Note 12 Fixed Assets 20-21'!M17</f>
        <v>8568158.4138495233</v>
      </c>
      <c r="O25" s="155" t="s">
        <v>226</v>
      </c>
    </row>
    <row r="26" spans="1:15" ht="14.4">
      <c r="A26" s="132"/>
      <c r="B26" s="186"/>
      <c r="C26" s="157"/>
      <c r="D26" s="144"/>
      <c r="E26" s="144"/>
      <c r="F26" s="144"/>
      <c r="G26" s="144"/>
      <c r="H26" s="144"/>
      <c r="I26" s="176"/>
      <c r="J26" s="159"/>
      <c r="K26" s="159"/>
      <c r="L26" s="159"/>
      <c r="M26" s="159"/>
    </row>
    <row r="27" spans="1:15" ht="14.4">
      <c r="A27" s="132" t="s">
        <v>160</v>
      </c>
      <c r="B27" s="186"/>
      <c r="C27" s="157"/>
      <c r="D27" s="158"/>
      <c r="E27" s="139"/>
      <c r="F27" s="144"/>
      <c r="G27" s="144"/>
      <c r="H27" s="144"/>
      <c r="I27" s="176"/>
      <c r="J27" s="159"/>
      <c r="K27" s="159"/>
      <c r="L27" s="159"/>
      <c r="M27" s="159"/>
    </row>
    <row r="28" spans="1:15">
      <c r="A28" s="144" t="s">
        <v>160</v>
      </c>
      <c r="B28" s="176">
        <v>36300</v>
      </c>
      <c r="C28" s="157">
        <v>43470</v>
      </c>
      <c r="D28" s="158">
        <f t="shared" ref="D28:D35" si="30">B28*5%</f>
        <v>1815</v>
      </c>
      <c r="E28" s="139">
        <v>3</v>
      </c>
      <c r="F28" s="144">
        <f t="shared" ref="F28:F35" si="31">$F$2-C28</f>
        <v>85</v>
      </c>
      <c r="G28" s="144">
        <f t="shared" ref="G28:G35" si="32">F28/365</f>
        <v>0.23287671232876711</v>
      </c>
      <c r="H28" s="144">
        <f t="shared" ref="H28:H35" si="33">(E28-G28)*365</f>
        <v>1010</v>
      </c>
      <c r="I28" s="176">
        <f t="shared" ref="I28:I35" si="34">(B28-D28)/(E28*365)*F28</f>
        <v>2676.9178082191779</v>
      </c>
      <c r="J28" s="159">
        <f t="shared" ref="J28:J35" si="35">B28-I28</f>
        <v>33623.082191780821</v>
      </c>
      <c r="K28" s="159"/>
      <c r="L28" s="159"/>
      <c r="M28" s="159"/>
    </row>
    <row r="29" spans="1:15">
      <c r="A29" s="144" t="s">
        <v>160</v>
      </c>
      <c r="B29" s="176">
        <v>16525</v>
      </c>
      <c r="C29" s="157">
        <v>43514</v>
      </c>
      <c r="D29" s="158">
        <f t="shared" si="30"/>
        <v>826.25</v>
      </c>
      <c r="E29" s="139">
        <v>3</v>
      </c>
      <c r="F29" s="144">
        <f t="shared" si="31"/>
        <v>41</v>
      </c>
      <c r="G29" s="144">
        <f t="shared" si="32"/>
        <v>0.11232876712328767</v>
      </c>
      <c r="H29" s="144">
        <f t="shared" si="33"/>
        <v>1054</v>
      </c>
      <c r="I29" s="176">
        <f t="shared" si="34"/>
        <v>587.80707762557074</v>
      </c>
      <c r="J29" s="159">
        <f t="shared" si="35"/>
        <v>15937.19292237443</v>
      </c>
      <c r="K29" s="159"/>
      <c r="L29" s="159"/>
      <c r="M29" s="159"/>
    </row>
    <row r="30" spans="1:15">
      <c r="A30" s="144" t="s">
        <v>162</v>
      </c>
      <c r="B30" s="176">
        <v>13100</v>
      </c>
      <c r="C30" s="157">
        <v>43543</v>
      </c>
      <c r="D30" s="158">
        <f t="shared" si="30"/>
        <v>655</v>
      </c>
      <c r="E30" s="139">
        <v>3</v>
      </c>
      <c r="F30" s="144">
        <f t="shared" si="31"/>
        <v>12</v>
      </c>
      <c r="G30" s="144">
        <f t="shared" si="32"/>
        <v>3.287671232876712E-2</v>
      </c>
      <c r="H30" s="144">
        <f t="shared" si="33"/>
        <v>1083</v>
      </c>
      <c r="I30" s="176">
        <f t="shared" si="34"/>
        <v>136.38356164383563</v>
      </c>
      <c r="J30" s="159">
        <f t="shared" si="35"/>
        <v>12963.616438356165</v>
      </c>
      <c r="K30" s="159"/>
      <c r="L30" s="159"/>
      <c r="M30" s="159"/>
    </row>
    <row r="31" spans="1:15">
      <c r="A31" s="144" t="s">
        <v>163</v>
      </c>
      <c r="B31" s="176">
        <v>22034</v>
      </c>
      <c r="C31" s="157">
        <v>43432</v>
      </c>
      <c r="D31" s="158">
        <f t="shared" si="30"/>
        <v>1101.7</v>
      </c>
      <c r="E31" s="139">
        <v>3</v>
      </c>
      <c r="F31" s="144">
        <f t="shared" si="31"/>
        <v>123</v>
      </c>
      <c r="G31" s="144">
        <f t="shared" si="32"/>
        <v>0.33698630136986302</v>
      </c>
      <c r="H31" s="144">
        <f t="shared" si="33"/>
        <v>972.00000000000011</v>
      </c>
      <c r="I31" s="176">
        <f t="shared" si="34"/>
        <v>2351.2994520547941</v>
      </c>
      <c r="J31" s="159">
        <f t="shared" si="35"/>
        <v>19682.700547945205</v>
      </c>
      <c r="K31" s="159"/>
      <c r="L31" s="159"/>
      <c r="M31" s="159"/>
    </row>
    <row r="32" spans="1:15">
      <c r="A32" s="144" t="s">
        <v>163</v>
      </c>
      <c r="B32" s="176">
        <v>20169.490000000002</v>
      </c>
      <c r="C32" s="157">
        <v>43510</v>
      </c>
      <c r="D32" s="158">
        <f t="shared" si="30"/>
        <v>1008.4745000000001</v>
      </c>
      <c r="E32" s="139">
        <v>3</v>
      </c>
      <c r="F32" s="144">
        <f t="shared" si="31"/>
        <v>45</v>
      </c>
      <c r="G32" s="144">
        <f t="shared" si="32"/>
        <v>0.12328767123287671</v>
      </c>
      <c r="H32" s="144">
        <f t="shared" si="33"/>
        <v>1050</v>
      </c>
      <c r="I32" s="176">
        <f t="shared" si="34"/>
        <v>787.43899315068495</v>
      </c>
      <c r="J32" s="159">
        <f t="shared" si="35"/>
        <v>19382.051006849317</v>
      </c>
      <c r="K32" s="159"/>
      <c r="L32" s="159"/>
      <c r="M32" s="159"/>
    </row>
    <row r="33" spans="1:15">
      <c r="A33" s="144" t="s">
        <v>163</v>
      </c>
      <c r="B33" s="176">
        <v>20169.490000000002</v>
      </c>
      <c r="C33" s="157">
        <v>43510</v>
      </c>
      <c r="D33" s="158">
        <f t="shared" si="30"/>
        <v>1008.4745000000001</v>
      </c>
      <c r="E33" s="139">
        <v>3</v>
      </c>
      <c r="F33" s="144">
        <f t="shared" si="31"/>
        <v>45</v>
      </c>
      <c r="G33" s="144">
        <f t="shared" si="32"/>
        <v>0.12328767123287671</v>
      </c>
      <c r="H33" s="144">
        <f t="shared" si="33"/>
        <v>1050</v>
      </c>
      <c r="I33" s="176">
        <f t="shared" si="34"/>
        <v>787.43899315068495</v>
      </c>
      <c r="J33" s="159">
        <f t="shared" si="35"/>
        <v>19382.051006849317</v>
      </c>
      <c r="K33" s="159"/>
      <c r="L33" s="159"/>
      <c r="M33" s="159"/>
    </row>
    <row r="34" spans="1:15">
      <c r="A34" s="144" t="s">
        <v>164</v>
      </c>
      <c r="B34" s="176">
        <v>7797</v>
      </c>
      <c r="C34" s="157">
        <v>43509</v>
      </c>
      <c r="D34" s="158">
        <f t="shared" si="30"/>
        <v>389.85</v>
      </c>
      <c r="E34" s="139">
        <v>3</v>
      </c>
      <c r="F34" s="144">
        <f t="shared" si="31"/>
        <v>46</v>
      </c>
      <c r="G34" s="144">
        <f t="shared" si="32"/>
        <v>0.12602739726027398</v>
      </c>
      <c r="H34" s="144">
        <f t="shared" si="33"/>
        <v>1049</v>
      </c>
      <c r="I34" s="176">
        <f t="shared" si="34"/>
        <v>311.16794520547944</v>
      </c>
      <c r="J34" s="159">
        <f t="shared" si="35"/>
        <v>7485.8320547945204</v>
      </c>
      <c r="K34" s="159"/>
      <c r="L34" s="159"/>
      <c r="M34" s="159"/>
    </row>
    <row r="35" spans="1:15">
      <c r="A35" s="144" t="s">
        <v>164</v>
      </c>
      <c r="B35" s="176">
        <v>8630</v>
      </c>
      <c r="C35" s="157">
        <v>43523</v>
      </c>
      <c r="D35" s="158">
        <f t="shared" si="30"/>
        <v>431.5</v>
      </c>
      <c r="E35" s="139">
        <v>3</v>
      </c>
      <c r="F35" s="144">
        <f t="shared" si="31"/>
        <v>32</v>
      </c>
      <c r="G35" s="144">
        <f t="shared" si="32"/>
        <v>8.7671232876712329E-2</v>
      </c>
      <c r="H35" s="144">
        <f t="shared" si="33"/>
        <v>1063</v>
      </c>
      <c r="I35" s="176">
        <f t="shared" si="34"/>
        <v>239.59086757990869</v>
      </c>
      <c r="J35" s="159">
        <f t="shared" si="35"/>
        <v>8390.4091324200908</v>
      </c>
      <c r="K35" s="159"/>
      <c r="L35" s="159"/>
      <c r="M35" s="159"/>
    </row>
    <row r="36" spans="1:15" ht="14.4">
      <c r="A36" s="132"/>
      <c r="B36" s="186"/>
      <c r="C36" s="157"/>
      <c r="D36" s="158"/>
      <c r="E36" s="139"/>
      <c r="F36" s="144"/>
      <c r="G36" s="144"/>
      <c r="H36" s="144"/>
      <c r="I36" s="176"/>
      <c r="J36" s="159"/>
      <c r="K36" s="159"/>
      <c r="L36" s="159"/>
      <c r="M36" s="159"/>
    </row>
    <row r="37" spans="1:15" ht="14.4">
      <c r="A37" s="140"/>
      <c r="B37" s="178">
        <f>SUM(B28:B35)</f>
        <v>144724.98000000001</v>
      </c>
      <c r="C37" s="157"/>
      <c r="D37" s="162"/>
      <c r="E37" s="144"/>
      <c r="F37" s="144"/>
      <c r="G37" s="144"/>
      <c r="H37" s="144"/>
      <c r="I37" s="178">
        <f>SUM(I28:I35)</f>
        <v>7878.0446986301358</v>
      </c>
      <c r="J37" s="165">
        <f>SUM(J28:J35)</f>
        <v>136846.93530136987</v>
      </c>
      <c r="K37" s="163">
        <f>SUM(K27:K36)</f>
        <v>0</v>
      </c>
      <c r="L37" s="163">
        <f>SUM(L27:L36)</f>
        <v>0</v>
      </c>
      <c r="M37" s="163">
        <f>SUM(M27:M36)</f>
        <v>0</v>
      </c>
      <c r="N37" s="171">
        <f>J37+'DEP 2018-19'!R348-'Note 12 Fixed Assets 20-21'!M20</f>
        <v>-1034817.5554766533</v>
      </c>
      <c r="O37" s="148" t="s">
        <v>221</v>
      </c>
    </row>
    <row r="38" spans="1:15" ht="15.6">
      <c r="A38" s="683" t="s">
        <v>165</v>
      </c>
      <c r="B38" s="683"/>
      <c r="C38" s="683"/>
    </row>
    <row r="39" spans="1:15">
      <c r="A39" s="144" t="s">
        <v>166</v>
      </c>
      <c r="B39" s="176">
        <v>3979.2</v>
      </c>
      <c r="C39" s="157">
        <v>43552</v>
      </c>
      <c r="D39" s="179"/>
      <c r="E39" s="180"/>
      <c r="F39" s="180"/>
      <c r="G39" s="180"/>
      <c r="H39" s="180"/>
      <c r="I39" s="181"/>
      <c r="J39" s="182"/>
    </row>
    <row r="40" spans="1:15">
      <c r="A40" s="144" t="s">
        <v>167</v>
      </c>
      <c r="B40" s="176">
        <v>156639</v>
      </c>
      <c r="C40" s="157">
        <v>43466</v>
      </c>
      <c r="D40" s="179"/>
      <c r="E40" s="180"/>
      <c r="F40" s="180"/>
      <c r="G40" s="180"/>
      <c r="H40" s="180"/>
      <c r="I40" s="181"/>
      <c r="J40" s="182"/>
    </row>
    <row r="41" spans="1:15">
      <c r="A41" s="144" t="s">
        <v>167</v>
      </c>
      <c r="B41" s="176">
        <v>104189.4</v>
      </c>
      <c r="C41" s="157">
        <v>43550</v>
      </c>
      <c r="D41" s="179"/>
      <c r="E41" s="180"/>
      <c r="F41" s="180"/>
      <c r="G41" s="180"/>
      <c r="H41" s="180"/>
      <c r="I41" s="181"/>
      <c r="J41" s="182"/>
    </row>
    <row r="42" spans="1:15">
      <c r="A42" s="144" t="s">
        <v>168</v>
      </c>
      <c r="B42" s="176">
        <v>13482</v>
      </c>
      <c r="C42" s="157">
        <v>43457</v>
      </c>
      <c r="D42" s="179"/>
      <c r="E42" s="180"/>
      <c r="F42" s="180"/>
      <c r="G42" s="180"/>
      <c r="H42" s="180"/>
      <c r="I42" s="181"/>
      <c r="J42" s="182"/>
    </row>
    <row r="43" spans="1:15">
      <c r="A43" s="144" t="s">
        <v>168</v>
      </c>
      <c r="B43" s="176">
        <v>14620</v>
      </c>
      <c r="C43" s="157">
        <v>43524</v>
      </c>
      <c r="D43" s="179"/>
      <c r="E43" s="180"/>
      <c r="F43" s="180"/>
      <c r="G43" s="180"/>
      <c r="H43" s="180"/>
      <c r="I43" s="181"/>
      <c r="J43" s="182"/>
    </row>
    <row r="44" spans="1:15">
      <c r="A44" s="144" t="s">
        <v>169</v>
      </c>
      <c r="B44" s="176">
        <v>25578</v>
      </c>
      <c r="C44" s="157">
        <v>43457</v>
      </c>
      <c r="D44" s="179"/>
      <c r="E44" s="180"/>
      <c r="F44" s="180"/>
      <c r="G44" s="180"/>
      <c r="H44" s="180"/>
      <c r="I44" s="181"/>
      <c r="J44" s="182"/>
    </row>
    <row r="45" spans="1:15">
      <c r="A45" s="144" t="s">
        <v>169</v>
      </c>
      <c r="B45" s="176">
        <v>25594</v>
      </c>
      <c r="C45" s="157">
        <v>43524</v>
      </c>
      <c r="D45" s="179"/>
      <c r="E45" s="180"/>
      <c r="F45" s="180"/>
      <c r="G45" s="180"/>
      <c r="H45" s="180"/>
      <c r="I45" s="181"/>
      <c r="J45" s="182"/>
    </row>
    <row r="46" spans="1:15">
      <c r="A46" s="144" t="s">
        <v>169</v>
      </c>
      <c r="B46" s="176">
        <v>52417</v>
      </c>
      <c r="C46" s="157">
        <v>43541</v>
      </c>
      <c r="D46" s="179"/>
      <c r="E46" s="180"/>
      <c r="F46" s="180"/>
      <c r="G46" s="180"/>
      <c r="H46" s="180"/>
      <c r="I46" s="181"/>
      <c r="J46" s="182"/>
    </row>
    <row r="47" spans="1:15">
      <c r="A47" s="144" t="s">
        <v>170</v>
      </c>
      <c r="B47" s="176">
        <v>228872</v>
      </c>
      <c r="C47" s="157">
        <v>43517</v>
      </c>
      <c r="D47" s="179"/>
      <c r="E47" s="180"/>
      <c r="F47" s="180"/>
      <c r="G47" s="180"/>
      <c r="H47" s="180"/>
      <c r="I47" s="181"/>
      <c r="J47" s="182"/>
    </row>
    <row r="48" spans="1:15">
      <c r="A48" s="144" t="s">
        <v>171</v>
      </c>
      <c r="B48" s="176">
        <v>365280</v>
      </c>
      <c r="C48" s="157">
        <v>43517</v>
      </c>
      <c r="D48" s="179"/>
      <c r="E48" s="180"/>
      <c r="F48" s="180"/>
      <c r="G48" s="180"/>
      <c r="H48" s="180"/>
      <c r="I48" s="181"/>
      <c r="J48" s="182"/>
    </row>
    <row r="49" spans="1:10">
      <c r="A49" s="144" t="s">
        <v>172</v>
      </c>
      <c r="B49" s="176">
        <v>249942</v>
      </c>
      <c r="C49" s="157">
        <v>43517</v>
      </c>
      <c r="D49" s="179"/>
      <c r="E49" s="180"/>
      <c r="F49" s="180"/>
      <c r="G49" s="180"/>
      <c r="H49" s="180"/>
      <c r="I49" s="181"/>
      <c r="J49" s="182"/>
    </row>
    <row r="50" spans="1:10">
      <c r="A50" s="144" t="s">
        <v>173</v>
      </c>
      <c r="B50" s="176">
        <v>182956</v>
      </c>
      <c r="C50" s="157">
        <v>43517</v>
      </c>
      <c r="D50" s="179"/>
      <c r="E50" s="180"/>
      <c r="F50" s="180"/>
      <c r="G50" s="180"/>
      <c r="H50" s="180"/>
      <c r="I50" s="181"/>
      <c r="J50" s="182"/>
    </row>
    <row r="51" spans="1:10">
      <c r="A51" s="144" t="s">
        <v>174</v>
      </c>
      <c r="B51" s="176">
        <v>65000</v>
      </c>
      <c r="C51" s="157">
        <v>43433</v>
      </c>
      <c r="D51" s="179"/>
      <c r="E51" s="180"/>
      <c r="F51" s="180"/>
      <c r="G51" s="180"/>
      <c r="H51" s="180"/>
      <c r="I51" s="181"/>
      <c r="J51" s="182"/>
    </row>
    <row r="52" spans="1:10">
      <c r="A52" s="144" t="s">
        <v>174</v>
      </c>
      <c r="B52" s="176">
        <v>65000</v>
      </c>
      <c r="C52" s="157">
        <v>43435</v>
      </c>
      <c r="D52" s="179"/>
      <c r="E52" s="180"/>
      <c r="F52" s="180"/>
      <c r="G52" s="180"/>
      <c r="H52" s="180"/>
      <c r="I52" s="181"/>
      <c r="J52" s="182"/>
    </row>
    <row r="53" spans="1:10">
      <c r="A53" s="144" t="s">
        <v>174</v>
      </c>
      <c r="B53" s="176">
        <v>65000</v>
      </c>
      <c r="C53" s="157">
        <v>43446</v>
      </c>
      <c r="D53" s="179"/>
      <c r="E53" s="180"/>
      <c r="F53" s="180"/>
      <c r="G53" s="180"/>
      <c r="H53" s="180"/>
      <c r="I53" s="181"/>
      <c r="J53" s="182"/>
    </row>
    <row r="54" spans="1:10">
      <c r="A54" s="144" t="s">
        <v>174</v>
      </c>
      <c r="B54" s="176">
        <v>65000</v>
      </c>
      <c r="C54" s="157">
        <v>43450</v>
      </c>
      <c r="D54" s="179"/>
      <c r="E54" s="180"/>
      <c r="F54" s="180"/>
      <c r="G54" s="180"/>
      <c r="H54" s="180"/>
      <c r="I54" s="181"/>
      <c r="J54" s="182"/>
    </row>
    <row r="55" spans="1:10">
      <c r="A55" s="144" t="s">
        <v>174</v>
      </c>
      <c r="B55" s="176">
        <v>70312.5</v>
      </c>
      <c r="C55" s="157">
        <v>43455</v>
      </c>
      <c r="D55" s="179"/>
      <c r="E55" s="180"/>
      <c r="F55" s="180"/>
      <c r="G55" s="180"/>
      <c r="H55" s="180"/>
      <c r="I55" s="181"/>
      <c r="J55" s="182"/>
    </row>
    <row r="56" spans="1:10">
      <c r="A56" s="144" t="s">
        <v>174</v>
      </c>
      <c r="B56" s="176">
        <v>46876</v>
      </c>
      <c r="C56" s="157">
        <v>43459</v>
      </c>
      <c r="D56" s="179"/>
      <c r="E56" s="180"/>
      <c r="F56" s="180"/>
      <c r="G56" s="180"/>
      <c r="H56" s="180"/>
      <c r="I56" s="181"/>
      <c r="J56" s="182"/>
    </row>
    <row r="57" spans="1:10">
      <c r="A57" s="144" t="s">
        <v>174</v>
      </c>
      <c r="B57" s="176">
        <v>32813.199999999997</v>
      </c>
      <c r="C57" s="157">
        <v>43459</v>
      </c>
      <c r="D57" s="179"/>
      <c r="E57" s="180"/>
      <c r="F57" s="180"/>
      <c r="G57" s="180"/>
      <c r="H57" s="180"/>
      <c r="I57" s="181"/>
      <c r="J57" s="182"/>
    </row>
    <row r="58" spans="1:10">
      <c r="A58" s="144" t="s">
        <v>227</v>
      </c>
      <c r="B58" s="176">
        <v>130980</v>
      </c>
      <c r="C58" s="157">
        <v>43405</v>
      </c>
      <c r="D58" s="179"/>
      <c r="E58" s="180"/>
      <c r="F58" s="180"/>
      <c r="G58" s="180"/>
      <c r="H58" s="180"/>
      <c r="I58" s="181"/>
      <c r="J58" s="182"/>
    </row>
    <row r="59" spans="1:10">
      <c r="A59" s="144" t="s">
        <v>175</v>
      </c>
      <c r="B59" s="176">
        <v>394194.96</v>
      </c>
      <c r="C59" s="157">
        <v>43497</v>
      </c>
      <c r="D59" s="179"/>
      <c r="E59" s="180"/>
      <c r="F59" s="180"/>
      <c r="G59" s="180"/>
      <c r="H59" s="180"/>
      <c r="I59" s="181"/>
      <c r="J59" s="182"/>
    </row>
    <row r="60" spans="1:10">
      <c r="A60" s="144" t="s">
        <v>176</v>
      </c>
      <c r="B60" s="176">
        <v>369683</v>
      </c>
      <c r="C60" s="157">
        <v>43466</v>
      </c>
      <c r="D60" s="179"/>
      <c r="E60" s="180"/>
      <c r="F60" s="180"/>
      <c r="G60" s="180"/>
      <c r="H60" s="180"/>
      <c r="I60" s="181"/>
      <c r="J60" s="182"/>
    </row>
    <row r="61" spans="1:10">
      <c r="A61" s="144" t="s">
        <v>176</v>
      </c>
      <c r="B61" s="176">
        <v>175851</v>
      </c>
      <c r="C61" s="157">
        <v>43476</v>
      </c>
      <c r="D61" s="179"/>
      <c r="E61" s="180"/>
      <c r="F61" s="180"/>
      <c r="G61" s="180"/>
      <c r="H61" s="180"/>
      <c r="I61" s="181"/>
      <c r="J61" s="182"/>
    </row>
    <row r="62" spans="1:10">
      <c r="A62" s="144" t="s">
        <v>177</v>
      </c>
      <c r="B62" s="176">
        <v>891000</v>
      </c>
      <c r="C62" s="157">
        <v>43530</v>
      </c>
      <c r="D62" s="179"/>
      <c r="E62" s="180"/>
      <c r="F62" s="180"/>
      <c r="G62" s="180"/>
      <c r="H62" s="180"/>
      <c r="I62" s="181"/>
      <c r="J62" s="182"/>
    </row>
    <row r="63" spans="1:10">
      <c r="A63" s="144" t="s">
        <v>177</v>
      </c>
      <c r="B63" s="176">
        <v>40050</v>
      </c>
      <c r="C63" s="157">
        <v>43552</v>
      </c>
      <c r="D63" s="179"/>
      <c r="E63" s="180"/>
      <c r="F63" s="180"/>
      <c r="G63" s="180"/>
      <c r="H63" s="180"/>
      <c r="I63" s="181"/>
      <c r="J63" s="182"/>
    </row>
    <row r="64" spans="1:10">
      <c r="A64" s="144" t="s">
        <v>228</v>
      </c>
      <c r="B64" s="176">
        <v>324550.82</v>
      </c>
      <c r="C64" s="157">
        <v>43405</v>
      </c>
      <c r="D64" s="179"/>
      <c r="E64" s="180"/>
      <c r="F64" s="180"/>
      <c r="G64" s="180"/>
      <c r="H64" s="180"/>
      <c r="I64" s="181"/>
      <c r="J64" s="182"/>
    </row>
    <row r="65" spans="1:10">
      <c r="A65" s="144" t="s">
        <v>178</v>
      </c>
      <c r="B65" s="176">
        <v>636368.61</v>
      </c>
      <c r="C65" s="157">
        <v>43543</v>
      </c>
      <c r="D65" s="179"/>
      <c r="E65" s="180"/>
      <c r="F65" s="180"/>
      <c r="G65" s="180"/>
      <c r="H65" s="180"/>
      <c r="I65" s="181"/>
      <c r="J65" s="182"/>
    </row>
    <row r="66" spans="1:10">
      <c r="A66" s="144" t="s">
        <v>229</v>
      </c>
      <c r="B66" s="176">
        <v>592885.62</v>
      </c>
      <c r="C66" s="157">
        <v>43405</v>
      </c>
      <c r="D66" s="179"/>
      <c r="E66" s="180"/>
      <c r="F66" s="180"/>
      <c r="G66" s="180"/>
      <c r="H66" s="180"/>
      <c r="I66" s="181"/>
      <c r="J66" s="182"/>
    </row>
    <row r="67" spans="1:10">
      <c r="A67" s="144" t="s">
        <v>230</v>
      </c>
      <c r="B67" s="176">
        <v>27150</v>
      </c>
      <c r="C67" s="157">
        <v>43455</v>
      </c>
      <c r="D67" s="179"/>
      <c r="E67" s="180"/>
      <c r="F67" s="180"/>
      <c r="G67" s="180"/>
      <c r="H67" s="180"/>
      <c r="I67" s="181"/>
      <c r="J67" s="182"/>
    </row>
    <row r="68" spans="1:10">
      <c r="A68" s="144" t="s">
        <v>231</v>
      </c>
      <c r="B68" s="176">
        <v>27150</v>
      </c>
      <c r="C68" s="157">
        <v>43449</v>
      </c>
      <c r="D68" s="179"/>
      <c r="E68" s="180"/>
      <c r="F68" s="180"/>
      <c r="G68" s="180"/>
      <c r="H68" s="180"/>
      <c r="I68" s="181"/>
      <c r="J68" s="182"/>
    </row>
    <row r="69" spans="1:10">
      <c r="A69" s="144" t="s">
        <v>179</v>
      </c>
      <c r="B69" s="176">
        <v>57015</v>
      </c>
      <c r="C69" s="157">
        <v>43501</v>
      </c>
      <c r="D69" s="179"/>
      <c r="E69" s="180"/>
      <c r="F69" s="180"/>
      <c r="G69" s="180"/>
      <c r="H69" s="180"/>
      <c r="I69" s="181"/>
      <c r="J69" s="182"/>
    </row>
    <row r="70" spans="1:10">
      <c r="A70" s="144" t="s">
        <v>180</v>
      </c>
      <c r="B70" s="176">
        <v>53505.5</v>
      </c>
      <c r="C70" s="157">
        <v>43501</v>
      </c>
      <c r="D70" s="179"/>
      <c r="E70" s="180"/>
      <c r="F70" s="180"/>
      <c r="G70" s="180"/>
      <c r="H70" s="180"/>
      <c r="I70" s="181"/>
      <c r="J70" s="182"/>
    </row>
    <row r="71" spans="1:10">
      <c r="A71" s="144" t="s">
        <v>232</v>
      </c>
      <c r="B71" s="176">
        <v>231616</v>
      </c>
      <c r="C71" s="157">
        <v>43405</v>
      </c>
      <c r="D71" s="179"/>
      <c r="E71" s="180"/>
      <c r="F71" s="180"/>
      <c r="G71" s="180"/>
      <c r="H71" s="180"/>
      <c r="I71" s="181"/>
      <c r="J71" s="182"/>
    </row>
    <row r="72" spans="1:10">
      <c r="A72" s="144" t="s">
        <v>181</v>
      </c>
      <c r="B72" s="176">
        <v>175525</v>
      </c>
      <c r="C72" s="157">
        <v>43466</v>
      </c>
      <c r="D72" s="179"/>
      <c r="E72" s="180"/>
      <c r="F72" s="180"/>
      <c r="G72" s="180"/>
      <c r="H72" s="180"/>
      <c r="I72" s="181"/>
      <c r="J72" s="182"/>
    </row>
    <row r="73" spans="1:10">
      <c r="A73" s="144" t="s">
        <v>182</v>
      </c>
      <c r="B73" s="176">
        <v>216250</v>
      </c>
      <c r="C73" s="157">
        <v>43532</v>
      </c>
      <c r="D73" s="179"/>
      <c r="E73" s="180"/>
      <c r="F73" s="180"/>
      <c r="G73" s="180"/>
      <c r="H73" s="180"/>
      <c r="I73" s="181"/>
      <c r="J73" s="182"/>
    </row>
    <row r="74" spans="1:10">
      <c r="A74" s="144" t="s">
        <v>183</v>
      </c>
      <c r="B74" s="176">
        <v>133797</v>
      </c>
      <c r="C74" s="157">
        <v>43532</v>
      </c>
      <c r="D74" s="179"/>
      <c r="E74" s="180"/>
      <c r="F74" s="180"/>
      <c r="G74" s="180"/>
      <c r="H74" s="180"/>
      <c r="I74" s="181"/>
      <c r="J74" s="182"/>
    </row>
    <row r="75" spans="1:10">
      <c r="A75" s="144" t="s">
        <v>184</v>
      </c>
      <c r="B75" s="176">
        <v>2357202.5</v>
      </c>
      <c r="C75" s="157">
        <v>43533</v>
      </c>
      <c r="D75" s="179"/>
      <c r="E75" s="180"/>
      <c r="F75" s="180"/>
      <c r="G75" s="180"/>
      <c r="H75" s="180"/>
      <c r="I75" s="181"/>
      <c r="J75" s="182"/>
    </row>
    <row r="76" spans="1:10">
      <c r="A76" s="144" t="s">
        <v>185</v>
      </c>
      <c r="B76" s="176">
        <v>83378</v>
      </c>
      <c r="C76" s="157">
        <v>43532</v>
      </c>
      <c r="D76" s="179"/>
      <c r="E76" s="180"/>
      <c r="F76" s="180"/>
      <c r="G76" s="180"/>
      <c r="H76" s="180"/>
      <c r="I76" s="181"/>
      <c r="J76" s="182"/>
    </row>
    <row r="77" spans="1:10">
      <c r="A77" s="144" t="s">
        <v>186</v>
      </c>
      <c r="B77" s="176">
        <v>86931.5</v>
      </c>
      <c r="C77" s="157">
        <v>43532</v>
      </c>
      <c r="D77" s="179"/>
      <c r="E77" s="180"/>
      <c r="F77" s="180"/>
      <c r="G77" s="180"/>
      <c r="H77" s="180"/>
      <c r="I77" s="181"/>
      <c r="J77" s="182"/>
    </row>
    <row r="78" spans="1:10">
      <c r="A78" s="144" t="s">
        <v>187</v>
      </c>
      <c r="B78" s="176">
        <v>196185</v>
      </c>
      <c r="C78" s="157">
        <v>43532</v>
      </c>
      <c r="D78" s="179"/>
      <c r="E78" s="180"/>
      <c r="F78" s="180"/>
      <c r="G78" s="180"/>
      <c r="H78" s="180"/>
      <c r="I78" s="181"/>
      <c r="J78" s="182"/>
    </row>
    <row r="79" spans="1:10">
      <c r="A79" s="144" t="s">
        <v>188</v>
      </c>
      <c r="B79" s="176">
        <v>511380</v>
      </c>
      <c r="C79" s="157">
        <v>43532</v>
      </c>
      <c r="D79" s="179"/>
      <c r="E79" s="180"/>
      <c r="F79" s="180"/>
      <c r="G79" s="180"/>
      <c r="H79" s="180"/>
      <c r="I79" s="181"/>
      <c r="J79" s="182"/>
    </row>
    <row r="80" spans="1:10">
      <c r="A80" s="144" t="s">
        <v>233</v>
      </c>
      <c r="B80" s="176">
        <v>1021482</v>
      </c>
      <c r="C80" s="157">
        <v>43405</v>
      </c>
      <c r="D80" s="179"/>
      <c r="E80" s="180"/>
      <c r="F80" s="180"/>
      <c r="G80" s="180"/>
      <c r="H80" s="180"/>
      <c r="I80" s="181"/>
      <c r="J80" s="182"/>
    </row>
    <row r="81" spans="1:10">
      <c r="A81" s="144" t="s">
        <v>189</v>
      </c>
      <c r="B81" s="176">
        <v>129000</v>
      </c>
      <c r="C81" s="157">
        <v>43530</v>
      </c>
      <c r="D81" s="179"/>
      <c r="E81" s="180"/>
      <c r="F81" s="180"/>
      <c r="G81" s="180"/>
      <c r="H81" s="180"/>
      <c r="I81" s="181"/>
      <c r="J81" s="182"/>
    </row>
    <row r="82" spans="1:10">
      <c r="A82" s="144" t="s">
        <v>190</v>
      </c>
      <c r="B82" s="176">
        <v>1163059.3500000001</v>
      </c>
      <c r="C82" s="157">
        <v>43497</v>
      </c>
      <c r="D82" s="179"/>
      <c r="E82" s="180"/>
      <c r="F82" s="180"/>
      <c r="G82" s="180"/>
      <c r="H82" s="180"/>
      <c r="I82" s="181"/>
      <c r="J82" s="182"/>
    </row>
    <row r="83" spans="1:10">
      <c r="A83" s="144" t="s">
        <v>191</v>
      </c>
      <c r="B83" s="176">
        <v>1854559.19</v>
      </c>
      <c r="C83" s="157">
        <v>43468</v>
      </c>
      <c r="D83" s="179"/>
      <c r="E83" s="180"/>
      <c r="F83" s="180"/>
      <c r="G83" s="180"/>
      <c r="H83" s="180"/>
      <c r="I83" s="181"/>
      <c r="J83" s="182"/>
    </row>
    <row r="84" spans="1:10">
      <c r="A84" s="144" t="s">
        <v>191</v>
      </c>
      <c r="B84" s="176">
        <v>339915.29</v>
      </c>
      <c r="C84" s="157">
        <v>43543</v>
      </c>
      <c r="D84" s="179"/>
      <c r="E84" s="180"/>
      <c r="F84" s="180"/>
      <c r="G84" s="180"/>
      <c r="H84" s="180"/>
      <c r="I84" s="181"/>
      <c r="J84" s="182"/>
    </row>
    <row r="85" spans="1:10">
      <c r="A85" s="144" t="s">
        <v>192</v>
      </c>
      <c r="B85" s="176">
        <v>26203.4</v>
      </c>
      <c r="C85" s="157">
        <v>43468</v>
      </c>
      <c r="D85" s="179"/>
      <c r="E85" s="180"/>
      <c r="F85" s="180"/>
      <c r="G85" s="180"/>
      <c r="H85" s="180"/>
      <c r="I85" s="181"/>
      <c r="J85" s="182"/>
    </row>
    <row r="86" spans="1:10">
      <c r="A86" s="144" t="s">
        <v>193</v>
      </c>
      <c r="B86" s="176">
        <v>119143</v>
      </c>
      <c r="C86" s="157">
        <v>43552</v>
      </c>
      <c r="D86" s="179"/>
      <c r="E86" s="180"/>
      <c r="F86" s="180"/>
      <c r="G86" s="180"/>
      <c r="H86" s="180"/>
      <c r="I86" s="181"/>
      <c r="J86" s="182"/>
    </row>
    <row r="87" spans="1:10">
      <c r="A87" s="144" t="s">
        <v>194</v>
      </c>
      <c r="B87" s="176">
        <v>93041</v>
      </c>
      <c r="C87" s="157">
        <v>43552</v>
      </c>
      <c r="D87" s="179"/>
      <c r="E87" s="180"/>
      <c r="F87" s="180"/>
      <c r="G87" s="180"/>
      <c r="H87" s="180"/>
      <c r="I87" s="181"/>
      <c r="J87" s="182"/>
    </row>
    <row r="88" spans="1:10">
      <c r="A88" s="144" t="s">
        <v>195</v>
      </c>
      <c r="B88" s="176">
        <v>33332</v>
      </c>
      <c r="C88" s="157">
        <v>43465</v>
      </c>
      <c r="D88" s="179"/>
      <c r="E88" s="180"/>
      <c r="F88" s="180"/>
      <c r="G88" s="180"/>
      <c r="H88" s="180"/>
      <c r="I88" s="181"/>
      <c r="J88" s="182"/>
    </row>
    <row r="89" spans="1:10">
      <c r="A89" s="144" t="s">
        <v>195</v>
      </c>
      <c r="B89" s="176">
        <v>40235</v>
      </c>
      <c r="C89" s="157">
        <v>43466</v>
      </c>
      <c r="D89" s="179"/>
      <c r="E89" s="180"/>
      <c r="F89" s="180"/>
      <c r="G89" s="180"/>
      <c r="H89" s="180"/>
      <c r="I89" s="181"/>
      <c r="J89" s="182"/>
    </row>
    <row r="90" spans="1:10">
      <c r="A90" s="144" t="s">
        <v>195</v>
      </c>
      <c r="B90" s="176">
        <f>23288</f>
        <v>23288</v>
      </c>
      <c r="C90" s="157">
        <v>43467</v>
      </c>
      <c r="D90" s="179"/>
      <c r="E90" s="180"/>
      <c r="F90" s="180"/>
      <c r="G90" s="180"/>
      <c r="H90" s="180"/>
      <c r="I90" s="181"/>
      <c r="J90" s="182"/>
    </row>
    <row r="91" spans="1:10">
      <c r="A91" s="144" t="s">
        <v>195</v>
      </c>
      <c r="B91" s="176">
        <v>18759</v>
      </c>
      <c r="C91" s="157">
        <v>43516</v>
      </c>
      <c r="D91" s="179"/>
      <c r="E91" s="180"/>
      <c r="F91" s="180"/>
      <c r="G91" s="180"/>
      <c r="H91" s="180"/>
      <c r="I91" s="181"/>
      <c r="J91" s="182"/>
    </row>
    <row r="92" spans="1:10">
      <c r="A92" s="144" t="s">
        <v>195</v>
      </c>
      <c r="B92" s="176">
        <v>21541</v>
      </c>
      <c r="C92" s="157">
        <v>43527</v>
      </c>
      <c r="D92" s="179"/>
      <c r="E92" s="180"/>
      <c r="F92" s="180"/>
      <c r="G92" s="180"/>
      <c r="H92" s="180"/>
      <c r="I92" s="181"/>
      <c r="J92" s="182"/>
    </row>
    <row r="93" spans="1:10">
      <c r="A93" s="160" t="s">
        <v>196</v>
      </c>
      <c r="B93" s="178">
        <f>SUM(B39:B92)</f>
        <v>14429758.039999999</v>
      </c>
      <c r="C93" s="157"/>
      <c r="D93" s="158"/>
      <c r="E93" s="139"/>
      <c r="F93" s="144"/>
      <c r="G93" s="144"/>
      <c r="H93" s="144"/>
      <c r="I93" s="176"/>
      <c r="J93" s="159"/>
    </row>
    <row r="94" spans="1:10">
      <c r="A94" s="160"/>
      <c r="B94" s="178"/>
      <c r="C94" s="157"/>
      <c r="D94" s="158"/>
      <c r="E94" s="139"/>
      <c r="F94" s="144"/>
      <c r="G94" s="144"/>
      <c r="H94" s="144"/>
      <c r="I94" s="176"/>
      <c r="J94" s="159"/>
    </row>
    <row r="95" spans="1:10">
      <c r="A95" s="160" t="s">
        <v>2</v>
      </c>
      <c r="B95" s="176"/>
      <c r="C95" s="157"/>
      <c r="D95" s="144"/>
      <c r="E95" s="144"/>
      <c r="F95" s="157"/>
      <c r="G95" s="144"/>
      <c r="H95" s="144"/>
      <c r="I95" s="176"/>
      <c r="J95" s="144"/>
    </row>
    <row r="96" spans="1:10">
      <c r="A96" s="144" t="s">
        <v>210</v>
      </c>
      <c r="B96" s="176">
        <v>3800000</v>
      </c>
      <c r="C96" s="166">
        <v>43435</v>
      </c>
      <c r="D96" s="158">
        <v>0</v>
      </c>
      <c r="E96" s="139">
        <v>10</v>
      </c>
      <c r="F96" s="144">
        <f t="shared" ref="F96" si="36">$F$2-C96</f>
        <v>120</v>
      </c>
      <c r="G96" s="144">
        <f t="shared" ref="G96" si="37">F96/365</f>
        <v>0.32876712328767121</v>
      </c>
      <c r="H96" s="144">
        <f t="shared" ref="H96" si="38">(E96-G96)*365</f>
        <v>3530</v>
      </c>
      <c r="I96" s="176">
        <f t="shared" ref="I96" si="39">(B96-D96)/(E96*365)*F96</f>
        <v>124931.50684931506</v>
      </c>
      <c r="J96" s="159">
        <f t="shared" ref="J96" si="40">B96-I96</f>
        <v>3675068.493150685</v>
      </c>
    </row>
    <row r="97" spans="1:14">
      <c r="A97" s="144"/>
      <c r="B97" s="176"/>
      <c r="C97" s="166"/>
      <c r="D97" s="158"/>
      <c r="E97" s="139"/>
      <c r="F97" s="144"/>
      <c r="G97" s="144"/>
      <c r="H97" s="144"/>
      <c r="I97" s="176"/>
      <c r="J97" s="159"/>
    </row>
    <row r="98" spans="1:14">
      <c r="A98" s="144"/>
      <c r="B98" s="178">
        <f>SUM(B96:B97)</f>
        <v>3800000</v>
      </c>
      <c r="C98" s="157"/>
      <c r="D98" s="162"/>
      <c r="E98" s="144"/>
      <c r="F98" s="144"/>
      <c r="G98" s="144"/>
      <c r="H98" s="144"/>
      <c r="I98" s="178">
        <f t="shared" ref="I98:J98" si="41">SUM(I96:I97)</f>
        <v>124931.50684931506</v>
      </c>
      <c r="J98" s="160">
        <f t="shared" si="41"/>
        <v>3675068.493150685</v>
      </c>
      <c r="N98" s="148">
        <f>J98+'DEP 2018-19'!R351-'Note 12 Fixed Assets 20-21'!M23</f>
        <v>-3103588.5600000005</v>
      </c>
    </row>
    <row r="99" spans="1:14">
      <c r="A99" s="160" t="s">
        <v>6</v>
      </c>
      <c r="B99" s="176"/>
      <c r="C99" s="166"/>
      <c r="D99" s="144"/>
      <c r="E99" s="144"/>
      <c r="F99" s="157"/>
      <c r="G99" s="144"/>
      <c r="H99" s="144"/>
      <c r="I99" s="176"/>
      <c r="J99" s="144"/>
    </row>
    <row r="100" spans="1:14">
      <c r="A100" s="144" t="s">
        <v>211</v>
      </c>
      <c r="B100" s="176">
        <v>28500</v>
      </c>
      <c r="C100" s="166">
        <v>43314</v>
      </c>
      <c r="D100" s="158">
        <f t="shared" ref="D100:D103" si="42">B100*5%</f>
        <v>1425</v>
      </c>
      <c r="E100" s="139">
        <v>10</v>
      </c>
      <c r="F100" s="144">
        <f t="shared" ref="F100:F103" si="43">$F$2-C100</f>
        <v>241</v>
      </c>
      <c r="G100" s="144">
        <f t="shared" ref="G100:G103" si="44">F100/365</f>
        <v>0.66027397260273968</v>
      </c>
      <c r="H100" s="144">
        <f t="shared" ref="H100:H103" si="45">(E100-G100)*365</f>
        <v>3409</v>
      </c>
      <c r="I100" s="176">
        <f t="shared" ref="I100:I103" si="46">(B100-D100)/(E100*365)*F100</f>
        <v>1787.6917808219177</v>
      </c>
      <c r="J100" s="159">
        <f t="shared" ref="J100:J103" si="47">B100-I100</f>
        <v>26712.308219178081</v>
      </c>
    </row>
    <row r="101" spans="1:14">
      <c r="A101" s="144" t="s">
        <v>211</v>
      </c>
      <c r="B101" s="176">
        <v>24152.53</v>
      </c>
      <c r="C101" s="166">
        <v>43518</v>
      </c>
      <c r="D101" s="158">
        <f t="shared" si="42"/>
        <v>1207.6265000000001</v>
      </c>
      <c r="E101" s="139">
        <v>10</v>
      </c>
      <c r="F101" s="144">
        <f t="shared" si="43"/>
        <v>37</v>
      </c>
      <c r="G101" s="144">
        <f t="shared" si="44"/>
        <v>0.10136986301369863</v>
      </c>
      <c r="H101" s="144">
        <f t="shared" si="45"/>
        <v>3613.0000000000005</v>
      </c>
      <c r="I101" s="176">
        <f t="shared" si="46"/>
        <v>232.59217246575341</v>
      </c>
      <c r="J101" s="159">
        <f t="shared" si="47"/>
        <v>23919.937827534246</v>
      </c>
    </row>
    <row r="102" spans="1:14">
      <c r="A102" s="144" t="s">
        <v>212</v>
      </c>
      <c r="B102" s="176">
        <v>7500</v>
      </c>
      <c r="C102" s="166">
        <v>43314</v>
      </c>
      <c r="D102" s="158">
        <f t="shared" si="42"/>
        <v>375</v>
      </c>
      <c r="E102" s="139">
        <v>10</v>
      </c>
      <c r="F102" s="144">
        <f t="shared" si="43"/>
        <v>241</v>
      </c>
      <c r="G102" s="144">
        <f t="shared" si="44"/>
        <v>0.66027397260273968</v>
      </c>
      <c r="H102" s="144">
        <f t="shared" si="45"/>
        <v>3409</v>
      </c>
      <c r="I102" s="176">
        <f t="shared" si="46"/>
        <v>470.44520547945206</v>
      </c>
      <c r="J102" s="159">
        <f t="shared" si="47"/>
        <v>7029.5547945205481</v>
      </c>
    </row>
    <row r="103" spans="1:14">
      <c r="A103" s="144" t="s">
        <v>212</v>
      </c>
      <c r="B103" s="176">
        <v>90000</v>
      </c>
      <c r="C103" s="166">
        <v>43516</v>
      </c>
      <c r="D103" s="158">
        <f t="shared" si="42"/>
        <v>4500</v>
      </c>
      <c r="E103" s="139">
        <v>10</v>
      </c>
      <c r="F103" s="144">
        <f t="shared" si="43"/>
        <v>39</v>
      </c>
      <c r="G103" s="144">
        <f t="shared" si="44"/>
        <v>0.10684931506849316</v>
      </c>
      <c r="H103" s="144">
        <f t="shared" si="45"/>
        <v>3611</v>
      </c>
      <c r="I103" s="176">
        <f t="shared" si="46"/>
        <v>913.56164383561634</v>
      </c>
      <c r="J103" s="159">
        <f t="shared" si="47"/>
        <v>89086.438356164377</v>
      </c>
    </row>
    <row r="104" spans="1:14">
      <c r="A104" s="144"/>
      <c r="B104" s="176"/>
      <c r="C104" s="166"/>
      <c r="D104" s="144"/>
      <c r="E104" s="144"/>
      <c r="F104" s="157"/>
      <c r="G104" s="144"/>
      <c r="H104" s="144"/>
      <c r="I104" s="176"/>
      <c r="J104" s="144"/>
    </row>
    <row r="105" spans="1:14">
      <c r="A105" s="144"/>
      <c r="B105" s="178">
        <f>SUM(B99:B104)</f>
        <v>150152.53</v>
      </c>
      <c r="C105" s="157"/>
      <c r="D105" s="162"/>
      <c r="E105" s="144"/>
      <c r="F105" s="144"/>
      <c r="G105" s="144"/>
      <c r="H105" s="144"/>
      <c r="I105" s="178">
        <f t="shared" ref="I105:J105" si="48">SUM(I99:I104)</f>
        <v>3404.2908026027399</v>
      </c>
      <c r="J105" s="160">
        <f t="shared" si="48"/>
        <v>146748.23919739726</v>
      </c>
      <c r="N105" s="164">
        <f>J105+'DEP 2018-19'!R227-'Note 12 Fixed Assets 20-21'!M13</f>
        <v>-221357.32495733284</v>
      </c>
    </row>
    <row r="106" spans="1:14">
      <c r="A106" s="144"/>
      <c r="B106" s="176"/>
      <c r="C106" s="157"/>
      <c r="D106" s="144"/>
      <c r="E106" s="144"/>
      <c r="F106" s="157"/>
      <c r="G106" s="144"/>
      <c r="H106" s="144"/>
      <c r="I106" s="176"/>
      <c r="J106" s="144"/>
    </row>
    <row r="107" spans="1:14">
      <c r="A107" s="144"/>
      <c r="B107" s="176"/>
      <c r="C107" s="157"/>
      <c r="D107" s="144"/>
      <c r="E107" s="144"/>
      <c r="F107" s="157"/>
      <c r="G107" s="144"/>
      <c r="H107" s="144"/>
      <c r="I107" s="176"/>
      <c r="J107" s="144"/>
    </row>
    <row r="108" spans="1:14">
      <c r="A108" s="187" t="s">
        <v>234</v>
      </c>
      <c r="B108" s="176"/>
      <c r="C108" s="157"/>
      <c r="D108" s="144"/>
      <c r="E108" s="144"/>
      <c r="F108" s="157"/>
      <c r="G108" s="144"/>
      <c r="H108" s="144"/>
      <c r="I108" s="176"/>
      <c r="J108" s="144"/>
    </row>
    <row r="109" spans="1:14">
      <c r="A109" s="160" t="s">
        <v>5</v>
      </c>
      <c r="B109" s="176">
        <v>31000</v>
      </c>
      <c r="C109" s="166">
        <v>43555</v>
      </c>
      <c r="D109" s="158">
        <f t="shared" ref="D109" si="49">B109*5%</f>
        <v>1550</v>
      </c>
      <c r="E109" s="139">
        <v>3</v>
      </c>
      <c r="F109" s="144">
        <f t="shared" ref="F109" si="50">$F$2-C109</f>
        <v>0</v>
      </c>
      <c r="G109" s="144">
        <f t="shared" ref="G109" si="51">F109/365</f>
        <v>0</v>
      </c>
      <c r="H109" s="144">
        <f t="shared" ref="H109" si="52">(E109-G109)*365</f>
        <v>1095</v>
      </c>
      <c r="I109" s="176">
        <f t="shared" ref="I109" si="53">(B109-D109)/(E109*365)*F109</f>
        <v>0</v>
      </c>
      <c r="J109" s="159">
        <f t="shared" ref="J109" si="54">B109-I109</f>
        <v>31000</v>
      </c>
    </row>
    <row r="110" spans="1:14">
      <c r="A110" s="144"/>
      <c r="B110" s="176"/>
      <c r="C110" s="157"/>
      <c r="D110" s="144"/>
      <c r="E110" s="144"/>
      <c r="F110" s="157"/>
      <c r="G110" s="144"/>
      <c r="H110" s="144"/>
      <c r="I110" s="176"/>
      <c r="J110" s="144"/>
    </row>
    <row r="111" spans="1:14">
      <c r="A111" s="187" t="s">
        <v>6</v>
      </c>
      <c r="B111" s="176"/>
      <c r="C111" s="157"/>
      <c r="D111" s="144"/>
      <c r="E111" s="144"/>
      <c r="F111" s="157"/>
      <c r="G111" s="144"/>
      <c r="H111" s="144"/>
      <c r="I111" s="176"/>
      <c r="J111" s="144"/>
    </row>
    <row r="112" spans="1:14">
      <c r="A112" s="144" t="s">
        <v>235</v>
      </c>
      <c r="B112" s="176">
        <v>16960</v>
      </c>
      <c r="C112" s="166">
        <v>43511</v>
      </c>
      <c r="D112" s="158">
        <f t="shared" ref="D112" si="55">B112*5%</f>
        <v>848</v>
      </c>
      <c r="E112" s="139">
        <v>10</v>
      </c>
      <c r="F112" s="144">
        <f t="shared" ref="F112" si="56">$F$2-C112</f>
        <v>44</v>
      </c>
      <c r="G112" s="144">
        <f t="shared" ref="G112" si="57">F112/365</f>
        <v>0.12054794520547946</v>
      </c>
      <c r="H112" s="144">
        <f t="shared" ref="H112" si="58">(E112-G112)*365</f>
        <v>3605.9999999999995</v>
      </c>
      <c r="I112" s="176">
        <f t="shared" ref="I112" si="59">(B112-D112)/(E112*365)*F112</f>
        <v>194.22684931506848</v>
      </c>
      <c r="J112" s="159">
        <f t="shared" ref="J112" si="60">B112-I112</f>
        <v>16765.77315068493</v>
      </c>
    </row>
    <row r="113" spans="1:10">
      <c r="A113" s="144" t="s">
        <v>236</v>
      </c>
      <c r="B113" s="176">
        <v>3500</v>
      </c>
      <c r="C113" s="166">
        <v>43555</v>
      </c>
      <c r="D113" s="158">
        <f t="shared" ref="D113" si="61">B113*5%</f>
        <v>175</v>
      </c>
      <c r="E113" s="139">
        <v>10</v>
      </c>
      <c r="F113" s="144">
        <f t="shared" ref="F113" si="62">$F$2-C113</f>
        <v>0</v>
      </c>
      <c r="G113" s="144">
        <f t="shared" ref="G113" si="63">F113/365</f>
        <v>0</v>
      </c>
      <c r="H113" s="144">
        <f t="shared" ref="H113" si="64">(E113-G113)*365</f>
        <v>3650</v>
      </c>
      <c r="I113" s="176">
        <f t="shared" ref="I113" si="65">(B113-D113)/(E113*365)*F113</f>
        <v>0</v>
      </c>
      <c r="J113" s="159">
        <f t="shared" ref="J113" si="66">B113-I113</f>
        <v>3500</v>
      </c>
    </row>
    <row r="114" spans="1:10">
      <c r="A114" s="144" t="s">
        <v>237</v>
      </c>
      <c r="B114" s="176">
        <v>8400</v>
      </c>
      <c r="C114" s="166">
        <v>43555</v>
      </c>
      <c r="D114" s="158">
        <f t="shared" ref="D114" si="67">B114*5%</f>
        <v>420</v>
      </c>
      <c r="E114" s="139">
        <v>10</v>
      </c>
      <c r="F114" s="144">
        <f t="shared" ref="F114" si="68">$F$2-C114</f>
        <v>0</v>
      </c>
      <c r="G114" s="144">
        <f t="shared" ref="G114" si="69">F114/365</f>
        <v>0</v>
      </c>
      <c r="H114" s="144">
        <f t="shared" ref="H114" si="70">(E114-G114)*365</f>
        <v>3650</v>
      </c>
      <c r="I114" s="176">
        <f t="shared" ref="I114" si="71">(B114-D114)/(E114*365)*F114</f>
        <v>0</v>
      </c>
      <c r="J114" s="159">
        <f t="shared" ref="J114" si="72">B114-I114</f>
        <v>8400</v>
      </c>
    </row>
    <row r="115" spans="1:10">
      <c r="A115" s="144" t="s">
        <v>238</v>
      </c>
      <c r="B115" s="176">
        <v>30400</v>
      </c>
      <c r="C115" s="166">
        <v>43555</v>
      </c>
      <c r="D115" s="158">
        <f t="shared" ref="D115" si="73">B115*5%</f>
        <v>1520</v>
      </c>
      <c r="E115" s="139">
        <v>10</v>
      </c>
      <c r="F115" s="144">
        <f t="shared" ref="F115" si="74">$F$2-C115</f>
        <v>0</v>
      </c>
      <c r="G115" s="144">
        <f t="shared" ref="G115" si="75">F115/365</f>
        <v>0</v>
      </c>
      <c r="H115" s="144">
        <f t="shared" ref="H115" si="76">(E115-G115)*365</f>
        <v>3650</v>
      </c>
      <c r="I115" s="176">
        <f t="shared" ref="I115" si="77">(B115-D115)/(E115*365)*F115</f>
        <v>0</v>
      </c>
      <c r="J115" s="159">
        <f t="shared" ref="J115" si="78">B115-I115</f>
        <v>30400</v>
      </c>
    </row>
    <row r="116" spans="1:10">
      <c r="A116" s="144" t="s">
        <v>239</v>
      </c>
      <c r="B116" s="176">
        <v>25000</v>
      </c>
      <c r="C116" s="166">
        <v>43512</v>
      </c>
      <c r="D116" s="158">
        <f t="shared" ref="D116" si="79">B116*5%</f>
        <v>1250</v>
      </c>
      <c r="E116" s="139">
        <v>10</v>
      </c>
      <c r="F116" s="144">
        <f t="shared" ref="F116" si="80">$F$2-C116</f>
        <v>43</v>
      </c>
      <c r="G116" s="144">
        <f t="shared" ref="G116" si="81">F116/365</f>
        <v>0.11780821917808219</v>
      </c>
      <c r="H116" s="144">
        <f t="shared" ref="H116" si="82">(E116-G116)*365</f>
        <v>3607</v>
      </c>
      <c r="I116" s="176">
        <f t="shared" ref="I116" si="83">(B116-D116)/(E116*365)*F116</f>
        <v>279.79452054794518</v>
      </c>
      <c r="J116" s="159">
        <f t="shared" ref="J116" si="84">B116-I116</f>
        <v>24720.205479452055</v>
      </c>
    </row>
    <row r="117" spans="1:10">
      <c r="A117" s="144"/>
      <c r="B117" s="188">
        <f>SUM(B112:B116)</f>
        <v>84260</v>
      </c>
      <c r="C117" s="166"/>
      <c r="D117" s="158"/>
      <c r="E117" s="139"/>
      <c r="F117" s="144"/>
      <c r="G117" s="144"/>
      <c r="H117" s="144"/>
      <c r="I117" s="188">
        <f>SUM(I112:I116)</f>
        <v>474.02136986301366</v>
      </c>
      <c r="J117" s="188">
        <f>SUM(J112:J116)</f>
        <v>83785.97863013699</v>
      </c>
    </row>
    <row r="118" spans="1:10">
      <c r="A118" s="187" t="s">
        <v>240</v>
      </c>
      <c r="B118" s="176"/>
      <c r="C118" s="157"/>
      <c r="D118" s="144"/>
      <c r="E118" s="144"/>
      <c r="F118" s="157"/>
      <c r="G118" s="144"/>
      <c r="H118" s="144"/>
      <c r="I118" s="176"/>
      <c r="J118" s="144"/>
    </row>
    <row r="119" spans="1:10">
      <c r="A119" s="144" t="s">
        <v>241</v>
      </c>
      <c r="B119" s="176">
        <v>20700</v>
      </c>
      <c r="C119" s="166">
        <v>43555</v>
      </c>
      <c r="D119" s="158">
        <f t="shared" ref="D119" si="85">B119*5%</f>
        <v>1035</v>
      </c>
      <c r="E119" s="139">
        <v>5</v>
      </c>
      <c r="F119" s="144">
        <f t="shared" ref="F119" si="86">$F$2-C119</f>
        <v>0</v>
      </c>
      <c r="G119" s="144">
        <f t="shared" ref="G119" si="87">F119/365</f>
        <v>0</v>
      </c>
      <c r="H119" s="144">
        <f t="shared" ref="H119" si="88">(E119-G119)*365</f>
        <v>1825</v>
      </c>
      <c r="I119" s="176">
        <f t="shared" ref="I119" si="89">(B119-D119)/(E119*365)*F119</f>
        <v>0</v>
      </c>
      <c r="J119" s="159">
        <f t="shared" ref="J119" si="90">B119-I119</f>
        <v>20700</v>
      </c>
    </row>
    <row r="122" spans="1:10">
      <c r="I122" s="172">
        <f>I16+I22+I25+I37+I98+I105</f>
        <v>367462.8243421918</v>
      </c>
    </row>
  </sheetData>
  <mergeCells count="1">
    <mergeCell ref="A38:C38"/>
  </mergeCells>
  <printOptions horizontalCentered="1"/>
  <pageMargins left="0" right="0" top="0.75" bottom="0.75" header="0.3" footer="0.3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Note 12 Fixed Assets 20-21</vt:lpstr>
      <vt:lpstr>DEP 2020-21</vt:lpstr>
      <vt:lpstr>DEP ADD 2020-21</vt:lpstr>
      <vt:lpstr>Dep additional for  Expansion</vt:lpstr>
      <vt:lpstr>Note 12 Fixed Assets 18-19 (2)</vt:lpstr>
      <vt:lpstr>DEP 2018-19</vt:lpstr>
      <vt:lpstr>DEP ADD 2018-19</vt:lpstr>
      <vt:lpstr>'DEP ADD 2018-19'!Print_Area</vt:lpstr>
      <vt:lpstr>'Note 12 Fixed Assets 18-19 (2)'!Print_Area</vt:lpstr>
      <vt:lpstr>'Note 12 Fixed Assets 20-21'!Print_Area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2021-09-06T06:12:55Z</dcterms:modified>
</cp:coreProperties>
</file>