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Z:\In Progress Files\Tejash Bharadwaj\VIS(2021-22)-PL672-Q162-906-1184, Pratap Towers\Documents\"/>
    </mc:Choice>
  </mc:AlternateContent>
  <xr:revisionPtr revIDLastSave="0" documentId="13_ncr:1_{966E30E3-6C2E-4588-8782-9B70CFD9D5C3}" xr6:coauthVersionLast="47" xr6:coauthVersionMax="47" xr10:uidLastSave="{00000000-0000-0000-0000-000000000000}"/>
  <bookViews>
    <workbookView xWindow="-120" yWindow="-120" windowWidth="24240" windowHeight="13140" activeTab="1" xr2:uid="{00000000-000D-0000-FFFF-FFFF00000000}"/>
  </bookViews>
  <sheets>
    <sheet name="Area Details" sheetId="1" r:id="rId1"/>
    <sheet name="Agreement Cost est." sheetId="2" r:id="rId2"/>
    <sheet name="Cons. Cost Working" sheetId="3" r:id="rId3"/>
    <sheet name="Sheet1" sheetId="4"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9" i="2" l="1"/>
  <c r="J9" i="3" l="1"/>
  <c r="K9" i="3" s="1"/>
  <c r="J8" i="3"/>
  <c r="K8" i="3" s="1"/>
  <c r="K10" i="3" l="1"/>
  <c r="I49" i="3"/>
  <c r="J48" i="3"/>
  <c r="L48" i="3" s="1"/>
  <c r="J47" i="3"/>
  <c r="L47" i="3" s="1"/>
  <c r="J46" i="3"/>
  <c r="L46" i="3" s="1"/>
  <c r="J45" i="3"/>
  <c r="L45" i="3" s="1"/>
  <c r="J44" i="3"/>
  <c r="L44" i="3" s="1"/>
  <c r="J43" i="3"/>
  <c r="J42" i="3"/>
  <c r="L42" i="3" s="1"/>
  <c r="C49" i="3"/>
  <c r="D43" i="3"/>
  <c r="D44" i="3"/>
  <c r="F44" i="3" s="1"/>
  <c r="D45" i="3"/>
  <c r="F45" i="3" s="1"/>
  <c r="D46" i="3"/>
  <c r="F46" i="3" s="1"/>
  <c r="D47" i="3"/>
  <c r="F47" i="3" s="1"/>
  <c r="D48" i="3"/>
  <c r="F48" i="3" s="1"/>
  <c r="D42" i="3"/>
  <c r="I37" i="3"/>
  <c r="J37" i="3" s="1"/>
  <c r="L37" i="3" s="1"/>
  <c r="I15" i="3"/>
  <c r="J15" i="3" s="1"/>
  <c r="L15" i="3" s="1"/>
  <c r="I16" i="3"/>
  <c r="I31" i="3"/>
  <c r="J31" i="3" s="1"/>
  <c r="J32" i="3" s="1"/>
  <c r="L32" i="3" s="1"/>
  <c r="I36" i="3"/>
  <c r="J36" i="3" s="1"/>
  <c r="L36" i="3" s="1"/>
  <c r="J26" i="3"/>
  <c r="J29" i="3" s="1"/>
  <c r="L29" i="3" s="1"/>
  <c r="J21" i="3"/>
  <c r="J24" i="3" s="1"/>
  <c r="L24" i="3" s="1"/>
  <c r="K17" i="3"/>
  <c r="K38" i="3" s="1"/>
  <c r="J14" i="3"/>
  <c r="E17" i="3"/>
  <c r="C9" i="3"/>
  <c r="D9" i="3"/>
  <c r="C8" i="3"/>
  <c r="D31" i="3"/>
  <c r="D34" i="3" s="1"/>
  <c r="F34" i="3" s="1"/>
  <c r="D15" i="3"/>
  <c r="F15" i="3" s="1"/>
  <c r="D16" i="3"/>
  <c r="D18" i="3" s="1"/>
  <c r="F18" i="3" s="1"/>
  <c r="D21" i="3"/>
  <c r="D26" i="3"/>
  <c r="D29" i="3" s="1"/>
  <c r="F29" i="3" s="1"/>
  <c r="D36" i="3"/>
  <c r="D37" i="3"/>
  <c r="D14" i="3"/>
  <c r="C38" i="3"/>
  <c r="E23" i="1"/>
  <c r="D23" i="1" s="1"/>
  <c r="E24" i="1"/>
  <c r="D24" i="1" s="1"/>
  <c r="E25" i="1"/>
  <c r="D25" i="1" s="1"/>
  <c r="E26" i="1"/>
  <c r="D26" i="1" s="1"/>
  <c r="E22" i="1"/>
  <c r="D22" i="1" s="1"/>
  <c r="F6" i="2"/>
  <c r="H6" i="2" s="1"/>
  <c r="F7" i="2"/>
  <c r="H7" i="2" s="1"/>
  <c r="F8" i="2"/>
  <c r="H8" i="2" s="1"/>
  <c r="F9" i="2"/>
  <c r="H9" i="2" s="1"/>
  <c r="F10" i="2"/>
  <c r="H10" i="2" s="1"/>
  <c r="F11" i="2"/>
  <c r="H11" i="2" s="1"/>
  <c r="F12" i="2"/>
  <c r="H12" i="2" s="1"/>
  <c r="F13" i="2"/>
  <c r="H13" i="2" s="1"/>
  <c r="F14" i="2"/>
  <c r="H14" i="2" s="1"/>
  <c r="F15" i="2"/>
  <c r="H15" i="2" s="1"/>
  <c r="F16" i="2"/>
  <c r="H16" i="2" s="1"/>
  <c r="F17" i="2"/>
  <c r="H17" i="2" s="1"/>
  <c r="F18" i="2"/>
  <c r="H18" i="2" s="1"/>
  <c r="F5" i="2"/>
  <c r="H5" i="2" s="1"/>
  <c r="E6" i="2"/>
  <c r="E7" i="2"/>
  <c r="E8" i="2"/>
  <c r="E9" i="2"/>
  <c r="E10" i="2"/>
  <c r="E11" i="2"/>
  <c r="E12" i="2"/>
  <c r="E13" i="2"/>
  <c r="E14" i="2"/>
  <c r="E15" i="2"/>
  <c r="E16" i="2"/>
  <c r="E17" i="2"/>
  <c r="E18" i="2"/>
  <c r="E5" i="2"/>
  <c r="D19" i="2"/>
  <c r="I12" i="1"/>
  <c r="H8" i="1"/>
  <c r="H9" i="1"/>
  <c r="H10" i="1"/>
  <c r="H11" i="1"/>
  <c r="H7" i="1"/>
  <c r="E5" i="1"/>
  <c r="E6" i="1"/>
  <c r="E7" i="1"/>
  <c r="E8" i="1"/>
  <c r="E9" i="1"/>
  <c r="E10" i="1"/>
  <c r="E11" i="1"/>
  <c r="E13" i="1"/>
  <c r="E14" i="1"/>
  <c r="E4" i="1"/>
  <c r="D12" i="1"/>
  <c r="E12" i="1" s="1"/>
  <c r="H19" i="2" l="1"/>
  <c r="F19" i="2"/>
  <c r="E19" i="2"/>
  <c r="E8" i="3"/>
  <c r="E10" i="3" s="1"/>
  <c r="J27" i="3"/>
  <c r="L27" i="3" s="1"/>
  <c r="D17" i="3"/>
  <c r="F17" i="3" s="1"/>
  <c r="J28" i="3"/>
  <c r="L28" i="3" s="1"/>
  <c r="D49" i="3"/>
  <c r="E51" i="3" s="1"/>
  <c r="F42" i="3"/>
  <c r="K43" i="3"/>
  <c r="K49" i="3" s="1"/>
  <c r="F43" i="3"/>
  <c r="E49" i="3"/>
  <c r="D20" i="3"/>
  <c r="F20" i="3" s="1"/>
  <c r="J22" i="3"/>
  <c r="L22" i="3" s="1"/>
  <c r="J30" i="3"/>
  <c r="L30" i="3" s="1"/>
  <c r="J25" i="3"/>
  <c r="L25" i="3" s="1"/>
  <c r="J23" i="3"/>
  <c r="L23" i="3" s="1"/>
  <c r="J49" i="3"/>
  <c r="E9" i="3"/>
  <c r="J35" i="3"/>
  <c r="L35" i="3" s="1"/>
  <c r="J34" i="3"/>
  <c r="L34" i="3" s="1"/>
  <c r="I38" i="3"/>
  <c r="J33" i="3"/>
  <c r="L33" i="3" s="1"/>
  <c r="J16" i="3"/>
  <c r="L14" i="3"/>
  <c r="D33" i="3"/>
  <c r="F33" i="3" s="1"/>
  <c r="D38" i="3"/>
  <c r="D22" i="3"/>
  <c r="F22" i="3" s="1"/>
  <c r="D27" i="3"/>
  <c r="F27" i="3" s="1"/>
  <c r="D28" i="3"/>
  <c r="F28" i="3" s="1"/>
  <c r="D19" i="3"/>
  <c r="F19" i="3" s="1"/>
  <c r="D24" i="3"/>
  <c r="F24" i="3" s="1"/>
  <c r="D30" i="3"/>
  <c r="F30" i="3" s="1"/>
  <c r="D35" i="3"/>
  <c r="F35" i="3" s="1"/>
  <c r="F14" i="3"/>
  <c r="D25" i="3"/>
  <c r="F25" i="3" s="1"/>
  <c r="D32" i="3"/>
  <c r="F32" i="3" s="1"/>
  <c r="D23" i="3"/>
  <c r="F23" i="3" s="1"/>
  <c r="H12" i="1"/>
  <c r="D27" i="1"/>
  <c r="E27" i="1" s="1"/>
  <c r="F37" i="3"/>
  <c r="E38" i="3"/>
  <c r="L43" i="3" l="1"/>
  <c r="L49" i="3" s="1"/>
  <c r="F49" i="3"/>
  <c r="F38" i="3"/>
  <c r="J38" i="3"/>
  <c r="J19" i="3"/>
  <c r="L19" i="3" s="1"/>
  <c r="J20" i="3"/>
  <c r="L20" i="3" s="1"/>
  <c r="J17" i="3"/>
  <c r="L17" i="3" s="1"/>
  <c r="J18" i="3"/>
  <c r="L18" i="3" s="1"/>
  <c r="L38" i="3" l="1"/>
</calcChain>
</file>

<file path=xl/sharedStrings.xml><?xml version="1.0" encoding="utf-8"?>
<sst xmlns="http://schemas.openxmlformats.org/spreadsheetml/2006/main" count="241" uniqueCount="100">
  <si>
    <t>Total Plot Area:</t>
  </si>
  <si>
    <t xml:space="preserve">Road widening Area: </t>
  </si>
  <si>
    <t xml:space="preserve">Net Plot Area: </t>
  </si>
  <si>
    <t xml:space="preserve">Covered area of Basement: </t>
  </si>
  <si>
    <t xml:space="preserve">Covered area of Ground floor: </t>
  </si>
  <si>
    <t>Covered area of first floor</t>
  </si>
  <si>
    <t xml:space="preserve">Covered area of second floor: </t>
  </si>
  <si>
    <t>Description</t>
  </si>
  <si>
    <t>Total Covered area</t>
  </si>
  <si>
    <t>Total Floor Area</t>
  </si>
  <si>
    <t>Open Area</t>
  </si>
  <si>
    <t xml:space="preserve">Covered area of Third floor: </t>
  </si>
  <si>
    <t>Covered Parking area</t>
  </si>
  <si>
    <t>6.31 ECS</t>
  </si>
  <si>
    <t>Open Parking area</t>
  </si>
  <si>
    <t>1085 ECS</t>
  </si>
  <si>
    <r>
      <t>Area (m</t>
    </r>
    <r>
      <rPr>
        <b/>
        <vertAlign val="superscript"/>
        <sz val="11"/>
        <color theme="0"/>
        <rFont val="Calibri (body)"/>
      </rPr>
      <t>2</t>
    </r>
    <r>
      <rPr>
        <b/>
        <sz val="11"/>
        <color theme="0"/>
        <rFont val="Calibri (body)"/>
      </rPr>
      <t>)</t>
    </r>
  </si>
  <si>
    <t>Parking Details</t>
  </si>
  <si>
    <r>
      <t>Area (ft</t>
    </r>
    <r>
      <rPr>
        <b/>
        <vertAlign val="superscript"/>
        <sz val="11"/>
        <color theme="0"/>
        <rFont val="Calibri (body)"/>
      </rPr>
      <t>2</t>
    </r>
    <r>
      <rPr>
        <b/>
        <sz val="11"/>
        <color theme="0"/>
        <rFont val="Calibri (body)"/>
      </rPr>
      <t>)</t>
    </r>
  </si>
  <si>
    <t>Building Details as per Approved Plan</t>
  </si>
  <si>
    <t>Building Details as per Agreement</t>
  </si>
  <si>
    <t>NA</t>
  </si>
  <si>
    <t>Sr. No.</t>
  </si>
  <si>
    <t>Particulars</t>
  </si>
  <si>
    <t>Estimate</t>
  </si>
  <si>
    <t>4 Water Tank</t>
  </si>
  <si>
    <t>2 Septic tank</t>
  </si>
  <si>
    <t>Basement walls + ramp</t>
  </si>
  <si>
    <t>Slab + Beam</t>
  </si>
  <si>
    <t>Cement Plaster</t>
  </si>
  <si>
    <t>Oil bound distempering</t>
  </si>
  <si>
    <t>Electricity and sanitary</t>
  </si>
  <si>
    <t>Ground floor</t>
  </si>
  <si>
    <t>Architect fee</t>
  </si>
  <si>
    <t>Advance to Raw material supplier for next floor</t>
  </si>
  <si>
    <t>First Floor work</t>
  </si>
  <si>
    <t>Second floor work</t>
  </si>
  <si>
    <t>Third Floor work + balance architecture fee</t>
  </si>
  <si>
    <t>Grand Total</t>
  </si>
  <si>
    <t>Progress Observed</t>
  </si>
  <si>
    <t>Building Details as per Actual Site Drawings</t>
  </si>
  <si>
    <t>RCC Rates of construction</t>
  </si>
  <si>
    <t>Basement Construction Area</t>
  </si>
  <si>
    <t>Ground floor construction area</t>
  </si>
  <si>
    <t>Site work</t>
  </si>
  <si>
    <t>Foundation</t>
  </si>
  <si>
    <t>Framing</t>
  </si>
  <si>
    <t>Exterior finishes</t>
  </si>
  <si>
    <t>Interior finishes</t>
  </si>
  <si>
    <t>Final steps</t>
  </si>
  <si>
    <t>Others</t>
  </si>
  <si>
    <t>Ground Floor</t>
  </si>
  <si>
    <t>First Floor</t>
  </si>
  <si>
    <t>Second Floor</t>
  </si>
  <si>
    <t>Third Floor</t>
  </si>
  <si>
    <t xml:space="preserve">Major systems </t>
  </si>
  <si>
    <t>-</t>
  </si>
  <si>
    <t>Cost</t>
  </si>
  <si>
    <t>Percetage Allocation</t>
  </si>
  <si>
    <t>Amount</t>
  </si>
  <si>
    <t>Site Progress</t>
  </si>
  <si>
    <t>METHOD 2</t>
  </si>
  <si>
    <t>Total</t>
  </si>
  <si>
    <t>METHOD 1</t>
  </si>
  <si>
    <t>Area</t>
  </si>
  <si>
    <t>Percentage Allocation</t>
  </si>
  <si>
    <t>Excavation, Concrete for foundation and Plinth</t>
  </si>
  <si>
    <t>Superstructure, Concrete and brickwork</t>
  </si>
  <si>
    <t>Roof slab</t>
  </si>
  <si>
    <t>Flooring</t>
  </si>
  <si>
    <t>Plastering and painting</t>
  </si>
  <si>
    <t>Doors, windows &amp; woodwork</t>
  </si>
  <si>
    <t>Water Supply, Santiary fittings, electrification and others</t>
  </si>
  <si>
    <t>PerceNtage Allocation</t>
  </si>
  <si>
    <r>
      <t>Rate/m</t>
    </r>
    <r>
      <rPr>
        <b/>
        <vertAlign val="superscript"/>
        <sz val="11"/>
        <color theme="0"/>
        <rFont val="Calibri"/>
        <family val="2"/>
        <scheme val="minor"/>
      </rPr>
      <t>2</t>
    </r>
  </si>
  <si>
    <t>Total Project Cost (Rs.)</t>
  </si>
  <si>
    <t>METHOD 1A (Market Rate Analysis)</t>
  </si>
  <si>
    <t>METHOD 2A (Modifying Method 2)</t>
  </si>
  <si>
    <t>METHOD 3 (TATA Tiscon estimates)</t>
  </si>
  <si>
    <t>METHOD 4 (BMTPC estimates)</t>
  </si>
  <si>
    <t>Expenses</t>
  </si>
  <si>
    <t>CONSTRUCTION COST ASSESSMENT AS PER AGREEMENT</t>
  </si>
  <si>
    <t>Remarks</t>
  </si>
  <si>
    <t>Foundation + Column Work</t>
  </si>
  <si>
    <t>No plaster works is started in the project</t>
  </si>
  <si>
    <t>No Oil bound distempering works started in the project.</t>
  </si>
  <si>
    <t>No electricity and sanitary works started in the project.</t>
  </si>
  <si>
    <t>Foundation and column works have been considered only for basement area for half of the columns only reinforcement binding is done and cement concrete works were pending. Foundation works were found to be completed. Percentage progress has been taken accordingly.</t>
  </si>
  <si>
    <t>Ramp work has not yet started. Therefore the progress percentage pertains to only Basement walls. Approximately 45% of the basement walls were completed. For remaining walls reinforcement works were completed but Cement concrete works were pending.</t>
  </si>
  <si>
    <t>Slab + Beam works have been considered for Ground floor only since only one side Ground floor works have completed.</t>
  </si>
  <si>
    <t>No description is mentioned in relation to the works that has to be carried out in this item. Therefore no cost has been taken under this head.</t>
  </si>
  <si>
    <t>No invoice has been given against this item. Therefore no cost has been taken under this head.</t>
  </si>
  <si>
    <t>Against the provided bill we do not have any breakup against the adavnce to raw material suppliers for next floor. Therefore no cost has been taken under this head.</t>
  </si>
  <si>
    <t>First floor construction works have not been started yet.</t>
  </si>
  <si>
    <t>Second floor construction works have not been started yet.</t>
  </si>
  <si>
    <t>Third floor construction works have not been started yet.</t>
  </si>
  <si>
    <t>2 septic tanks were under construction stage during site visit.</t>
  </si>
  <si>
    <t>No water tank were found to be constructed during site visit.</t>
  </si>
  <si>
    <t>CONSTRUCTION COST ASSESSMENT| M/S PRATAP TOWERS PRIVATE LIMITED| HALDWANI, DISTRICT NAINITAL, UTTARAKHAND | SITE VISIT DATED MARCH 14, 2022</t>
  </si>
  <si>
    <r>
      <rPr>
        <b/>
        <sz val="11"/>
        <color theme="1"/>
        <rFont val="Calibri"/>
        <family val="2"/>
        <scheme val="minor"/>
      </rPr>
      <t xml:space="preserve">Note: </t>
    </r>
    <r>
      <rPr>
        <sz val="11"/>
        <color theme="1"/>
        <rFont val="Calibri"/>
        <family val="2"/>
        <scheme val="minor"/>
      </rPr>
      <t xml:space="preserve">
1. Percentage progress has been done based on Actual physical progress obsereved during site visit considering Stages of construction mentioned in agreement rather than specific measurements, since Detailed BOQ was not provided to us.
2. As per site visit conducted on March 14, 2022, the  company has constructed area more than the approved area. Therfore as per our assessment based on actual physical progress observed during site visit and site specific drawings shared by the company, they have incurred approximately Rs.1.30 Crore on the project till the date of site visit.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</si>
</sst>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 #,##0.00_-;_-* &quot;-&quot;??_-;_-@_-"/>
    <numFmt numFmtId="165" formatCode="_ [$₹-4009]\ * #,##0.00_ ;_ [$₹-4009]\ * \-#,##0.00_ ;_ [$₹-4009]\ * &quot;-&quot;??_ ;_ @_ "/>
  </numFmts>
  <fonts count="1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body)"/>
    </font>
    <font>
      <sz val="11"/>
      <color theme="1"/>
      <name val="Calibri (body)"/>
    </font>
    <font>
      <b/>
      <sz val="11"/>
      <color theme="0"/>
      <name val="Calibri (body)"/>
    </font>
    <font>
      <b/>
      <vertAlign val="superscript"/>
      <sz val="11"/>
      <color theme="0"/>
      <name val="Calibri (body)"/>
    </font>
    <font>
      <b/>
      <vertAlign val="superscript"/>
      <sz val="11"/>
      <color theme="0"/>
      <name val="Calibri"/>
      <family val="2"/>
      <scheme val="minor"/>
    </font>
    <font>
      <b/>
      <sz val="12"/>
      <color theme="1"/>
      <name val="Calibri"/>
      <family val="2"/>
      <scheme val="minor"/>
    </font>
    <font>
      <b/>
      <u/>
      <sz val="16"/>
      <color theme="1"/>
      <name val="Calibri"/>
      <family val="2"/>
      <scheme val="minor"/>
    </font>
    <font>
      <b/>
      <u/>
      <sz val="14"/>
      <color theme="1"/>
      <name val="Calibri"/>
      <family val="2"/>
      <scheme val="minor"/>
    </font>
    <font>
      <b/>
      <i/>
      <sz val="11"/>
      <color theme="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3" fillId="0" borderId="0" xfId="0" applyFont="1"/>
    <xf numFmtId="0" fontId="0" fillId="0" borderId="0" xfId="0" applyAlignment="1">
      <alignment horizontal="right"/>
    </xf>
    <xf numFmtId="0" fontId="5" fillId="0" borderId="0" xfId="0" applyFont="1"/>
    <xf numFmtId="0" fontId="6" fillId="4" borderId="1" xfId="0" applyFont="1" applyFill="1" applyBorder="1"/>
    <xf numFmtId="0" fontId="6" fillId="4" borderId="1" xfId="0" applyFont="1" applyFill="1" applyBorder="1" applyAlignment="1">
      <alignment horizontal="center"/>
    </xf>
    <xf numFmtId="0" fontId="5" fillId="0" borderId="1" xfId="0" applyFont="1" applyBorder="1" applyAlignment="1">
      <alignment vertical="center"/>
    </xf>
    <xf numFmtId="0" fontId="5" fillId="0" borderId="1" xfId="0" applyFont="1" applyBorder="1"/>
    <xf numFmtId="0" fontId="5" fillId="0" borderId="1" xfId="0" applyFont="1" applyBorder="1" applyAlignment="1">
      <alignment horizontal="justify" vertical="center"/>
    </xf>
    <xf numFmtId="0" fontId="5" fillId="0" borderId="1" xfId="0" applyFont="1" applyBorder="1" applyAlignment="1">
      <alignment horizontal="right"/>
    </xf>
    <xf numFmtId="0" fontId="5" fillId="0" borderId="1" xfId="0" applyFont="1" applyBorder="1" applyAlignment="1">
      <alignment horizontal="right" vertical="center"/>
    </xf>
    <xf numFmtId="0" fontId="5" fillId="0" borderId="0" xfId="0" applyFont="1" applyFill="1"/>
    <xf numFmtId="0" fontId="4" fillId="0" borderId="1" xfId="0" applyFont="1" applyFill="1" applyBorder="1" applyAlignment="1">
      <alignment vertical="center"/>
    </xf>
    <xf numFmtId="164" fontId="5" fillId="0" borderId="1" xfId="1" applyFont="1" applyBorder="1"/>
    <xf numFmtId="164" fontId="5" fillId="0" borderId="1" xfId="1" applyFont="1" applyBorder="1" applyAlignment="1">
      <alignment vertical="center"/>
    </xf>
    <xf numFmtId="164" fontId="4" fillId="0" borderId="1" xfId="1" applyFont="1" applyFill="1" applyBorder="1"/>
    <xf numFmtId="2" fontId="5" fillId="0" borderId="1" xfId="0" applyNumberFormat="1" applyFont="1" applyBorder="1" applyAlignment="1">
      <alignment horizontal="right" vertical="center"/>
    </xf>
    <xf numFmtId="164" fontId="5" fillId="0" borderId="1" xfId="1" applyFont="1" applyBorder="1" applyAlignment="1">
      <alignment horizontal="right" vertical="center"/>
    </xf>
    <xf numFmtId="164" fontId="4" fillId="0" borderId="1" xfId="1" applyFont="1" applyFill="1" applyBorder="1" applyAlignment="1">
      <alignment horizontal="right" vertical="center"/>
    </xf>
    <xf numFmtId="0" fontId="0" fillId="0" borderId="1" xfId="0" applyBorder="1"/>
    <xf numFmtId="0" fontId="3" fillId="0" borderId="1" xfId="0" applyFont="1" applyBorder="1"/>
    <xf numFmtId="0" fontId="2" fillId="4" borderId="1" xfId="0" applyFont="1" applyFill="1" applyBorder="1" applyAlignment="1">
      <alignment horizontal="center" vertical="center"/>
    </xf>
    <xf numFmtId="0" fontId="2" fillId="4" borderId="1" xfId="0" applyFont="1" applyFill="1" applyBorder="1"/>
    <xf numFmtId="0" fontId="3" fillId="2" borderId="1" xfId="0" applyFont="1" applyFill="1" applyBorder="1"/>
    <xf numFmtId="9" fontId="0" fillId="0" borderId="1" xfId="0" applyNumberFormat="1" applyBorder="1"/>
    <xf numFmtId="0" fontId="0" fillId="0" borderId="0" xfId="0" applyAlignment="1">
      <alignment horizontal="right" vertical="center"/>
    </xf>
    <xf numFmtId="10" fontId="0" fillId="0" borderId="1" xfId="0" applyNumberFormat="1" applyBorder="1" applyAlignment="1">
      <alignment horizontal="right" vertical="center"/>
    </xf>
    <xf numFmtId="10" fontId="3" fillId="0" borderId="1" xfId="0" applyNumberFormat="1" applyFont="1" applyBorder="1" applyAlignment="1">
      <alignment horizontal="right" vertical="center"/>
    </xf>
    <xf numFmtId="9" fontId="3" fillId="0" borderId="1" xfId="0" applyNumberFormat="1" applyFont="1" applyBorder="1"/>
    <xf numFmtId="164" fontId="0" fillId="0" borderId="1" xfId="0" applyNumberFormat="1" applyBorder="1"/>
    <xf numFmtId="2" fontId="0" fillId="0" borderId="1" xfId="0" applyNumberFormat="1" applyBorder="1" applyAlignment="1">
      <alignment horizontal="center"/>
    </xf>
    <xf numFmtId="0" fontId="3" fillId="0" borderId="1" xfId="0" applyFont="1" applyFill="1" applyBorder="1" applyAlignment="1">
      <alignment wrapText="1"/>
    </xf>
    <xf numFmtId="9" fontId="0" fillId="0" borderId="1" xfId="0" applyNumberFormat="1" applyBorder="1" applyAlignment="1">
      <alignment horizontal="right" vertical="center"/>
    </xf>
    <xf numFmtId="0" fontId="3" fillId="0" borderId="1" xfId="0" applyFont="1" applyFill="1" applyBorder="1" applyAlignment="1">
      <alignment horizontal="left" vertical="center" wrapText="1"/>
    </xf>
    <xf numFmtId="0" fontId="2" fillId="4" borderId="1" xfId="0" applyFont="1" applyFill="1" applyBorder="1" applyAlignment="1">
      <alignment horizontal="center"/>
    </xf>
    <xf numFmtId="0" fontId="9" fillId="0" borderId="0" xfId="0" applyFont="1"/>
    <xf numFmtId="164" fontId="9" fillId="0" borderId="0" xfId="1" applyFont="1"/>
    <xf numFmtId="164" fontId="3" fillId="3" borderId="1" xfId="0" applyNumberFormat="1" applyFont="1" applyFill="1" applyBorder="1"/>
    <xf numFmtId="0" fontId="2" fillId="4" borderId="1" xfId="0" applyFont="1" applyFill="1" applyBorder="1" applyAlignment="1">
      <alignment horizontal="right" vertical="center"/>
    </xf>
    <xf numFmtId="0" fontId="2" fillId="4" borderId="1" xfId="0" applyFont="1" applyFill="1" applyBorder="1" applyAlignment="1">
      <alignment horizontal="right"/>
    </xf>
    <xf numFmtId="10" fontId="3" fillId="2" borderId="1" xfId="0" applyNumberFormat="1" applyFont="1" applyFill="1" applyBorder="1" applyAlignment="1">
      <alignment horizontal="right" vertical="center"/>
    </xf>
    <xf numFmtId="9" fontId="3" fillId="2" borderId="1" xfId="0" applyNumberFormat="1" applyFont="1" applyFill="1" applyBorder="1"/>
    <xf numFmtId="0" fontId="3" fillId="2" borderId="1" xfId="0" applyFont="1" applyFill="1" applyBorder="1" applyAlignment="1">
      <alignment wrapText="1"/>
    </xf>
    <xf numFmtId="9" fontId="3" fillId="2" borderId="1" xfId="0" applyNumberFormat="1" applyFont="1" applyFill="1" applyBorder="1" applyAlignment="1">
      <alignment horizontal="right" vertical="center"/>
    </xf>
    <xf numFmtId="9" fontId="3" fillId="2" borderId="1" xfId="0" applyNumberFormat="1" applyFont="1" applyFill="1" applyBorder="1" applyAlignment="1">
      <alignment horizontal="right"/>
    </xf>
    <xf numFmtId="165" fontId="3" fillId="0" borderId="1" xfId="0" applyNumberFormat="1" applyFont="1" applyBorder="1"/>
    <xf numFmtId="165" fontId="0" fillId="0" borderId="1" xfId="0" applyNumberFormat="1" applyBorder="1"/>
    <xf numFmtId="165" fontId="3" fillId="2" borderId="1" xfId="0" applyNumberFormat="1" applyFont="1" applyFill="1" applyBorder="1"/>
    <xf numFmtId="165" fontId="3" fillId="0" borderId="1" xfId="0" applyNumberFormat="1" applyFont="1" applyBorder="1" applyAlignment="1">
      <alignment horizontal="right"/>
    </xf>
    <xf numFmtId="165" fontId="0" fillId="0" borderId="1" xfId="0" applyNumberFormat="1" applyBorder="1" applyAlignment="1">
      <alignment horizontal="right"/>
    </xf>
    <xf numFmtId="165" fontId="3" fillId="2" borderId="1" xfId="0" applyNumberFormat="1" applyFont="1" applyFill="1" applyBorder="1" applyAlignment="1">
      <alignment horizontal="right"/>
    </xf>
    <xf numFmtId="165" fontId="3" fillId="0" borderId="1" xfId="0" applyNumberFormat="1" applyFont="1" applyBorder="1" applyAlignment="1">
      <alignment horizontal="right" vertical="center"/>
    </xf>
    <xf numFmtId="165" fontId="3" fillId="2" borderId="1" xfId="0" applyNumberFormat="1" applyFont="1" applyFill="1" applyBorder="1" applyAlignment="1">
      <alignment horizontal="right" vertical="center"/>
    </xf>
    <xf numFmtId="0" fontId="0" fillId="5" borderId="0" xfId="0" applyFill="1"/>
    <xf numFmtId="0" fontId="3" fillId="5" borderId="0" xfId="0" applyFont="1" applyFill="1"/>
    <xf numFmtId="164" fontId="5" fillId="0" borderId="0" xfId="0" applyNumberFormat="1" applyFont="1"/>
    <xf numFmtId="165" fontId="0" fillId="0" borderId="0" xfId="0" applyNumberFormat="1"/>
    <xf numFmtId="0" fontId="0" fillId="6" borderId="0" xfId="0" applyFill="1"/>
    <xf numFmtId="0" fontId="0" fillId="6" borderId="1" xfId="0" applyFill="1" applyBorder="1" applyAlignment="1">
      <alignment horizontal="center" vertical="center"/>
    </xf>
    <xf numFmtId="0" fontId="0" fillId="6" borderId="1" xfId="0" applyFill="1" applyBorder="1"/>
    <xf numFmtId="2" fontId="0" fillId="6" borderId="1" xfId="0" applyNumberFormat="1" applyFill="1" applyBorder="1"/>
    <xf numFmtId="0" fontId="3" fillId="6" borderId="0" xfId="0" applyFont="1" applyFill="1"/>
    <xf numFmtId="0" fontId="0" fillId="6" borderId="0" xfId="0" applyFill="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xf numFmtId="0" fontId="2" fillId="7" borderId="5" xfId="0" applyFont="1" applyFill="1" applyBorder="1"/>
    <xf numFmtId="0" fontId="3" fillId="3" borderId="1" xfId="0" applyFont="1" applyFill="1" applyBorder="1" applyAlignment="1">
      <alignment horizontal="center" vertical="center"/>
    </xf>
    <xf numFmtId="0" fontId="3" fillId="3" borderId="1" xfId="0" applyFont="1" applyFill="1" applyBorder="1"/>
    <xf numFmtId="2" fontId="3" fillId="3" borderId="1" xfId="0" applyNumberFormat="1" applyFont="1" applyFill="1" applyBorder="1"/>
    <xf numFmtId="9" fontId="3" fillId="3" borderId="1" xfId="2" applyFont="1" applyFill="1" applyBorder="1"/>
    <xf numFmtId="2" fontId="3" fillId="3" borderId="1" xfId="2" applyNumberFormat="1" applyFont="1" applyFill="1" applyBorder="1"/>
    <xf numFmtId="0" fontId="11" fillId="6" borderId="0" xfId="0" applyFont="1" applyFill="1" applyAlignment="1">
      <alignment vertical="center"/>
    </xf>
    <xf numFmtId="0" fontId="3" fillId="6" borderId="1" xfId="0" applyFont="1" applyFill="1" applyBorder="1"/>
    <xf numFmtId="0" fontId="0" fillId="6" borderId="1" xfId="0" applyFill="1" applyBorder="1" applyAlignment="1">
      <alignment wrapText="1"/>
    </xf>
    <xf numFmtId="0" fontId="0" fillId="6" borderId="1" xfId="0" applyFill="1" applyBorder="1" applyAlignment="1">
      <alignment vertical="center"/>
    </xf>
    <xf numFmtId="2" fontId="0" fillId="6" borderId="1" xfId="0" applyNumberFormat="1" applyFill="1" applyBorder="1" applyAlignment="1">
      <alignment vertical="center"/>
    </xf>
    <xf numFmtId="9" fontId="0" fillId="6" borderId="1" xfId="2" applyFont="1" applyFill="1" applyBorder="1" applyAlignment="1">
      <alignment vertical="center"/>
    </xf>
    <xf numFmtId="0" fontId="6" fillId="4" borderId="1" xfId="0" applyFont="1" applyFill="1" applyBorder="1" applyAlignment="1">
      <alignment horizont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0" fillId="6" borderId="1" xfId="0" applyFill="1" applyBorder="1" applyAlignment="1">
      <alignment horizontal="left" vertical="center" wrapText="1"/>
    </xf>
    <xf numFmtId="0" fontId="12" fillId="7" borderId="0" xfId="0" applyFont="1" applyFill="1" applyAlignment="1">
      <alignment horizontal="center" vertical="center"/>
    </xf>
    <xf numFmtId="0" fontId="2" fillId="4"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10" fillId="0" borderId="0" xfId="0" applyFont="1" applyAlignment="1">
      <alignment horizontal="left"/>
    </xf>
    <xf numFmtId="0" fontId="0" fillId="0" borderId="0" xfId="0" applyAlignment="1">
      <alignment horizontal="center"/>
    </xf>
    <xf numFmtId="43" fontId="5" fillId="0" borderId="0" xfId="0" applyNumberFormat="1"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27"/>
  <sheetViews>
    <sheetView workbookViewId="0">
      <selection activeCell="G22" sqref="G22"/>
    </sheetView>
  </sheetViews>
  <sheetFormatPr defaultRowHeight="14.25"/>
  <cols>
    <col min="1" max="2" width="9.140625" style="3"/>
    <col min="3" max="3" width="29.7109375" style="3" bestFit="1" customWidth="1"/>
    <col min="4" max="4" width="11.85546875" style="3" bestFit="1" customWidth="1"/>
    <col min="5" max="5" width="11.5703125" style="3" bestFit="1" customWidth="1"/>
    <col min="6" max="6" width="9.140625" style="3"/>
    <col min="7" max="7" width="29.7109375" style="3" bestFit="1" customWidth="1"/>
    <col min="8" max="8" width="10.7109375" style="3" bestFit="1" customWidth="1"/>
    <col min="9" max="9" width="11.5703125" style="3" bestFit="1" customWidth="1"/>
    <col min="10" max="16384" width="9.140625" style="3"/>
  </cols>
  <sheetData>
    <row r="2" spans="3:9" ht="15">
      <c r="C2" s="77" t="s">
        <v>19</v>
      </c>
      <c r="D2" s="77"/>
      <c r="E2" s="77"/>
      <c r="G2" s="77" t="s">
        <v>20</v>
      </c>
      <c r="H2" s="77"/>
      <c r="I2" s="77"/>
    </row>
    <row r="3" spans="3:9" ht="17.25">
      <c r="C3" s="4" t="s">
        <v>7</v>
      </c>
      <c r="D3" s="5" t="s">
        <v>16</v>
      </c>
      <c r="E3" s="4" t="s">
        <v>18</v>
      </c>
      <c r="G3" s="4" t="s">
        <v>7</v>
      </c>
      <c r="H3" s="5" t="s">
        <v>16</v>
      </c>
      <c r="I3" s="4" t="s">
        <v>18</v>
      </c>
    </row>
    <row r="4" spans="3:9">
      <c r="C4" s="6" t="s">
        <v>0</v>
      </c>
      <c r="D4" s="13">
        <v>1158.74</v>
      </c>
      <c r="E4" s="13">
        <f>D4*10.7639</f>
        <v>12472.561486000001</v>
      </c>
      <c r="G4" s="6" t="s">
        <v>0</v>
      </c>
      <c r="H4" s="10" t="s">
        <v>21</v>
      </c>
      <c r="I4" s="16" t="s">
        <v>21</v>
      </c>
    </row>
    <row r="5" spans="3:9">
      <c r="C5" s="6" t="s">
        <v>1</v>
      </c>
      <c r="D5" s="14">
        <v>198.38</v>
      </c>
      <c r="E5" s="13">
        <f t="shared" ref="E5:E14" si="0">D5*10.7639</f>
        <v>2135.342482</v>
      </c>
      <c r="G5" s="6" t="s">
        <v>1</v>
      </c>
      <c r="H5" s="10" t="s">
        <v>21</v>
      </c>
      <c r="I5" s="16" t="s">
        <v>21</v>
      </c>
    </row>
    <row r="6" spans="3:9">
      <c r="C6" s="6" t="s">
        <v>2</v>
      </c>
      <c r="D6" s="14">
        <v>960.36</v>
      </c>
      <c r="E6" s="13">
        <f t="shared" si="0"/>
        <v>10337.219004</v>
      </c>
      <c r="G6" s="6" t="s">
        <v>2</v>
      </c>
      <c r="H6" s="10" t="s">
        <v>21</v>
      </c>
      <c r="I6" s="16" t="s">
        <v>21</v>
      </c>
    </row>
    <row r="7" spans="3:9">
      <c r="C7" s="6" t="s">
        <v>3</v>
      </c>
      <c r="D7" s="14">
        <v>218.25</v>
      </c>
      <c r="E7" s="13">
        <f t="shared" si="0"/>
        <v>2349.2211750000001</v>
      </c>
      <c r="G7" s="6" t="s">
        <v>3</v>
      </c>
      <c r="H7" s="17">
        <f>I7/10.7639</f>
        <v>218.1365490203365</v>
      </c>
      <c r="I7" s="17">
        <v>2348</v>
      </c>
    </row>
    <row r="8" spans="3:9">
      <c r="C8" s="6" t="s">
        <v>4</v>
      </c>
      <c r="D8" s="14">
        <v>283.85000000000002</v>
      </c>
      <c r="E8" s="13">
        <f t="shared" si="0"/>
        <v>3055.3330150000002</v>
      </c>
      <c r="G8" s="6" t="s">
        <v>4</v>
      </c>
      <c r="H8" s="17">
        <f t="shared" ref="H8:H11" si="1">I8/10.7639</f>
        <v>283.72615873428776</v>
      </c>
      <c r="I8" s="17">
        <v>3054</v>
      </c>
    </row>
    <row r="9" spans="3:9">
      <c r="C9" s="6" t="s">
        <v>5</v>
      </c>
      <c r="D9" s="14">
        <v>283.85000000000002</v>
      </c>
      <c r="E9" s="13">
        <f t="shared" si="0"/>
        <v>3055.3330150000002</v>
      </c>
      <c r="G9" s="6" t="s">
        <v>5</v>
      </c>
      <c r="H9" s="17">
        <f t="shared" si="1"/>
        <v>283.72615873428776</v>
      </c>
      <c r="I9" s="17">
        <v>3054</v>
      </c>
    </row>
    <row r="10" spans="3:9">
      <c r="C10" s="8" t="s">
        <v>6</v>
      </c>
      <c r="D10" s="14">
        <v>283.85000000000002</v>
      </c>
      <c r="E10" s="13">
        <f t="shared" si="0"/>
        <v>3055.3330150000002</v>
      </c>
      <c r="G10" s="8" t="s">
        <v>6</v>
      </c>
      <c r="H10" s="17">
        <f t="shared" si="1"/>
        <v>283.72615873428776</v>
      </c>
      <c r="I10" s="17">
        <v>3054</v>
      </c>
    </row>
    <row r="11" spans="3:9">
      <c r="C11" s="8" t="s">
        <v>11</v>
      </c>
      <c r="D11" s="14">
        <v>283.85000000000002</v>
      </c>
      <c r="E11" s="13">
        <f t="shared" si="0"/>
        <v>3055.3330150000002</v>
      </c>
      <c r="G11" s="8" t="s">
        <v>11</v>
      </c>
      <c r="H11" s="17">
        <f t="shared" si="1"/>
        <v>283.72615873428776</v>
      </c>
      <c r="I11" s="17">
        <v>3054</v>
      </c>
    </row>
    <row r="12" spans="3:9" s="11" customFormat="1" ht="15">
      <c r="C12" s="12" t="s">
        <v>8</v>
      </c>
      <c r="D12" s="15">
        <f>SUM(D7:D11)</f>
        <v>1353.65</v>
      </c>
      <c r="E12" s="15">
        <f t="shared" si="0"/>
        <v>14570.553235000001</v>
      </c>
      <c r="G12" s="12" t="s">
        <v>8</v>
      </c>
      <c r="H12" s="18">
        <f>SUM(H7:H11)</f>
        <v>1353.0411839574876</v>
      </c>
      <c r="I12" s="18">
        <f>SUM(I7:I11)</f>
        <v>14564</v>
      </c>
    </row>
    <row r="13" spans="3:9">
      <c r="C13" s="6" t="s">
        <v>9</v>
      </c>
      <c r="D13" s="14">
        <v>953.73</v>
      </c>
      <c r="E13" s="13">
        <f t="shared" si="0"/>
        <v>10265.854347</v>
      </c>
      <c r="G13" s="6" t="s">
        <v>9</v>
      </c>
      <c r="H13" s="10" t="s">
        <v>21</v>
      </c>
      <c r="I13" s="16" t="s">
        <v>21</v>
      </c>
    </row>
    <row r="14" spans="3:9">
      <c r="C14" s="6" t="s">
        <v>10</v>
      </c>
      <c r="D14" s="14">
        <v>676.51</v>
      </c>
      <c r="E14" s="13">
        <f t="shared" si="0"/>
        <v>7281.8859889999994</v>
      </c>
      <c r="G14" s="6" t="s">
        <v>10</v>
      </c>
      <c r="H14" s="10" t="s">
        <v>21</v>
      </c>
      <c r="I14" s="16" t="s">
        <v>21</v>
      </c>
    </row>
    <row r="15" spans="3:9" ht="15">
      <c r="C15" s="78" t="s">
        <v>17</v>
      </c>
      <c r="D15" s="79"/>
      <c r="E15" s="80"/>
      <c r="G15" s="78" t="s">
        <v>17</v>
      </c>
      <c r="H15" s="79"/>
      <c r="I15" s="80"/>
    </row>
    <row r="16" spans="3:9">
      <c r="C16" s="7" t="s">
        <v>12</v>
      </c>
      <c r="D16" s="9" t="s">
        <v>13</v>
      </c>
      <c r="E16" s="7"/>
      <c r="G16" s="7" t="s">
        <v>12</v>
      </c>
      <c r="H16" s="9" t="s">
        <v>13</v>
      </c>
      <c r="I16" s="7"/>
    </row>
    <row r="17" spans="3:9">
      <c r="C17" s="7" t="s">
        <v>14</v>
      </c>
      <c r="D17" s="10" t="s">
        <v>15</v>
      </c>
      <c r="E17" s="7"/>
      <c r="G17" s="7" t="s">
        <v>14</v>
      </c>
      <c r="H17" s="10" t="s">
        <v>15</v>
      </c>
      <c r="I17" s="7"/>
    </row>
    <row r="20" spans="3:9" ht="15">
      <c r="C20" s="77" t="s">
        <v>40</v>
      </c>
      <c r="D20" s="77"/>
      <c r="E20" s="77"/>
    </row>
    <row r="21" spans="3:9" ht="17.25">
      <c r="C21" s="4" t="s">
        <v>7</v>
      </c>
      <c r="D21" s="5" t="s">
        <v>16</v>
      </c>
      <c r="E21" s="4" t="s">
        <v>18</v>
      </c>
    </row>
    <row r="22" spans="3:9">
      <c r="C22" s="6" t="s">
        <v>3</v>
      </c>
      <c r="D22" s="17">
        <f>E22/10.7639</f>
        <v>773.88307212069981</v>
      </c>
      <c r="E22" s="17">
        <f>119*70</f>
        <v>8330</v>
      </c>
      <c r="G22" s="89"/>
    </row>
    <row r="23" spans="3:9">
      <c r="C23" s="6" t="s">
        <v>4</v>
      </c>
      <c r="D23" s="17">
        <f t="shared" ref="D23:D26" si="2">E23/10.7639</f>
        <v>773.88307212069981</v>
      </c>
      <c r="E23" s="17">
        <f t="shared" ref="E23:E26" si="3">119*70</f>
        <v>8330</v>
      </c>
      <c r="G23" s="55"/>
    </row>
    <row r="24" spans="3:9">
      <c r="C24" s="6" t="s">
        <v>5</v>
      </c>
      <c r="D24" s="17">
        <f t="shared" si="2"/>
        <v>773.88307212069981</v>
      </c>
      <c r="E24" s="17">
        <f t="shared" si="3"/>
        <v>8330</v>
      </c>
    </row>
    <row r="25" spans="3:9">
      <c r="C25" s="8" t="s">
        <v>6</v>
      </c>
      <c r="D25" s="17">
        <f t="shared" si="2"/>
        <v>773.88307212069981</v>
      </c>
      <c r="E25" s="17">
        <f t="shared" si="3"/>
        <v>8330</v>
      </c>
    </row>
    <row r="26" spans="3:9">
      <c r="C26" s="8" t="s">
        <v>11</v>
      </c>
      <c r="D26" s="17">
        <f t="shared" si="2"/>
        <v>773.88307212069981</v>
      </c>
      <c r="E26" s="17">
        <f t="shared" si="3"/>
        <v>8330</v>
      </c>
    </row>
    <row r="27" spans="3:9" ht="15">
      <c r="C27" s="12" t="s">
        <v>8</v>
      </c>
      <c r="D27" s="15">
        <f>SUM(D22:D26)</f>
        <v>3869.4153606034988</v>
      </c>
      <c r="E27" s="15">
        <f t="shared" ref="E27" si="4">D27*10.7639</f>
        <v>41650</v>
      </c>
    </row>
  </sheetData>
  <mergeCells count="5">
    <mergeCell ref="C20:E20"/>
    <mergeCell ref="C2:E2"/>
    <mergeCell ref="C15:E15"/>
    <mergeCell ref="G2:I2"/>
    <mergeCell ref="G15: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0"/>
  <sheetViews>
    <sheetView tabSelected="1" topLeftCell="A6" workbookViewId="0">
      <selection activeCell="B3" sqref="B3:I20"/>
    </sheetView>
  </sheetViews>
  <sheetFormatPr defaultRowHeight="15"/>
  <cols>
    <col min="1" max="1" width="2" style="57" customWidth="1"/>
    <col min="2" max="2" width="6.85546875" style="62" bestFit="1" customWidth="1"/>
    <col min="3" max="3" width="43.85546875" style="57" bestFit="1" customWidth="1"/>
    <col min="4" max="5" width="9.140625" style="57" hidden="1" customWidth="1"/>
    <col min="6" max="6" width="9.140625" style="57"/>
    <col min="7" max="7" width="17.85546875" style="57" bestFit="1" customWidth="1"/>
    <col min="8" max="8" width="9.28515625" style="57" bestFit="1" customWidth="1"/>
    <col min="9" max="9" width="89.140625" style="57" bestFit="1" customWidth="1"/>
    <col min="10" max="16384" width="9.140625" style="57"/>
  </cols>
  <sheetData>
    <row r="2" spans="2:9" ht="18.75">
      <c r="B2" s="71" t="s">
        <v>81</v>
      </c>
      <c r="C2" s="71"/>
    </row>
    <row r="3" spans="2:9">
      <c r="B3" s="82" t="s">
        <v>98</v>
      </c>
      <c r="C3" s="82"/>
      <c r="D3" s="82"/>
      <c r="E3" s="82"/>
      <c r="F3" s="82"/>
      <c r="G3" s="82"/>
      <c r="H3" s="82"/>
      <c r="I3" s="82"/>
    </row>
    <row r="4" spans="2:9">
      <c r="B4" s="63" t="s">
        <v>22</v>
      </c>
      <c r="C4" s="64" t="s">
        <v>23</v>
      </c>
      <c r="D4" s="64" t="s">
        <v>24</v>
      </c>
      <c r="E4" s="64" t="s">
        <v>24</v>
      </c>
      <c r="F4" s="64" t="s">
        <v>24</v>
      </c>
      <c r="G4" s="64" t="s">
        <v>39</v>
      </c>
      <c r="H4" s="65" t="s">
        <v>80</v>
      </c>
      <c r="I4" s="65" t="s">
        <v>82</v>
      </c>
    </row>
    <row r="5" spans="2:9">
      <c r="B5" s="58">
        <v>1</v>
      </c>
      <c r="C5" s="74" t="s">
        <v>25</v>
      </c>
      <c r="D5" s="59">
        <v>1459700</v>
      </c>
      <c r="E5" s="60">
        <f>D5/100000</f>
        <v>14.597</v>
      </c>
      <c r="F5" s="75">
        <f>D5/10000000</f>
        <v>0.14596999999999999</v>
      </c>
      <c r="G5" s="76">
        <v>0</v>
      </c>
      <c r="H5" s="75">
        <f>F5*G5</f>
        <v>0</v>
      </c>
      <c r="I5" s="59" t="s">
        <v>97</v>
      </c>
    </row>
    <row r="6" spans="2:9">
      <c r="B6" s="58">
        <v>2</v>
      </c>
      <c r="C6" s="74" t="s">
        <v>26</v>
      </c>
      <c r="D6" s="59">
        <v>457650</v>
      </c>
      <c r="E6" s="60">
        <f t="shared" ref="E6:E18" si="0">D6/100000</f>
        <v>4.5765000000000002</v>
      </c>
      <c r="F6" s="75">
        <f t="shared" ref="F6:F18" si="1">D6/10000000</f>
        <v>4.5765E-2</v>
      </c>
      <c r="G6" s="76">
        <v>0.9</v>
      </c>
      <c r="H6" s="75">
        <f t="shared" ref="H6:H18" si="2">F6*G6</f>
        <v>4.1188500000000003E-2</v>
      </c>
      <c r="I6" s="59" t="s">
        <v>96</v>
      </c>
    </row>
    <row r="7" spans="2:9" ht="45">
      <c r="B7" s="58">
        <v>3</v>
      </c>
      <c r="C7" s="74" t="s">
        <v>83</v>
      </c>
      <c r="D7" s="59">
        <v>2418829</v>
      </c>
      <c r="E7" s="60">
        <f t="shared" si="0"/>
        <v>24.188289999999999</v>
      </c>
      <c r="F7" s="75">
        <f t="shared" si="1"/>
        <v>0.24188290000000001</v>
      </c>
      <c r="G7" s="76">
        <v>0.8</v>
      </c>
      <c r="H7" s="75">
        <f t="shared" si="2"/>
        <v>0.19350632000000001</v>
      </c>
      <c r="I7" s="73" t="s">
        <v>87</v>
      </c>
    </row>
    <row r="8" spans="2:9" ht="45">
      <c r="B8" s="58">
        <v>4</v>
      </c>
      <c r="C8" s="74" t="s">
        <v>27</v>
      </c>
      <c r="D8" s="59">
        <v>3571494</v>
      </c>
      <c r="E8" s="60">
        <f t="shared" si="0"/>
        <v>35.714939999999999</v>
      </c>
      <c r="F8" s="75">
        <f t="shared" si="1"/>
        <v>0.35714940000000001</v>
      </c>
      <c r="G8" s="76">
        <v>0.45</v>
      </c>
      <c r="H8" s="75">
        <f t="shared" si="2"/>
        <v>0.16071723000000002</v>
      </c>
      <c r="I8" s="73" t="s">
        <v>88</v>
      </c>
    </row>
    <row r="9" spans="2:9" ht="30">
      <c r="B9" s="58">
        <v>5</v>
      </c>
      <c r="C9" s="74" t="s">
        <v>28</v>
      </c>
      <c r="D9" s="59">
        <v>927168</v>
      </c>
      <c r="E9" s="60">
        <f t="shared" si="0"/>
        <v>9.2716799999999999</v>
      </c>
      <c r="F9" s="75">
        <f t="shared" si="1"/>
        <v>9.2716800000000002E-2</v>
      </c>
      <c r="G9" s="76">
        <v>0.3</v>
      </c>
      <c r="H9" s="75">
        <f t="shared" si="2"/>
        <v>2.7815039999999999E-2</v>
      </c>
      <c r="I9" s="73" t="s">
        <v>89</v>
      </c>
    </row>
    <row r="10" spans="2:9">
      <c r="B10" s="58">
        <v>6</v>
      </c>
      <c r="C10" s="74" t="s">
        <v>29</v>
      </c>
      <c r="D10" s="59">
        <v>1350960</v>
      </c>
      <c r="E10" s="60">
        <f t="shared" si="0"/>
        <v>13.509600000000001</v>
      </c>
      <c r="F10" s="75">
        <f t="shared" si="1"/>
        <v>0.13509599999999999</v>
      </c>
      <c r="G10" s="76">
        <v>0</v>
      </c>
      <c r="H10" s="75">
        <f t="shared" si="2"/>
        <v>0</v>
      </c>
      <c r="I10" s="59" t="s">
        <v>84</v>
      </c>
    </row>
    <row r="11" spans="2:9">
      <c r="B11" s="58">
        <v>7</v>
      </c>
      <c r="C11" s="74" t="s">
        <v>30</v>
      </c>
      <c r="D11" s="59">
        <v>1104150</v>
      </c>
      <c r="E11" s="60">
        <f t="shared" si="0"/>
        <v>11.041499999999999</v>
      </c>
      <c r="F11" s="75">
        <f t="shared" si="1"/>
        <v>0.110415</v>
      </c>
      <c r="G11" s="76">
        <v>0</v>
      </c>
      <c r="H11" s="75">
        <f t="shared" si="2"/>
        <v>0</v>
      </c>
      <c r="I11" s="59" t="s">
        <v>85</v>
      </c>
    </row>
    <row r="12" spans="2:9">
      <c r="B12" s="58">
        <v>8</v>
      </c>
      <c r="C12" s="74" t="s">
        <v>31</v>
      </c>
      <c r="D12" s="59">
        <v>994676</v>
      </c>
      <c r="E12" s="60">
        <f t="shared" si="0"/>
        <v>9.9467599999999994</v>
      </c>
      <c r="F12" s="75">
        <f t="shared" si="1"/>
        <v>9.9467600000000003E-2</v>
      </c>
      <c r="G12" s="76">
        <v>0</v>
      </c>
      <c r="H12" s="75">
        <f t="shared" si="2"/>
        <v>0</v>
      </c>
      <c r="I12" s="59" t="s">
        <v>86</v>
      </c>
    </row>
    <row r="13" spans="2:9" ht="30">
      <c r="B13" s="58">
        <v>9</v>
      </c>
      <c r="C13" s="74" t="s">
        <v>32</v>
      </c>
      <c r="D13" s="59">
        <v>7428844</v>
      </c>
      <c r="E13" s="60">
        <f t="shared" si="0"/>
        <v>74.288439999999994</v>
      </c>
      <c r="F13" s="75">
        <f t="shared" si="1"/>
        <v>0.7428844</v>
      </c>
      <c r="G13" s="76">
        <v>0</v>
      </c>
      <c r="H13" s="75">
        <f t="shared" si="2"/>
        <v>0</v>
      </c>
      <c r="I13" s="73" t="s">
        <v>90</v>
      </c>
    </row>
    <row r="14" spans="2:9">
      <c r="B14" s="58">
        <v>10</v>
      </c>
      <c r="C14" s="74" t="s">
        <v>33</v>
      </c>
      <c r="D14" s="59">
        <v>1500000</v>
      </c>
      <c r="E14" s="60">
        <f t="shared" si="0"/>
        <v>15</v>
      </c>
      <c r="F14" s="75">
        <f t="shared" si="1"/>
        <v>0.15</v>
      </c>
      <c r="G14" s="76">
        <v>0</v>
      </c>
      <c r="H14" s="75">
        <f t="shared" si="2"/>
        <v>0</v>
      </c>
      <c r="I14" s="59" t="s">
        <v>91</v>
      </c>
    </row>
    <row r="15" spans="2:9" ht="30">
      <c r="B15" s="58">
        <v>11</v>
      </c>
      <c r="C15" s="74" t="s">
        <v>34</v>
      </c>
      <c r="D15" s="59">
        <v>1800000</v>
      </c>
      <c r="E15" s="60">
        <f t="shared" si="0"/>
        <v>18</v>
      </c>
      <c r="F15" s="75">
        <f t="shared" si="1"/>
        <v>0.18</v>
      </c>
      <c r="G15" s="76">
        <v>0</v>
      </c>
      <c r="H15" s="75">
        <f t="shared" si="2"/>
        <v>0</v>
      </c>
      <c r="I15" s="73" t="s">
        <v>92</v>
      </c>
    </row>
    <row r="16" spans="2:9">
      <c r="B16" s="58">
        <v>12</v>
      </c>
      <c r="C16" s="74" t="s">
        <v>35</v>
      </c>
      <c r="D16" s="59">
        <v>7428844</v>
      </c>
      <c r="E16" s="60">
        <f t="shared" si="0"/>
        <v>74.288439999999994</v>
      </c>
      <c r="F16" s="75">
        <f t="shared" si="1"/>
        <v>0.7428844</v>
      </c>
      <c r="G16" s="76">
        <v>0</v>
      </c>
      <c r="H16" s="75">
        <f t="shared" si="2"/>
        <v>0</v>
      </c>
      <c r="I16" s="73" t="s">
        <v>93</v>
      </c>
    </row>
    <row r="17" spans="2:9">
      <c r="B17" s="58">
        <v>13</v>
      </c>
      <c r="C17" s="74" t="s">
        <v>36</v>
      </c>
      <c r="D17" s="59">
        <v>7428844</v>
      </c>
      <c r="E17" s="60">
        <f t="shared" si="0"/>
        <v>74.288439999999994</v>
      </c>
      <c r="F17" s="75">
        <f t="shared" si="1"/>
        <v>0.7428844</v>
      </c>
      <c r="G17" s="76">
        <v>0</v>
      </c>
      <c r="H17" s="75">
        <f t="shared" si="2"/>
        <v>0</v>
      </c>
      <c r="I17" s="73" t="s">
        <v>94</v>
      </c>
    </row>
    <row r="18" spans="2:9">
      <c r="B18" s="58">
        <v>14</v>
      </c>
      <c r="C18" s="74" t="s">
        <v>37</v>
      </c>
      <c r="D18" s="59">
        <v>7128844</v>
      </c>
      <c r="E18" s="60">
        <f t="shared" si="0"/>
        <v>71.288439999999994</v>
      </c>
      <c r="F18" s="75">
        <f t="shared" si="1"/>
        <v>0.71288439999999997</v>
      </c>
      <c r="G18" s="76">
        <v>0</v>
      </c>
      <c r="H18" s="75">
        <f t="shared" si="2"/>
        <v>0</v>
      </c>
      <c r="I18" s="73" t="s">
        <v>95</v>
      </c>
    </row>
    <row r="19" spans="2:9" s="61" customFormat="1">
      <c r="B19" s="66"/>
      <c r="C19" s="67" t="s">
        <v>38</v>
      </c>
      <c r="D19" s="67">
        <f>SUM(D5:D18)</f>
        <v>45000003</v>
      </c>
      <c r="E19" s="68">
        <f>SUM(E5:E18)</f>
        <v>450.00002999999992</v>
      </c>
      <c r="F19" s="68">
        <f>SUM(F5:F18)</f>
        <v>4.5000003</v>
      </c>
      <c r="G19" s="69">
        <f>AVERAGE(G5:G18)</f>
        <v>0.17500000000000002</v>
      </c>
      <c r="H19" s="70">
        <f>SUM(H5:H18)</f>
        <v>0.42322709000000003</v>
      </c>
      <c r="I19" s="72" t="s">
        <v>56</v>
      </c>
    </row>
    <row r="20" spans="2:9" ht="81" customHeight="1">
      <c r="B20" s="81" t="s">
        <v>99</v>
      </c>
      <c r="C20" s="81"/>
      <c r="D20" s="81"/>
      <c r="E20" s="81"/>
      <c r="F20" s="81"/>
      <c r="G20" s="81"/>
      <c r="H20" s="81"/>
      <c r="I20" s="81"/>
    </row>
  </sheetData>
  <mergeCells count="2">
    <mergeCell ref="B20:I20"/>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51"/>
  <sheetViews>
    <sheetView zoomScale="85" zoomScaleNormal="85" workbookViewId="0">
      <selection activeCell="L9" sqref="L9"/>
    </sheetView>
  </sheetViews>
  <sheetFormatPr defaultRowHeight="15"/>
  <cols>
    <col min="1" max="1" width="2" customWidth="1"/>
    <col min="2" max="2" width="28.5703125" bestFit="1" customWidth="1"/>
    <col min="3" max="3" width="21" bestFit="1" customWidth="1"/>
    <col min="4" max="4" width="16" bestFit="1" customWidth="1"/>
    <col min="5" max="5" width="15.42578125" bestFit="1" customWidth="1"/>
    <col min="6" max="6" width="14.28515625" style="2" bestFit="1" customWidth="1"/>
    <col min="7" max="7" width="3.85546875" customWidth="1"/>
    <col min="8" max="8" width="31.140625" style="25" customWidth="1"/>
    <col min="9" max="9" width="21" bestFit="1" customWidth="1"/>
    <col min="10" max="10" width="16" bestFit="1" customWidth="1"/>
    <col min="11" max="11" width="14.28515625" bestFit="1" customWidth="1"/>
    <col min="12" max="12" width="16" bestFit="1" customWidth="1"/>
  </cols>
  <sheetData>
    <row r="2" spans="2:12" ht="21">
      <c r="B2" s="87" t="s">
        <v>41</v>
      </c>
      <c r="C2" s="87"/>
    </row>
    <row r="4" spans="2:12" ht="15.75">
      <c r="B4" s="35" t="s">
        <v>75</v>
      </c>
      <c r="C4" s="36">
        <v>40005000</v>
      </c>
    </row>
    <row r="6" spans="2:12">
      <c r="B6" s="83" t="s">
        <v>63</v>
      </c>
      <c r="C6" s="83"/>
      <c r="D6" s="83"/>
      <c r="E6" s="83"/>
      <c r="H6" s="83" t="s">
        <v>76</v>
      </c>
      <c r="I6" s="83"/>
      <c r="J6" s="83"/>
      <c r="K6" s="83"/>
    </row>
    <row r="7" spans="2:12" ht="17.25">
      <c r="B7" s="22" t="s">
        <v>23</v>
      </c>
      <c r="C7" s="34" t="s">
        <v>64</v>
      </c>
      <c r="D7" s="39" t="s">
        <v>74</v>
      </c>
      <c r="E7" s="22" t="s">
        <v>59</v>
      </c>
      <c r="H7" s="22" t="s">
        <v>23</v>
      </c>
      <c r="I7" s="34" t="s">
        <v>64</v>
      </c>
      <c r="J7" s="39" t="s">
        <v>74</v>
      </c>
      <c r="K7" s="22" t="s">
        <v>59</v>
      </c>
    </row>
    <row r="8" spans="2:12">
      <c r="B8" s="19" t="s">
        <v>42</v>
      </c>
      <c r="C8" s="30">
        <f>'Area Details'!D22</f>
        <v>773.88307212069981</v>
      </c>
      <c r="D8" s="19">
        <v>10700</v>
      </c>
      <c r="E8" s="29">
        <f>C8*D8</f>
        <v>8280548.8716914877</v>
      </c>
      <c r="H8" s="19" t="s">
        <v>42</v>
      </c>
      <c r="I8" s="30">
        <v>773.88307212069981</v>
      </c>
      <c r="J8" s="19">
        <f>1300*10.7639</f>
        <v>13993.07</v>
      </c>
      <c r="K8" s="29">
        <f>I8*J8</f>
        <v>10829000</v>
      </c>
    </row>
    <row r="9" spans="2:12">
      <c r="B9" s="19" t="s">
        <v>43</v>
      </c>
      <c r="C9" s="30">
        <f>1870/10.7639</f>
        <v>173.72885292505507</v>
      </c>
      <c r="D9" s="19">
        <f>900*10.7639</f>
        <v>9687.51</v>
      </c>
      <c r="E9" s="29">
        <f>C9*D9</f>
        <v>1683000.0000000002</v>
      </c>
      <c r="H9" s="19" t="s">
        <v>43</v>
      </c>
      <c r="I9" s="30">
        <v>173.72885292505507</v>
      </c>
      <c r="J9" s="19">
        <f>1200*10.7639</f>
        <v>12916.68</v>
      </c>
      <c r="K9" s="29">
        <f>I9*J9</f>
        <v>2244000.0000000005</v>
      </c>
    </row>
    <row r="10" spans="2:12">
      <c r="B10" s="84" t="s">
        <v>62</v>
      </c>
      <c r="C10" s="85"/>
      <c r="D10" s="86"/>
      <c r="E10" s="37">
        <f>E8+E9</f>
        <v>9963548.8716914877</v>
      </c>
      <c r="H10" s="84" t="s">
        <v>62</v>
      </c>
      <c r="I10" s="85"/>
      <c r="J10" s="86"/>
      <c r="K10" s="37">
        <f>K8+K9</f>
        <v>13073000</v>
      </c>
    </row>
    <row r="12" spans="2:12">
      <c r="B12" s="83" t="s">
        <v>61</v>
      </c>
      <c r="C12" s="83"/>
      <c r="D12" s="83"/>
      <c r="E12" s="83"/>
      <c r="F12" s="83"/>
      <c r="G12" s="53"/>
      <c r="H12" s="83" t="s">
        <v>77</v>
      </c>
      <c r="I12" s="83"/>
      <c r="J12" s="83"/>
      <c r="K12" s="83"/>
      <c r="L12" s="83"/>
    </row>
    <row r="13" spans="2:12">
      <c r="B13" s="22" t="s">
        <v>23</v>
      </c>
      <c r="C13" s="38" t="s">
        <v>58</v>
      </c>
      <c r="D13" s="22" t="s">
        <v>59</v>
      </c>
      <c r="E13" s="22" t="s">
        <v>60</v>
      </c>
      <c r="F13" s="39" t="s">
        <v>57</v>
      </c>
      <c r="G13" s="53"/>
      <c r="H13" s="22" t="s">
        <v>23</v>
      </c>
      <c r="I13" s="38" t="s">
        <v>65</v>
      </c>
      <c r="J13" s="39" t="s">
        <v>59</v>
      </c>
      <c r="K13" s="22" t="s">
        <v>60</v>
      </c>
      <c r="L13" s="22" t="s">
        <v>57</v>
      </c>
    </row>
    <row r="14" spans="2:12">
      <c r="B14" s="20" t="s">
        <v>44</v>
      </c>
      <c r="C14" s="27">
        <v>6.8000000000000005E-2</v>
      </c>
      <c r="D14" s="45">
        <f>C14*$C$4</f>
        <v>2720340</v>
      </c>
      <c r="E14" s="28">
        <v>0.95</v>
      </c>
      <c r="F14" s="48">
        <f>D14*E14</f>
        <v>2584323</v>
      </c>
      <c r="G14" s="53"/>
      <c r="H14" s="20" t="s">
        <v>44</v>
      </c>
      <c r="I14" s="27">
        <v>6.8000000000000005E-2</v>
      </c>
      <c r="J14" s="45">
        <f>I14*$C$4</f>
        <v>2720340</v>
      </c>
      <c r="K14" s="28">
        <v>0.95</v>
      </c>
      <c r="L14" s="45">
        <f>J14*K14</f>
        <v>2584323</v>
      </c>
    </row>
    <row r="15" spans="2:12">
      <c r="B15" s="20" t="s">
        <v>45</v>
      </c>
      <c r="C15" s="27">
        <v>9.5000000000000001E-2</v>
      </c>
      <c r="D15" s="45">
        <f>C15*$C$4</f>
        <v>3800475</v>
      </c>
      <c r="E15" s="28">
        <v>1</v>
      </c>
      <c r="F15" s="48">
        <f t="shared" ref="F15:F37" si="0">D15*E15</f>
        <v>3800475</v>
      </c>
      <c r="G15" s="53"/>
      <c r="H15" s="20" t="s">
        <v>45</v>
      </c>
      <c r="I15" s="27">
        <f>9.5%+10%</f>
        <v>0.19500000000000001</v>
      </c>
      <c r="J15" s="45">
        <f>I15*$C$4</f>
        <v>7800975</v>
      </c>
      <c r="K15" s="28">
        <v>1</v>
      </c>
      <c r="L15" s="45">
        <f t="shared" ref="L15" si="1">J15*K15</f>
        <v>7800975</v>
      </c>
    </row>
    <row r="16" spans="2:12">
      <c r="B16" s="20" t="s">
        <v>46</v>
      </c>
      <c r="C16" s="27">
        <v>0.191</v>
      </c>
      <c r="D16" s="45">
        <f>C16*$C$4</f>
        <v>7640955</v>
      </c>
      <c r="E16" s="28"/>
      <c r="F16" s="48"/>
      <c r="G16" s="53"/>
      <c r="H16" s="20" t="s">
        <v>46</v>
      </c>
      <c r="I16" s="27">
        <f>19.1%+4%+5%</f>
        <v>0.28100000000000003</v>
      </c>
      <c r="J16" s="45">
        <f>I16*$C$4</f>
        <v>11241405.000000002</v>
      </c>
      <c r="K16" s="28"/>
      <c r="L16" s="45"/>
    </row>
    <row r="17" spans="2:12">
      <c r="B17" s="19" t="s">
        <v>51</v>
      </c>
      <c r="C17" s="26" t="s">
        <v>56</v>
      </c>
      <c r="D17" s="46">
        <f>$D$16/4</f>
        <v>1910238.75</v>
      </c>
      <c r="E17" s="24">
        <f>1870/8330+(8%)</f>
        <v>0.30448979591836733</v>
      </c>
      <c r="F17" s="49">
        <f t="shared" si="0"/>
        <v>581648.20714285714</v>
      </c>
      <c r="G17" s="53"/>
      <c r="H17" s="19" t="s">
        <v>51</v>
      </c>
      <c r="I17" s="26" t="s">
        <v>56</v>
      </c>
      <c r="J17" s="45">
        <f>$J$16/4</f>
        <v>2810351.2500000005</v>
      </c>
      <c r="K17" s="24">
        <f>1870/8330+(8%)</f>
        <v>0.30448979591836733</v>
      </c>
      <c r="L17" s="45">
        <f t="shared" ref="L17:L20" si="2">J17*K17</f>
        <v>855723.27857142873</v>
      </c>
    </row>
    <row r="18" spans="2:12">
      <c r="B18" s="19" t="s">
        <v>52</v>
      </c>
      <c r="C18" s="26" t="s">
        <v>56</v>
      </c>
      <c r="D18" s="46">
        <f>$D$16/4</f>
        <v>1910238.75</v>
      </c>
      <c r="E18" s="24">
        <v>0</v>
      </c>
      <c r="F18" s="49">
        <f t="shared" si="0"/>
        <v>0</v>
      </c>
      <c r="G18" s="53"/>
      <c r="H18" s="19" t="s">
        <v>52</v>
      </c>
      <c r="I18" s="26" t="s">
        <v>56</v>
      </c>
      <c r="J18" s="45">
        <f t="shared" ref="J18:J20" si="3">$J$16/4</f>
        <v>2810351.2500000005</v>
      </c>
      <c r="K18" s="24">
        <v>0</v>
      </c>
      <c r="L18" s="45">
        <f t="shared" si="2"/>
        <v>0</v>
      </c>
    </row>
    <row r="19" spans="2:12">
      <c r="B19" s="19" t="s">
        <v>53</v>
      </c>
      <c r="C19" s="26" t="s">
        <v>56</v>
      </c>
      <c r="D19" s="46">
        <f>$D$16/4</f>
        <v>1910238.75</v>
      </c>
      <c r="E19" s="24">
        <v>0</v>
      </c>
      <c r="F19" s="49">
        <f t="shared" si="0"/>
        <v>0</v>
      </c>
      <c r="G19" s="53"/>
      <c r="H19" s="19" t="s">
        <v>53</v>
      </c>
      <c r="I19" s="26" t="s">
        <v>56</v>
      </c>
      <c r="J19" s="45">
        <f t="shared" si="3"/>
        <v>2810351.2500000005</v>
      </c>
      <c r="K19" s="24">
        <v>0</v>
      </c>
      <c r="L19" s="45">
        <f t="shared" si="2"/>
        <v>0</v>
      </c>
    </row>
    <row r="20" spans="2:12">
      <c r="B20" s="19" t="s">
        <v>54</v>
      </c>
      <c r="C20" s="26" t="s">
        <v>56</v>
      </c>
      <c r="D20" s="46">
        <f>$D$16/4</f>
        <v>1910238.75</v>
      </c>
      <c r="E20" s="24">
        <v>0</v>
      </c>
      <c r="F20" s="49">
        <f t="shared" si="0"/>
        <v>0</v>
      </c>
      <c r="G20" s="53"/>
      <c r="H20" s="19" t="s">
        <v>54</v>
      </c>
      <c r="I20" s="26" t="s">
        <v>56</v>
      </c>
      <c r="J20" s="45">
        <f t="shared" si="3"/>
        <v>2810351.2500000005</v>
      </c>
      <c r="K20" s="24">
        <v>0</v>
      </c>
      <c r="L20" s="45">
        <f t="shared" si="2"/>
        <v>0</v>
      </c>
    </row>
    <row r="21" spans="2:12">
      <c r="B21" s="20" t="s">
        <v>47</v>
      </c>
      <c r="C21" s="27">
        <v>0.14399999999999999</v>
      </c>
      <c r="D21" s="45">
        <f>C21*$C$4</f>
        <v>5760720</v>
      </c>
      <c r="E21" s="28"/>
      <c r="F21" s="48"/>
      <c r="G21" s="53"/>
      <c r="H21" s="20" t="s">
        <v>47</v>
      </c>
      <c r="I21" s="27">
        <v>0.14399999999999999</v>
      </c>
      <c r="J21" s="45">
        <f>I21*$C$4</f>
        <v>5760720</v>
      </c>
      <c r="K21" s="28"/>
      <c r="L21" s="45"/>
    </row>
    <row r="22" spans="2:12">
      <c r="B22" s="19" t="s">
        <v>51</v>
      </c>
      <c r="C22" s="26" t="s">
        <v>56</v>
      </c>
      <c r="D22" s="46">
        <f>$D$21/4</f>
        <v>1440180</v>
      </c>
      <c r="E22" s="24">
        <v>0</v>
      </c>
      <c r="F22" s="49">
        <f t="shared" si="0"/>
        <v>0</v>
      </c>
      <c r="G22" s="53"/>
      <c r="H22" s="19" t="s">
        <v>51</v>
      </c>
      <c r="I22" s="26" t="s">
        <v>56</v>
      </c>
      <c r="J22" s="45">
        <f>$J$21/4</f>
        <v>1440180</v>
      </c>
      <c r="K22" s="24">
        <v>0</v>
      </c>
      <c r="L22" s="45">
        <f t="shared" ref="L22:L25" si="4">J22*K22</f>
        <v>0</v>
      </c>
    </row>
    <row r="23" spans="2:12">
      <c r="B23" s="19" t="s">
        <v>52</v>
      </c>
      <c r="C23" s="26" t="s">
        <v>56</v>
      </c>
      <c r="D23" s="46">
        <f>$D$21/4</f>
        <v>1440180</v>
      </c>
      <c r="E23" s="24">
        <v>0</v>
      </c>
      <c r="F23" s="49">
        <f t="shared" si="0"/>
        <v>0</v>
      </c>
      <c r="G23" s="53"/>
      <c r="H23" s="19" t="s">
        <v>52</v>
      </c>
      <c r="I23" s="26" t="s">
        <v>56</v>
      </c>
      <c r="J23" s="45">
        <f t="shared" ref="J23:J25" si="5">$J$21/4</f>
        <v>1440180</v>
      </c>
      <c r="K23" s="24">
        <v>0</v>
      </c>
      <c r="L23" s="45">
        <f t="shared" si="4"/>
        <v>0</v>
      </c>
    </row>
    <row r="24" spans="2:12">
      <c r="B24" s="19" t="s">
        <v>53</v>
      </c>
      <c r="C24" s="26" t="s">
        <v>56</v>
      </c>
      <c r="D24" s="46">
        <f>$D$21/4</f>
        <v>1440180</v>
      </c>
      <c r="E24" s="24">
        <v>0</v>
      </c>
      <c r="F24" s="49">
        <f t="shared" si="0"/>
        <v>0</v>
      </c>
      <c r="G24" s="53"/>
      <c r="H24" s="19" t="s">
        <v>53</v>
      </c>
      <c r="I24" s="26" t="s">
        <v>56</v>
      </c>
      <c r="J24" s="45">
        <f t="shared" si="5"/>
        <v>1440180</v>
      </c>
      <c r="K24" s="24">
        <v>0</v>
      </c>
      <c r="L24" s="45">
        <f t="shared" si="4"/>
        <v>0</v>
      </c>
    </row>
    <row r="25" spans="2:12">
      <c r="B25" s="19" t="s">
        <v>54</v>
      </c>
      <c r="C25" s="26" t="s">
        <v>56</v>
      </c>
      <c r="D25" s="46">
        <f>$D$21/4</f>
        <v>1440180</v>
      </c>
      <c r="E25" s="24">
        <v>0</v>
      </c>
      <c r="F25" s="49">
        <f t="shared" si="0"/>
        <v>0</v>
      </c>
      <c r="G25" s="53"/>
      <c r="H25" s="19" t="s">
        <v>54</v>
      </c>
      <c r="I25" s="26" t="s">
        <v>56</v>
      </c>
      <c r="J25" s="45">
        <f t="shared" si="5"/>
        <v>1440180</v>
      </c>
      <c r="K25" s="24">
        <v>0</v>
      </c>
      <c r="L25" s="45">
        <f t="shared" si="4"/>
        <v>0</v>
      </c>
    </row>
    <row r="26" spans="2:12">
      <c r="B26" s="20" t="s">
        <v>55</v>
      </c>
      <c r="C26" s="27">
        <v>0.13400000000000001</v>
      </c>
      <c r="D26" s="45">
        <f>C26*$C$4</f>
        <v>5360670</v>
      </c>
      <c r="E26" s="28"/>
      <c r="F26" s="48"/>
      <c r="G26" s="53"/>
      <c r="H26" s="20" t="s">
        <v>55</v>
      </c>
      <c r="I26" s="27">
        <v>0.13400000000000001</v>
      </c>
      <c r="J26" s="45">
        <f>I26*$C$4</f>
        <v>5360670</v>
      </c>
      <c r="K26" s="28"/>
      <c r="L26" s="45"/>
    </row>
    <row r="27" spans="2:12">
      <c r="B27" s="19" t="s">
        <v>51</v>
      </c>
      <c r="C27" s="26" t="s">
        <v>56</v>
      </c>
      <c r="D27" s="46">
        <f>$D$26/4</f>
        <v>1340167.5</v>
      </c>
      <c r="E27" s="24">
        <v>0</v>
      </c>
      <c r="F27" s="49">
        <f t="shared" si="0"/>
        <v>0</v>
      </c>
      <c r="G27" s="53"/>
      <c r="H27" s="19" t="s">
        <v>51</v>
      </c>
      <c r="I27" s="26" t="s">
        <v>56</v>
      </c>
      <c r="J27" s="45">
        <f>$J$26/4</f>
        <v>1340167.5</v>
      </c>
      <c r="K27" s="24">
        <v>0</v>
      </c>
      <c r="L27" s="45">
        <f t="shared" ref="L27:L30" si="6">J27*K27</f>
        <v>0</v>
      </c>
    </row>
    <row r="28" spans="2:12">
      <c r="B28" s="19" t="s">
        <v>52</v>
      </c>
      <c r="C28" s="26" t="s">
        <v>56</v>
      </c>
      <c r="D28" s="46">
        <f>$D$26/4</f>
        <v>1340167.5</v>
      </c>
      <c r="E28" s="24">
        <v>0</v>
      </c>
      <c r="F28" s="49">
        <f t="shared" si="0"/>
        <v>0</v>
      </c>
      <c r="G28" s="53"/>
      <c r="H28" s="19" t="s">
        <v>52</v>
      </c>
      <c r="I28" s="26" t="s">
        <v>56</v>
      </c>
      <c r="J28" s="45">
        <f t="shared" ref="J28:J30" si="7">$J$26/4</f>
        <v>1340167.5</v>
      </c>
      <c r="K28" s="24">
        <v>0</v>
      </c>
      <c r="L28" s="45">
        <f t="shared" si="6"/>
        <v>0</v>
      </c>
    </row>
    <row r="29" spans="2:12">
      <c r="B29" s="19" t="s">
        <v>53</v>
      </c>
      <c r="C29" s="26" t="s">
        <v>56</v>
      </c>
      <c r="D29" s="46">
        <f>$D$26/4</f>
        <v>1340167.5</v>
      </c>
      <c r="E29" s="24">
        <v>0</v>
      </c>
      <c r="F29" s="49">
        <f t="shared" si="0"/>
        <v>0</v>
      </c>
      <c r="G29" s="53"/>
      <c r="H29" s="19" t="s">
        <v>53</v>
      </c>
      <c r="I29" s="26" t="s">
        <v>56</v>
      </c>
      <c r="J29" s="45">
        <f t="shared" si="7"/>
        <v>1340167.5</v>
      </c>
      <c r="K29" s="24">
        <v>0</v>
      </c>
      <c r="L29" s="45">
        <f t="shared" si="6"/>
        <v>0</v>
      </c>
    </row>
    <row r="30" spans="2:12">
      <c r="B30" s="19" t="s">
        <v>54</v>
      </c>
      <c r="C30" s="26" t="s">
        <v>56</v>
      </c>
      <c r="D30" s="46">
        <f>$D$26/4</f>
        <v>1340167.5</v>
      </c>
      <c r="E30" s="24">
        <v>0</v>
      </c>
      <c r="F30" s="49">
        <f t="shared" si="0"/>
        <v>0</v>
      </c>
      <c r="G30" s="53"/>
      <c r="H30" s="19" t="s">
        <v>54</v>
      </c>
      <c r="I30" s="26" t="s">
        <v>56</v>
      </c>
      <c r="J30" s="45">
        <f t="shared" si="7"/>
        <v>1340167.5</v>
      </c>
      <c r="K30" s="24">
        <v>0</v>
      </c>
      <c r="L30" s="45">
        <f t="shared" si="6"/>
        <v>0</v>
      </c>
    </row>
    <row r="31" spans="2:12">
      <c r="B31" s="20" t="s">
        <v>48</v>
      </c>
      <c r="C31" s="27">
        <v>0.29299999999999998</v>
      </c>
      <c r="D31" s="45">
        <f>C31*$C$4</f>
        <v>11721465</v>
      </c>
      <c r="E31" s="28"/>
      <c r="F31" s="48"/>
      <c r="G31" s="53"/>
      <c r="H31" s="20" t="s">
        <v>48</v>
      </c>
      <c r="I31" s="27">
        <f>29.3%-20%</f>
        <v>9.2999999999999972E-2</v>
      </c>
      <c r="J31" s="45">
        <f>I31*$C$4</f>
        <v>3720464.9999999991</v>
      </c>
      <c r="K31" s="28"/>
      <c r="L31" s="45"/>
    </row>
    <row r="32" spans="2:12">
      <c r="B32" s="19" t="s">
        <v>51</v>
      </c>
      <c r="C32" s="26" t="s">
        <v>56</v>
      </c>
      <c r="D32" s="46">
        <f>$D$31/4</f>
        <v>2930366.25</v>
      </c>
      <c r="E32" s="24">
        <v>0</v>
      </c>
      <c r="F32" s="49">
        <f t="shared" si="0"/>
        <v>0</v>
      </c>
      <c r="G32" s="53"/>
      <c r="H32" s="19" t="s">
        <v>51</v>
      </c>
      <c r="I32" s="26" t="s">
        <v>56</v>
      </c>
      <c r="J32" s="45">
        <f>$J$31/4</f>
        <v>930116.24999999977</v>
      </c>
      <c r="K32" s="24">
        <v>0</v>
      </c>
      <c r="L32" s="45">
        <f t="shared" ref="L32:L36" si="8">J32*K32</f>
        <v>0</v>
      </c>
    </row>
    <row r="33" spans="2:12">
      <c r="B33" s="19" t="s">
        <v>52</v>
      </c>
      <c r="C33" s="26" t="s">
        <v>56</v>
      </c>
      <c r="D33" s="46">
        <f>$D$31/4</f>
        <v>2930366.25</v>
      </c>
      <c r="E33" s="24">
        <v>0</v>
      </c>
      <c r="F33" s="49">
        <f t="shared" si="0"/>
        <v>0</v>
      </c>
      <c r="G33" s="53"/>
      <c r="H33" s="19" t="s">
        <v>52</v>
      </c>
      <c r="I33" s="26" t="s">
        <v>56</v>
      </c>
      <c r="J33" s="45">
        <f t="shared" ref="J33:J35" si="9">$J$31/4</f>
        <v>930116.24999999977</v>
      </c>
      <c r="K33" s="24">
        <v>0</v>
      </c>
      <c r="L33" s="45">
        <f t="shared" si="8"/>
        <v>0</v>
      </c>
    </row>
    <row r="34" spans="2:12">
      <c r="B34" s="19" t="s">
        <v>53</v>
      </c>
      <c r="C34" s="26" t="s">
        <v>56</v>
      </c>
      <c r="D34" s="46">
        <f>$D$31/4</f>
        <v>2930366.25</v>
      </c>
      <c r="E34" s="24">
        <v>0</v>
      </c>
      <c r="F34" s="49">
        <f t="shared" si="0"/>
        <v>0</v>
      </c>
      <c r="G34" s="53"/>
      <c r="H34" s="19" t="s">
        <v>53</v>
      </c>
      <c r="I34" s="26" t="s">
        <v>56</v>
      </c>
      <c r="J34" s="45">
        <f t="shared" si="9"/>
        <v>930116.24999999977</v>
      </c>
      <c r="K34" s="24">
        <v>0</v>
      </c>
      <c r="L34" s="45">
        <f t="shared" si="8"/>
        <v>0</v>
      </c>
    </row>
    <row r="35" spans="2:12">
      <c r="B35" s="19" t="s">
        <v>54</v>
      </c>
      <c r="C35" s="26" t="s">
        <v>56</v>
      </c>
      <c r="D35" s="46">
        <f>$D$31/4</f>
        <v>2930366.25</v>
      </c>
      <c r="E35" s="24">
        <v>0</v>
      </c>
      <c r="F35" s="49">
        <f t="shared" si="0"/>
        <v>0</v>
      </c>
      <c r="G35" s="53"/>
      <c r="H35" s="19" t="s">
        <v>54</v>
      </c>
      <c r="I35" s="26" t="s">
        <v>56</v>
      </c>
      <c r="J35" s="45">
        <f t="shared" si="9"/>
        <v>930116.24999999977</v>
      </c>
      <c r="K35" s="24">
        <v>0</v>
      </c>
      <c r="L35" s="45">
        <f t="shared" si="8"/>
        <v>0</v>
      </c>
    </row>
    <row r="36" spans="2:12">
      <c r="B36" s="20" t="s">
        <v>49</v>
      </c>
      <c r="C36" s="27">
        <v>6.6000000000000003E-2</v>
      </c>
      <c r="D36" s="45">
        <f>C36*$C$4</f>
        <v>2640330</v>
      </c>
      <c r="E36" s="28"/>
      <c r="F36" s="48"/>
      <c r="G36" s="53"/>
      <c r="H36" s="20" t="s">
        <v>49</v>
      </c>
      <c r="I36" s="27">
        <f>6.6%-4%</f>
        <v>2.6000000000000002E-2</v>
      </c>
      <c r="J36" s="45">
        <f>I36*$C$4</f>
        <v>1040130.0000000001</v>
      </c>
      <c r="K36" s="28">
        <v>0</v>
      </c>
      <c r="L36" s="45">
        <f t="shared" si="8"/>
        <v>0</v>
      </c>
    </row>
    <row r="37" spans="2:12">
      <c r="B37" s="20" t="s">
        <v>50</v>
      </c>
      <c r="C37" s="27">
        <v>8.9999999999999993E-3</v>
      </c>
      <c r="D37" s="45">
        <f>C37*$C$4</f>
        <v>360045</v>
      </c>
      <c r="E37" s="28">
        <v>0.12</v>
      </c>
      <c r="F37" s="48">
        <f t="shared" si="0"/>
        <v>43205.4</v>
      </c>
      <c r="G37" s="53"/>
      <c r="H37" s="20" t="s">
        <v>50</v>
      </c>
      <c r="I37" s="27">
        <f>0.9%+5%</f>
        <v>5.9000000000000004E-2</v>
      </c>
      <c r="J37" s="45">
        <f>I37*$C$4</f>
        <v>2360295</v>
      </c>
      <c r="K37" s="28">
        <v>0.12</v>
      </c>
      <c r="L37" s="45">
        <f t="shared" ref="L37" si="10">J37*K37</f>
        <v>283235.39999999997</v>
      </c>
    </row>
    <row r="38" spans="2:12">
      <c r="B38" s="23" t="s">
        <v>62</v>
      </c>
      <c r="C38" s="40">
        <f>SUM(C14:C37)</f>
        <v>1</v>
      </c>
      <c r="D38" s="47">
        <f>D14+D15+D16+D21+D26+D31+D36+D37</f>
        <v>40005000</v>
      </c>
      <c r="E38" s="41">
        <f>AVERAGE(E14:E37)</f>
        <v>0.12497314715359828</v>
      </c>
      <c r="F38" s="50">
        <f>SUM(F14:F37)</f>
        <v>7009651.6071428573</v>
      </c>
      <c r="G38" s="53"/>
      <c r="H38" s="23" t="s">
        <v>62</v>
      </c>
      <c r="I38" s="40">
        <f>SUM(I14:I37)</f>
        <v>1</v>
      </c>
      <c r="J38" s="47">
        <f>J14+J15+J16+J21+J26+J31+J36+J37</f>
        <v>40005000</v>
      </c>
      <c r="K38" s="41">
        <f>AVERAGE(K14:K37)</f>
        <v>0.11872448979591836</v>
      </c>
      <c r="L38" s="47">
        <f>SUM(L14:L37)</f>
        <v>11524256.678571429</v>
      </c>
    </row>
    <row r="39" spans="2:12">
      <c r="B39" s="88"/>
      <c r="C39" s="88"/>
      <c r="D39" s="88"/>
      <c r="E39" s="88"/>
      <c r="F39" s="88"/>
      <c r="G39" s="88"/>
      <c r="H39" s="88"/>
      <c r="I39" s="88"/>
      <c r="J39" s="88"/>
      <c r="K39" s="88"/>
      <c r="L39" s="88"/>
    </row>
    <row r="40" spans="2:12">
      <c r="B40" s="83" t="s">
        <v>78</v>
      </c>
      <c r="C40" s="83"/>
      <c r="D40" s="83"/>
      <c r="E40" s="83"/>
      <c r="F40" s="83"/>
      <c r="G40" s="53"/>
      <c r="H40" s="83" t="s">
        <v>79</v>
      </c>
      <c r="I40" s="83"/>
      <c r="J40" s="83"/>
      <c r="K40" s="83"/>
      <c r="L40" s="83"/>
    </row>
    <row r="41" spans="2:12">
      <c r="B41" s="22" t="s">
        <v>23</v>
      </c>
      <c r="C41" s="38" t="s">
        <v>73</v>
      </c>
      <c r="D41" s="21" t="s">
        <v>59</v>
      </c>
      <c r="E41" s="22" t="s">
        <v>60</v>
      </c>
      <c r="F41" s="39" t="s">
        <v>57</v>
      </c>
      <c r="G41" s="53"/>
      <c r="H41" s="22" t="s">
        <v>23</v>
      </c>
      <c r="I41" s="38" t="s">
        <v>73</v>
      </c>
      <c r="J41" s="39" t="s">
        <v>59</v>
      </c>
      <c r="K41" s="22" t="s">
        <v>60</v>
      </c>
      <c r="L41" s="39" t="s">
        <v>57</v>
      </c>
    </row>
    <row r="42" spans="2:12" ht="30">
      <c r="B42" s="31" t="s">
        <v>66</v>
      </c>
      <c r="C42" s="32">
        <v>0.15</v>
      </c>
      <c r="D42" s="51">
        <f>C42*$C$4</f>
        <v>6000750</v>
      </c>
      <c r="E42" s="32">
        <v>1</v>
      </c>
      <c r="F42" s="51">
        <f>D42*E42</f>
        <v>6000750</v>
      </c>
      <c r="G42" s="53"/>
      <c r="H42" s="31" t="s">
        <v>66</v>
      </c>
      <c r="I42" s="32">
        <v>0.15</v>
      </c>
      <c r="J42" s="51">
        <f>I42*$C$4</f>
        <v>6000750</v>
      </c>
      <c r="K42" s="32">
        <v>1</v>
      </c>
      <c r="L42" s="51">
        <f>J42*K42</f>
        <v>6000750</v>
      </c>
    </row>
    <row r="43" spans="2:12" ht="30">
      <c r="B43" s="31" t="s">
        <v>67</v>
      </c>
      <c r="C43" s="32">
        <v>0.3</v>
      </c>
      <c r="D43" s="51">
        <f t="shared" ref="D43:D48" si="11">C43*$C$4</f>
        <v>12001500</v>
      </c>
      <c r="E43" s="32">
        <v>0.22</v>
      </c>
      <c r="F43" s="51">
        <f t="shared" ref="F43:F48" si="12">D43*E43</f>
        <v>2640330</v>
      </c>
      <c r="G43" s="53"/>
      <c r="H43" s="31" t="s">
        <v>67</v>
      </c>
      <c r="I43" s="32">
        <v>0.25</v>
      </c>
      <c r="J43" s="51">
        <f t="shared" ref="J43:J48" si="13">I43*$C$4</f>
        <v>10001250</v>
      </c>
      <c r="K43" s="32">
        <f>K17-(8%)</f>
        <v>0.22448979591836732</v>
      </c>
      <c r="L43" s="51">
        <f t="shared" ref="L43:L48" si="14">J43*K43</f>
        <v>2245178.5714285714</v>
      </c>
    </row>
    <row r="44" spans="2:12">
      <c r="B44" s="31" t="s">
        <v>68</v>
      </c>
      <c r="C44" s="32">
        <v>0.15</v>
      </c>
      <c r="D44" s="51">
        <f t="shared" si="11"/>
        <v>6000750</v>
      </c>
      <c r="E44" s="32">
        <v>0</v>
      </c>
      <c r="F44" s="51">
        <f t="shared" si="12"/>
        <v>0</v>
      </c>
      <c r="G44" s="53"/>
      <c r="H44" s="31" t="s">
        <v>68</v>
      </c>
      <c r="I44" s="32">
        <v>0.15</v>
      </c>
      <c r="J44" s="51">
        <f t="shared" si="13"/>
        <v>6000750</v>
      </c>
      <c r="K44" s="32">
        <v>0</v>
      </c>
      <c r="L44" s="51">
        <f t="shared" si="14"/>
        <v>0</v>
      </c>
    </row>
    <row r="45" spans="2:12">
      <c r="B45" s="31" t="s">
        <v>69</v>
      </c>
      <c r="C45" s="32">
        <v>0.05</v>
      </c>
      <c r="D45" s="51">
        <f t="shared" si="11"/>
        <v>2000250</v>
      </c>
      <c r="E45" s="32">
        <v>0</v>
      </c>
      <c r="F45" s="51">
        <f t="shared" si="12"/>
        <v>0</v>
      </c>
      <c r="G45" s="53"/>
      <c r="H45" s="31" t="s">
        <v>69</v>
      </c>
      <c r="I45" s="32">
        <v>0.05</v>
      </c>
      <c r="J45" s="51">
        <f t="shared" si="13"/>
        <v>2000250</v>
      </c>
      <c r="K45" s="32">
        <v>0</v>
      </c>
      <c r="L45" s="51">
        <f t="shared" si="14"/>
        <v>0</v>
      </c>
    </row>
    <row r="46" spans="2:12">
      <c r="B46" s="31" t="s">
        <v>70</v>
      </c>
      <c r="C46" s="32">
        <v>0.1</v>
      </c>
      <c r="D46" s="51">
        <f t="shared" si="11"/>
        <v>4000500</v>
      </c>
      <c r="E46" s="32">
        <v>0</v>
      </c>
      <c r="F46" s="51">
        <f t="shared" si="12"/>
        <v>0</v>
      </c>
      <c r="G46" s="53"/>
      <c r="H46" s="31" t="s">
        <v>70</v>
      </c>
      <c r="I46" s="32">
        <v>0.1</v>
      </c>
      <c r="J46" s="51">
        <f t="shared" si="13"/>
        <v>4000500</v>
      </c>
      <c r="K46" s="32">
        <v>0</v>
      </c>
      <c r="L46" s="51">
        <f t="shared" si="14"/>
        <v>0</v>
      </c>
    </row>
    <row r="47" spans="2:12" ht="17.25" customHeight="1">
      <c r="B47" s="33" t="s">
        <v>71</v>
      </c>
      <c r="C47" s="32">
        <v>0.1</v>
      </c>
      <c r="D47" s="51">
        <f t="shared" si="11"/>
        <v>4000500</v>
      </c>
      <c r="E47" s="32">
        <v>0</v>
      </c>
      <c r="F47" s="51">
        <f t="shared" si="12"/>
        <v>0</v>
      </c>
      <c r="G47" s="53"/>
      <c r="H47" s="31" t="s">
        <v>71</v>
      </c>
      <c r="I47" s="32">
        <v>0.13</v>
      </c>
      <c r="J47" s="51">
        <f t="shared" si="13"/>
        <v>5200650</v>
      </c>
      <c r="K47" s="32">
        <v>0</v>
      </c>
      <c r="L47" s="51">
        <f t="shared" si="14"/>
        <v>0</v>
      </c>
    </row>
    <row r="48" spans="2:12" ht="35.25" customHeight="1">
      <c r="B48" s="33" t="s">
        <v>72</v>
      </c>
      <c r="C48" s="32">
        <v>0.15</v>
      </c>
      <c r="D48" s="51">
        <f t="shared" si="11"/>
        <v>6000750</v>
      </c>
      <c r="E48" s="32">
        <v>0</v>
      </c>
      <c r="F48" s="51">
        <f t="shared" si="12"/>
        <v>0</v>
      </c>
      <c r="G48" s="53"/>
      <c r="H48" s="33" t="s">
        <v>72</v>
      </c>
      <c r="I48" s="32">
        <v>0.17</v>
      </c>
      <c r="J48" s="51">
        <f t="shared" si="13"/>
        <v>6800850.0000000009</v>
      </c>
      <c r="K48" s="32">
        <v>0</v>
      </c>
      <c r="L48" s="51">
        <f t="shared" si="14"/>
        <v>0</v>
      </c>
    </row>
    <row r="49" spans="2:12" s="1" customFormat="1">
      <c r="B49" s="42" t="s">
        <v>62</v>
      </c>
      <c r="C49" s="41">
        <f>SUM(C42:C48)</f>
        <v>1</v>
      </c>
      <c r="D49" s="52">
        <f>SUM(D42:D48)</f>
        <v>40005000</v>
      </c>
      <c r="E49" s="43">
        <f>AVERAGE(E42:E48)</f>
        <v>0.17428571428571429</v>
      </c>
      <c r="F49" s="52">
        <f>SUM(F42:F48)</f>
        <v>8641080</v>
      </c>
      <c r="G49" s="54"/>
      <c r="H49" s="42" t="s">
        <v>62</v>
      </c>
      <c r="I49" s="44">
        <f>SUM(I42:I48)</f>
        <v>1</v>
      </c>
      <c r="J49" s="52">
        <f>SUM(J42:J48)</f>
        <v>40005000</v>
      </c>
      <c r="K49" s="43">
        <f>AVERAGE(K42:K48)</f>
        <v>0.1749271137026239</v>
      </c>
      <c r="L49" s="52">
        <f>SUM(L42:L48)</f>
        <v>8245928.5714285709</v>
      </c>
    </row>
    <row r="51" spans="2:12">
      <c r="E51" s="56">
        <f>D49*0.25</f>
        <v>10001250</v>
      </c>
    </row>
  </sheetData>
  <mergeCells count="10">
    <mergeCell ref="B40:F40"/>
    <mergeCell ref="H40:L40"/>
    <mergeCell ref="H6:K6"/>
    <mergeCell ref="H10:J10"/>
    <mergeCell ref="B2:C2"/>
    <mergeCell ref="B39:L39"/>
    <mergeCell ref="B12:F12"/>
    <mergeCell ref="B6:E6"/>
    <mergeCell ref="B10:D10"/>
    <mergeCell ref="H12:L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F97A-3CB9-4664-851B-0F4A53177DF7}">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Area Details</vt:lpstr>
      <vt:lpstr>Agreement Cost est.</vt:lpstr>
      <vt:lpstr>Cons. Cost Working</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 Bharadwaj</dc:creator>
  <cp:lastModifiedBy>Tejas Bharadwaj</cp:lastModifiedBy>
  <dcterms:created xsi:type="dcterms:W3CDTF">2022-04-01T06:39:03Z</dcterms:created>
  <dcterms:modified xsi:type="dcterms:W3CDTF">2022-05-19T12:13:06Z</dcterms:modified>
</cp:coreProperties>
</file>