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761"/>
  </bookViews>
  <sheets>
    <sheet name="Summary" sheetId="17" r:id="rId1"/>
    <sheet name="Assumption" sheetId="10" r:id="rId2"/>
    <sheet name="Ratio" sheetId="11" r:id="rId3"/>
    <sheet name="Financial Statement" sheetId="5" r:id="rId4"/>
    <sheet name="Coal Cost" sheetId="1" r:id="rId5"/>
    <sheet name="Revenue" sheetId="4" r:id="rId6"/>
    <sheet name="Fuel &amp; O&amp;M" sheetId="2" r:id="rId7"/>
    <sheet name="Finance Cost" sheetId="3" r:id="rId8"/>
    <sheet name="Tax" sheetId="9" r:id="rId9"/>
    <sheet name="Phasing" sheetId="6" state="hidden" r:id="rId10"/>
    <sheet name="Bid Tariff" sheetId="7" r:id="rId11"/>
    <sheet name="FGD Input" sheetId="12" r:id="rId12"/>
    <sheet name="FGD Phasing" sheetId="13" r:id="rId13"/>
    <sheet name="Phasing (2)" sheetId="16" r:id="rId14"/>
    <sheet name="Sheet1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\0" localSheetId="13">#REF!</definedName>
    <definedName name="\0">#REF!</definedName>
    <definedName name="\a" localSheetId="13">#REF!</definedName>
    <definedName name="\a">#REF!</definedName>
    <definedName name="\B" localSheetId="13">#REF!</definedName>
    <definedName name="\B">#REF!</definedName>
    <definedName name="\C" localSheetId="13">#REF!</definedName>
    <definedName name="\C">#REF!</definedName>
    <definedName name="\M" localSheetId="13">#REF!</definedName>
    <definedName name="\M">#REF!</definedName>
    <definedName name="\N" localSheetId="13">#REF!</definedName>
    <definedName name="\N">#REF!</definedName>
    <definedName name="\P" localSheetId="13">#REF!</definedName>
    <definedName name="\P">#REF!</definedName>
    <definedName name="\R" localSheetId="13">#REF!</definedName>
    <definedName name="\R">#REF!</definedName>
    <definedName name="\U" localSheetId="13">#REF!</definedName>
    <definedName name="\U">#REF!</definedName>
    <definedName name="\V" localSheetId="13">#REF!</definedName>
    <definedName name="\V">#REF!</definedName>
    <definedName name="_________b111121" localSheetId="13">'[1]PACK (B)'!#REF!</definedName>
    <definedName name="_________b111121">'[1]PACK (B)'!#REF!</definedName>
    <definedName name="_________TAB1">[2]TABLES!$A$2:$C$16</definedName>
    <definedName name="________1" localSheetId="11">[3]S_1!#REF!</definedName>
    <definedName name="________1" localSheetId="13">[3]S_1!#REF!</definedName>
    <definedName name="________1" localSheetId="8">[3]S_1!#REF!</definedName>
    <definedName name="________1">[3]S_1!#REF!</definedName>
    <definedName name="________b111121" localSheetId="11">'[1]PACK (B)'!#REF!</definedName>
    <definedName name="________b111121" localSheetId="13">'[1]PACK (B)'!#REF!</definedName>
    <definedName name="________b111121" localSheetId="8">'[1]PACK (B)'!#REF!</definedName>
    <definedName name="________b111121">'[1]PACK (B)'!#REF!</definedName>
    <definedName name="________DPR1">OFFSET([4]csd1!$A$2,0,0,COUNTA(OFFSET([4]csd1!$A$2,0,0,10000)),COUNTA([4]csd1!$A$2:$AB$2))</definedName>
    <definedName name="________DPR2">OFFSET([4]csd2!$A$2,0,0,COUNTA(OFFSET([4]csd2!$A$2,0,0,10000)),COUNTA([4]csd2!$A$2:$AB$2))</definedName>
    <definedName name="________rzb1" localSheetId="11">#REF!</definedName>
    <definedName name="________rzb1" localSheetId="13">#REF!</definedName>
    <definedName name="________rzb1" localSheetId="8">#REF!</definedName>
    <definedName name="________rzb1">#REF!</definedName>
    <definedName name="________rzb2" localSheetId="13">#REF!</definedName>
    <definedName name="________rzb2" localSheetId="8">#REF!</definedName>
    <definedName name="________rzb2">#REF!</definedName>
    <definedName name="________tog1" localSheetId="13">#REF!</definedName>
    <definedName name="________tog1" localSheetId="8">#REF!</definedName>
    <definedName name="________tog1">#REF!</definedName>
    <definedName name="_______1" localSheetId="13">[3]S_1!#REF!</definedName>
    <definedName name="_______1" localSheetId="8">[3]S_1!#REF!</definedName>
    <definedName name="_______1">[3]S_1!#REF!</definedName>
    <definedName name="_______DPR1">OFFSET([4]csd1!$A$2,0,0,COUNTA(OFFSET([4]csd1!$A$2,0,0,10000)),COUNTA([4]csd1!$A$2:$AB$2))</definedName>
    <definedName name="_______DPR2">OFFSET([4]csd2!$A$2,0,0,COUNTA(OFFSET([4]csd2!$A$2,0,0,10000)),COUNTA([4]csd2!$A$2:$AB$2))</definedName>
    <definedName name="_______rzb1" localSheetId="11">#REF!</definedName>
    <definedName name="_______rzb1" localSheetId="13">#REF!</definedName>
    <definedName name="_______rzb1" localSheetId="8">#REF!</definedName>
    <definedName name="_______rzb1">#REF!</definedName>
    <definedName name="_______rzb2" localSheetId="13">#REF!</definedName>
    <definedName name="_______rzb2" localSheetId="8">#REF!</definedName>
    <definedName name="_______rzb2">#REF!</definedName>
    <definedName name="_______TAB1">[2]TABLES!$A$2:$C$16</definedName>
    <definedName name="_______tog1" localSheetId="11">#REF!</definedName>
    <definedName name="_______tog1" localSheetId="13">#REF!</definedName>
    <definedName name="_______tog1" localSheetId="8">#REF!</definedName>
    <definedName name="_______tog1">#REF!</definedName>
    <definedName name="______b111121" localSheetId="11">'[1]PACK (B)'!#REF!</definedName>
    <definedName name="______b111121" localSheetId="13">'[1]PACK (B)'!#REF!</definedName>
    <definedName name="______b111121" localSheetId="8">'[1]PACK (B)'!#REF!</definedName>
    <definedName name="______b111121">'[1]PACK (B)'!#REF!</definedName>
    <definedName name="______DPR1">OFFSET([4]csd1!$A$2,0,0,COUNTA(OFFSET([4]csd1!$A$2,0,0,10000)),COUNTA([4]csd1!$A$2:$AB$2))</definedName>
    <definedName name="______DPR2">OFFSET([4]csd2!$A$2,0,0,COUNTA(OFFSET([4]csd2!$A$2,0,0,10000)),COUNTA([4]csd2!$A$2:$AB$2))</definedName>
    <definedName name="______rzb1" localSheetId="11">#REF!</definedName>
    <definedName name="______rzb1" localSheetId="13">#REF!</definedName>
    <definedName name="______rzb1" localSheetId="8">#REF!</definedName>
    <definedName name="______rzb1">#REF!</definedName>
    <definedName name="______rzb2" localSheetId="13">#REF!</definedName>
    <definedName name="______rzb2" localSheetId="8">#REF!</definedName>
    <definedName name="______rzb2">#REF!</definedName>
    <definedName name="______TAB1">[2]TABLES!$A$2:$C$16</definedName>
    <definedName name="______tog1" localSheetId="11">#REF!</definedName>
    <definedName name="______tog1" localSheetId="13">#REF!</definedName>
    <definedName name="______tog1" localSheetId="8">#REF!</definedName>
    <definedName name="______tog1">#REF!</definedName>
    <definedName name="_____1" localSheetId="11">[3]S_1!#REF!</definedName>
    <definedName name="_____1" localSheetId="13">[3]S_1!#REF!</definedName>
    <definedName name="_____1" localSheetId="8">[3]S_1!#REF!</definedName>
    <definedName name="_____1">[3]S_1!#REF!</definedName>
    <definedName name="_____b111121" localSheetId="11">'[1]PACK (B)'!#REF!</definedName>
    <definedName name="_____b111121" localSheetId="13">'[1]PACK (B)'!#REF!</definedName>
    <definedName name="_____b111121" localSheetId="8">'[1]PACK (B)'!#REF!</definedName>
    <definedName name="_____b111121">'[1]PACK (B)'!#REF!</definedName>
    <definedName name="_____DPR1">OFFSET([4]csd1!$A$2,0,0,COUNTA(OFFSET([4]csd1!$A$2,0,0,10000)),COUNTA([4]csd1!$A$2:$AB$2))</definedName>
    <definedName name="_____DPR2">OFFSET([4]csd2!$A$2,0,0,COUNTA(OFFSET([4]csd2!$A$2,0,0,10000)),COUNTA([4]csd2!$A$2:$AB$2))</definedName>
    <definedName name="_____IV88888" localSheetId="11">'[5]boiler loss'!#REF!</definedName>
    <definedName name="_____IV88888" localSheetId="13">'[5]boiler loss'!#REF!</definedName>
    <definedName name="_____IV88888" localSheetId="8">'[5]boiler loss'!#REF!</definedName>
    <definedName name="_____IV88888">'[5]boiler loss'!#REF!</definedName>
    <definedName name="_____rzb1" localSheetId="11">#REF!</definedName>
    <definedName name="_____rzb1" localSheetId="13">#REF!</definedName>
    <definedName name="_____rzb1" localSheetId="8">#REF!</definedName>
    <definedName name="_____rzb1">#REF!</definedName>
    <definedName name="_____rzb2" localSheetId="13">#REF!</definedName>
    <definedName name="_____rzb2" localSheetId="8">#REF!</definedName>
    <definedName name="_____rzb2">#REF!</definedName>
    <definedName name="_____TAB1">[6]TABLES!$A$2:$C$16</definedName>
    <definedName name="_____tog1" localSheetId="11">#REF!</definedName>
    <definedName name="_____tog1" localSheetId="13">#REF!</definedName>
    <definedName name="_____tog1" localSheetId="8">#REF!</definedName>
    <definedName name="_____tog1">#REF!</definedName>
    <definedName name="____1" localSheetId="11">[3]S_1!#REF!</definedName>
    <definedName name="____1" localSheetId="13">[3]S_1!#REF!</definedName>
    <definedName name="____1" localSheetId="8">[3]S_1!#REF!</definedName>
    <definedName name="____1">[3]S_1!#REF!</definedName>
    <definedName name="____b111121" localSheetId="11">'[1]PACK (B)'!#REF!</definedName>
    <definedName name="____b111121" localSheetId="13">'[1]PACK (B)'!#REF!</definedName>
    <definedName name="____b111121" localSheetId="8">'[1]PACK (B)'!#REF!</definedName>
    <definedName name="____b111121">'[1]PACK (B)'!#REF!</definedName>
    <definedName name="____DPR1">OFFSET([4]csd1!$A$2,0,0,COUNTA(OFFSET([4]csd1!$A$2,0,0,10000)),COUNTA([4]csd1!$A$2:$AB$2))</definedName>
    <definedName name="____DPR2">OFFSET([4]csd2!$A$2,0,0,COUNTA(OFFSET([4]csd2!$A$2,0,0,10000)),COUNTA([4]csd2!$A$2:$AB$2))</definedName>
    <definedName name="____IV88888" localSheetId="11">'[5]boiler loss'!#REF!</definedName>
    <definedName name="____IV88888" localSheetId="13">'[5]boiler loss'!#REF!</definedName>
    <definedName name="____IV88888" localSheetId="8">'[5]boiler loss'!#REF!</definedName>
    <definedName name="____IV88888">'[5]boiler loss'!#REF!</definedName>
    <definedName name="____rzb1" localSheetId="11">#REF!</definedName>
    <definedName name="____rzb1" localSheetId="13">#REF!</definedName>
    <definedName name="____rzb1" localSheetId="8">#REF!</definedName>
    <definedName name="____rzb1">#REF!</definedName>
    <definedName name="____rzb2" localSheetId="13">#REF!</definedName>
    <definedName name="____rzb2" localSheetId="8">#REF!</definedName>
    <definedName name="____rzb2">#REF!</definedName>
    <definedName name="____TAB1">[6]TABLES!$A$2:$C$16</definedName>
    <definedName name="____tog1" localSheetId="11">#REF!</definedName>
    <definedName name="____tog1" localSheetId="13">#REF!</definedName>
    <definedName name="____tog1" localSheetId="8">#REF!</definedName>
    <definedName name="____tog1">#REF!</definedName>
    <definedName name="___1" localSheetId="11">[3]S_1!#REF!</definedName>
    <definedName name="___1" localSheetId="13">[3]S_1!#REF!</definedName>
    <definedName name="___1" localSheetId="8">[3]S_1!#REF!</definedName>
    <definedName name="___1">[3]S_1!#REF!</definedName>
    <definedName name="___b111121" localSheetId="11">'[1]PACK (B)'!#REF!</definedName>
    <definedName name="___b111121" localSheetId="13">'[1]PACK (B)'!#REF!</definedName>
    <definedName name="___b111121" localSheetId="8">'[1]PACK (B)'!#REF!</definedName>
    <definedName name="___b111121">'[1]PACK (B)'!#REF!</definedName>
    <definedName name="___DPR1">OFFSET([4]csd1!$A$2,0,0,COUNTA(OFFSET([4]csd1!$A$2,0,0,10000)),COUNTA([4]csd1!$A$2:$AB$2))</definedName>
    <definedName name="___DPR2">OFFSET([4]csd2!$A$2,0,0,COUNTA(OFFSET([4]csd2!$A$2,0,0,10000)),COUNTA([4]csd2!$A$2:$AB$2))</definedName>
    <definedName name="___rzb1" localSheetId="11">#REF!</definedName>
    <definedName name="___rzb1" localSheetId="13">#REF!</definedName>
    <definedName name="___rzb1" localSheetId="8">#REF!</definedName>
    <definedName name="___rzb1">#REF!</definedName>
    <definedName name="___rzb2" localSheetId="13">#REF!</definedName>
    <definedName name="___rzb2" localSheetId="8">#REF!</definedName>
    <definedName name="___rzb2">#REF!</definedName>
    <definedName name="___TAB1">[6]TABLES!$A$2:$C$16</definedName>
    <definedName name="___tog1" localSheetId="11">#REF!</definedName>
    <definedName name="___tog1" localSheetId="13">#REF!</definedName>
    <definedName name="___tog1" localSheetId="8">#REF!</definedName>
    <definedName name="___tog1">#REF!</definedName>
    <definedName name="__1" localSheetId="11">[7]S_1!#REF!</definedName>
    <definedName name="__1" localSheetId="13">[7]S_1!#REF!</definedName>
    <definedName name="__1" localSheetId="8">[7]S_1!#REF!</definedName>
    <definedName name="__1">[7]S_1!#REF!</definedName>
    <definedName name="__b111121" localSheetId="11">'[1]PACK (B)'!#REF!</definedName>
    <definedName name="__b111121" localSheetId="13">'[1]PACK (B)'!#REF!</definedName>
    <definedName name="__b111121" localSheetId="8">'[1]PACK (B)'!#REF!</definedName>
    <definedName name="__b111121">'[1]PACK (B)'!#REF!</definedName>
    <definedName name="__DPR1">OFFSET([4]csd1!$A$2,0,0,COUNTA(OFFSET([4]csd1!$A$2,0,0,10000)),COUNTA([4]csd1!$A$2:$AB$2))</definedName>
    <definedName name="__DPR2">OFFSET([4]csd2!$A$2,0,0,COUNTA(OFFSET([4]csd2!$A$2,0,0,10000)),COUNTA([4]csd2!$A$2:$AB$2))</definedName>
    <definedName name="__IV88888" localSheetId="11">'[5]boiler loss'!#REF!</definedName>
    <definedName name="__IV88888" localSheetId="13">'[5]boiler loss'!#REF!</definedName>
    <definedName name="__IV88888" localSheetId="8">'[5]boiler loss'!#REF!</definedName>
    <definedName name="__IV88888">'[5]boiler loss'!#REF!</definedName>
    <definedName name="__rzb1" localSheetId="11">#REF!</definedName>
    <definedName name="__rzb1" localSheetId="13">#REF!</definedName>
    <definedName name="__rzb1" localSheetId="8">#REF!</definedName>
    <definedName name="__rzb1">#REF!</definedName>
    <definedName name="__rzb2" localSheetId="13">#REF!</definedName>
    <definedName name="__rzb2" localSheetId="8">#REF!</definedName>
    <definedName name="__rzb2">#REF!</definedName>
    <definedName name="__TAB1">[8]TABLES!$A$2:$C$16</definedName>
    <definedName name="__tog1" localSheetId="11">#REF!</definedName>
    <definedName name="__tog1" localSheetId="13">#REF!</definedName>
    <definedName name="__tog1" localSheetId="8">#REF!</definedName>
    <definedName name="__tog1">#REF!</definedName>
    <definedName name="__WCM2" localSheetId="13">#REF!</definedName>
    <definedName name="__WCM2" localSheetId="8">#REF!</definedName>
    <definedName name="__WCM2">#REF!</definedName>
    <definedName name="__WCM3" localSheetId="13">#REF!</definedName>
    <definedName name="__WCM3" localSheetId="8">#REF!</definedName>
    <definedName name="__WCM3">#REF!</definedName>
    <definedName name="__xlnm.Print_Area_2" localSheetId="13">#REF!</definedName>
    <definedName name="__xlnm.Print_Area_2">#REF!</definedName>
    <definedName name="__xlnm.Print_Area_3" localSheetId="13">#REF!</definedName>
    <definedName name="__xlnm.Print_Area_3">#REF!</definedName>
    <definedName name="__xlnm.Print_Area_4" localSheetId="13">#REF!</definedName>
    <definedName name="__xlnm.Print_Area_4">#REF!</definedName>
    <definedName name="_1" localSheetId="13">#REF!</definedName>
    <definedName name="_1">#REF!</definedName>
    <definedName name="_2_1" localSheetId="13">[3]S_1!#REF!</definedName>
    <definedName name="_2_1">[3]S_1!#REF!</definedName>
    <definedName name="_6_1" localSheetId="13">[3]S_1!#REF!</definedName>
    <definedName name="_6_1">[3]S_1!#REF!</definedName>
    <definedName name="_b111121" localSheetId="13">'[1]PACK (B)'!#REF!</definedName>
    <definedName name="_b111121">'[1]PACK (B)'!#REF!</definedName>
    <definedName name="_DPR1">OFFSET([4]csd1!$A$2,0,0,COUNTA(OFFSET([4]csd1!$A$2,0,0,10000)),COUNTA([4]csd1!$A$2:$AB$2))</definedName>
    <definedName name="_DPR2">OFFSET([4]csd2!$A$2,0,0,COUNTA(OFFSET([4]csd2!$A$2,0,0,10000)),COUNTA([4]csd2!$A$2:$AB$2))</definedName>
    <definedName name="_Fill" localSheetId="11" hidden="1">#REF!</definedName>
    <definedName name="_Fill" localSheetId="13" hidden="1">#REF!</definedName>
    <definedName name="_Fill" localSheetId="8" hidden="1">#REF!</definedName>
    <definedName name="_Fill" hidden="1">#REF!</definedName>
    <definedName name="_Fill1" localSheetId="11" hidden="1">[9]BHANDUP!#REF!</definedName>
    <definedName name="_Fill1" localSheetId="13" hidden="1">[9]BHANDUP!#REF!</definedName>
    <definedName name="_Fill1" localSheetId="8" hidden="1">[9]BHANDUP!#REF!</definedName>
    <definedName name="_Fill1" hidden="1">[9]BHANDUP!#REF!</definedName>
    <definedName name="_xlnm._FilterDatabase" localSheetId="11" hidden="1">#REF!</definedName>
    <definedName name="_xlnm._FilterDatabase" localSheetId="13" hidden="1">#REF!</definedName>
    <definedName name="_xlnm._FilterDatabase" localSheetId="8" hidden="1">#REF!</definedName>
    <definedName name="_xlnm._FilterDatabase" hidden="1">#REF!</definedName>
    <definedName name="_IV88888" localSheetId="11">'[5]boiler loss'!#REF!</definedName>
    <definedName name="_IV88888" localSheetId="13">'[5]boiler loss'!#REF!</definedName>
    <definedName name="_IV88888" localSheetId="8">'[5]boiler loss'!#REF!</definedName>
    <definedName name="_IV88888">'[5]boiler loss'!#REF!</definedName>
    <definedName name="_Key1" localSheetId="11" hidden="1">[10]Jindal!#REF!</definedName>
    <definedName name="_Key1" localSheetId="13" hidden="1">[10]Jindal!#REF!</definedName>
    <definedName name="_Key1" localSheetId="8" hidden="1">[10]Jindal!#REF!</definedName>
    <definedName name="_Key1" hidden="1">[10]Jindal!#REF!</definedName>
    <definedName name="_Key2" localSheetId="13" hidden="1">[10]Jindal!#REF!</definedName>
    <definedName name="_Key2" localSheetId="8" hidden="1">[10]Jindal!#REF!</definedName>
    <definedName name="_Key2" hidden="1">[10]Jindal!#REF!</definedName>
    <definedName name="_Order1" hidden="1">0</definedName>
    <definedName name="_Order2" hidden="1">0</definedName>
    <definedName name="_Regression_X" localSheetId="13" hidden="1">#REF!</definedName>
    <definedName name="_Regression_X" localSheetId="8" hidden="1">#REF!</definedName>
    <definedName name="_Regression_X" hidden="1">#REF!</definedName>
    <definedName name="_rzb1" localSheetId="13">#REF!</definedName>
    <definedName name="_rzb1" localSheetId="8">#REF!</definedName>
    <definedName name="_rzb1">#REF!</definedName>
    <definedName name="_rzb2" localSheetId="13">#REF!</definedName>
    <definedName name="_rzb2">#REF!</definedName>
    <definedName name="_TAB1">[11]TABLES!$A$2:$C$16</definedName>
    <definedName name="_Table2_In1" localSheetId="11" hidden="1">#REF!</definedName>
    <definedName name="_Table2_In1" localSheetId="13" hidden="1">#REF!</definedName>
    <definedName name="_Table2_In1" localSheetId="8" hidden="1">#REF!</definedName>
    <definedName name="_Table2_In1" hidden="1">#REF!</definedName>
    <definedName name="_Table2_In2" localSheetId="13" hidden="1">#REF!</definedName>
    <definedName name="_Table2_In2" localSheetId="8" hidden="1">#REF!</definedName>
    <definedName name="_Table2_In2" hidden="1">#REF!</definedName>
    <definedName name="_Table2_Out" localSheetId="13" hidden="1">#REF!</definedName>
    <definedName name="_Table2_Out" localSheetId="8" hidden="1">#REF!</definedName>
    <definedName name="_Table2_Out" hidden="1">#REF!</definedName>
    <definedName name="_Table3_In2" localSheetId="13" hidden="1">#REF!</definedName>
    <definedName name="_Table3_In2" hidden="1">#REF!</definedName>
    <definedName name="_tog1" localSheetId="13">#REF!</definedName>
    <definedName name="_tog1">#REF!</definedName>
    <definedName name="_WCM2">[12]Revenue!$D$163</definedName>
    <definedName name="_WCM3" localSheetId="11">[12]Revenue!#REF!</definedName>
    <definedName name="_WCM3" localSheetId="13">[12]Revenue!#REF!</definedName>
    <definedName name="_WCM3" localSheetId="8">[12]Revenue!#REF!</definedName>
    <definedName name="_WCM3">[12]Revenue!#REF!</definedName>
    <definedName name="a" localSheetId="11" hidden="1">{#N/A,#N/A,FALSE,"Quantum Optima Details"}</definedName>
    <definedName name="a" localSheetId="8" hidden="1">{#N/A,#N/A,FALSE,"Quantum Optima Details"}</definedName>
    <definedName name="a" hidden="1">{#N/A,#N/A,FALSE,"Quantum Optima Details"}</definedName>
    <definedName name="aa" localSheetId="13">[13]tbc!#REF!</definedName>
    <definedName name="aa">[13]tbc!#REF!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" localSheetId="11">#REF!</definedName>
    <definedName name="ab" localSheetId="13">#REF!</definedName>
    <definedName name="ab" localSheetId="8">#REF!</definedName>
    <definedName name="ab">#REF!</definedName>
    <definedName name="abc" localSheetId="11">[14]tbc!#REF!</definedName>
    <definedName name="abc" localSheetId="13">[14]tbc!#REF!</definedName>
    <definedName name="abc" localSheetId="8">[14]tbc!#REF!</definedName>
    <definedName name="abc">[14]tbc!#REF!</definedName>
    <definedName name="abcd" localSheetId="11">#REF!</definedName>
    <definedName name="abcd" localSheetId="13">#REF!</definedName>
    <definedName name="abcd" localSheetId="8">#REF!</definedName>
    <definedName name="abcd">#REF!</definedName>
    <definedName name="abg" localSheetId="13">#REF!</definedName>
    <definedName name="abg" localSheetId="8">#REF!</definedName>
    <definedName name="abg">#REF!</definedName>
    <definedName name="ABND" localSheetId="13">#REF!</definedName>
    <definedName name="ABND" localSheetId="8">#REF!</definedName>
    <definedName name="ABND">#REF!</definedName>
    <definedName name="ac" localSheetId="11" hidden="1">{#N/A,#N/A,FALSE,"Quantum Optima Details"}</definedName>
    <definedName name="ac" localSheetId="8" hidden="1">{#N/A,#N/A,FALSE,"Quantum Optima Details"}</definedName>
    <definedName name="ac" hidden="1">{#N/A,#N/A,FALSE,"Quantum Optima Details"}</definedName>
    <definedName name="accno">'[15]Trial Balance'!$B$1:$E$65536</definedName>
    <definedName name="account" localSheetId="11">#REF!</definedName>
    <definedName name="account" localSheetId="13">#REF!</definedName>
    <definedName name="account" localSheetId="8">#REF!</definedName>
    <definedName name="account">#REF!</definedName>
    <definedName name="acno" localSheetId="13">#REF!</definedName>
    <definedName name="acno" localSheetId="8">#REF!</definedName>
    <definedName name="acno">#REF!</definedName>
    <definedName name="adate" localSheetId="13">#REF!</definedName>
    <definedName name="adate" localSheetId="8">#REF!</definedName>
    <definedName name="adate">#REF!</definedName>
    <definedName name="adhoc" localSheetId="13">#REF!</definedName>
    <definedName name="adhoc">#REF!</definedName>
    <definedName name="admi" localSheetId="13">#REF!</definedName>
    <definedName name="admi">#REF!</definedName>
    <definedName name="ajay" localSheetId="11" hidden="1">{#N/A,#N/A,FALSE,"Quantum Optima Details"}</definedName>
    <definedName name="ajay" localSheetId="8" hidden="1">{#N/A,#N/A,FALSE,"Quantum Optima Details"}</definedName>
    <definedName name="ajay" hidden="1">{#N/A,#N/A,FALSE,"Quantum Optima Details"}</definedName>
    <definedName name="ajay_15" localSheetId="11" hidden="1">{#N/A,#N/A,FALSE,"Quantum Optima Details"}</definedName>
    <definedName name="ajay_15" localSheetId="8" hidden="1">{#N/A,#N/A,FALSE,"Quantum Optima Details"}</definedName>
    <definedName name="ajay_15" hidden="1">{#N/A,#N/A,FALSE,"Quantum Optima Details"}</definedName>
    <definedName name="annex" localSheetId="11">#REF!</definedName>
    <definedName name="annex" localSheetId="13">#REF!</definedName>
    <definedName name="annex" localSheetId="8">#REF!</definedName>
    <definedName name="annex">#REF!</definedName>
    <definedName name="Annex_6" localSheetId="13">#REF!</definedName>
    <definedName name="Annex_6" localSheetId="8">#REF!</definedName>
    <definedName name="Annex_6">#REF!</definedName>
    <definedName name="appendix4" localSheetId="1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rea_Conversions" localSheetId="11">#REF!</definedName>
    <definedName name="Area_Conversions" localSheetId="13">#REF!</definedName>
    <definedName name="Area_Conversions" localSheetId="8">#REF!</definedName>
    <definedName name="Area_Conversions">#REF!</definedName>
    <definedName name="as" localSheetId="11" hidden="1">{#N/A,#N/A,FALSE,"Quantum Optima Details"}</definedName>
    <definedName name="as" localSheetId="8" hidden="1">{#N/A,#N/A,FALSE,"Quantum Optima Details"}</definedName>
    <definedName name="as" hidden="1">{#N/A,#N/A,FALSE,"Quantum Optima Details"}</definedName>
    <definedName name="asd" localSheetId="11">#REF!</definedName>
    <definedName name="asd" localSheetId="13">#REF!</definedName>
    <definedName name="asd" localSheetId="8">#REF!</definedName>
    <definedName name="asd">#REF!</definedName>
    <definedName name="asim" localSheetId="13">#REF!</definedName>
    <definedName name="asim" localSheetId="8">#REF!</definedName>
    <definedName name="asim">#REF!</definedName>
    <definedName name="ASSETS" localSheetId="13">#REF!</definedName>
    <definedName name="ASSETS" localSheetId="8">#REF!</definedName>
    <definedName name="ASSETS">#REF!</definedName>
    <definedName name="ATS">[16]dues!$B$4</definedName>
    <definedName name="Avg_DSCR" localSheetId="11">#REF!</definedName>
    <definedName name="Avg_DSCR" localSheetId="13">#REF!</definedName>
    <definedName name="Avg_DSCR" localSheetId="8">#REF!</definedName>
    <definedName name="Avg_DSCR">#REF!</definedName>
    <definedName name="ax" localSheetId="11">[17]CLAY!#REF!</definedName>
    <definedName name="ax" localSheetId="13">[17]CLAY!#REF!</definedName>
    <definedName name="ax" localSheetId="8">[17]CLAY!#REF!</definedName>
    <definedName name="ax">[17]CLAY!#REF!</definedName>
    <definedName name="ay" localSheetId="11">[17]CLAY!#REF!</definedName>
    <definedName name="ay" localSheetId="13">[17]CLAY!#REF!</definedName>
    <definedName name="ay" localSheetId="8">[17]CLAY!#REF!</definedName>
    <definedName name="ay">[17]CLAY!#REF!</definedName>
    <definedName name="b" localSheetId="11" hidden="1">{#N/A,#N/A,FALSE,"Quantum Optima Details"}</definedName>
    <definedName name="b" localSheetId="8" hidden="1">{#N/A,#N/A,FALSE,"Quantum Optima Details"}</definedName>
    <definedName name="b" hidden="1">{#N/A,#N/A,FALSE,"Quantum Optima Details"}</definedName>
    <definedName name="BACK_A">[18]AcqIS:AcqBSCF!$A$54:$N$55</definedName>
    <definedName name="bal" localSheetId="11">#REF!</definedName>
    <definedName name="bal" localSheetId="13">#REF!</definedName>
    <definedName name="bal" localSheetId="8">#REF!</definedName>
    <definedName name="bal">#REF!</definedName>
    <definedName name="Balancesheet" localSheetId="13">#REF!</definedName>
    <definedName name="Balancesheet" localSheetId="8">#REF!</definedName>
    <definedName name="Balancesheet">#REF!</definedName>
    <definedName name="barclays" localSheetId="13">#REF!</definedName>
    <definedName name="barclays" localSheetId="8">#REF!</definedName>
    <definedName name="barclays">#REF!</definedName>
    <definedName name="bardes" localSheetId="13">#REF!</definedName>
    <definedName name="bardes">#REF!</definedName>
    <definedName name="Base_metric_for_multiples" localSheetId="13">'[19]Basic inputs+instr'!#REF!</definedName>
    <definedName name="Base_metric_for_multiples">'[19]Basic inputs+instr'!#REF!</definedName>
    <definedName name="bdate" localSheetId="11">#REF!</definedName>
    <definedName name="bdate" localSheetId="13">#REF!</definedName>
    <definedName name="bdate" localSheetId="8">#REF!</definedName>
    <definedName name="bdate">#REF!</definedName>
    <definedName name="BENEFICIARY" localSheetId="13">#REF!</definedName>
    <definedName name="BENEFICIARY" localSheetId="8">#REF!</definedName>
    <definedName name="BENEFICIARY">#REF!</definedName>
    <definedName name="BILL" localSheetId="13">#REF!</definedName>
    <definedName name="BILL" localSheetId="8">#REF!</definedName>
    <definedName name="BILL">#REF!</definedName>
    <definedName name="BILL_OF_LADING" localSheetId="13">#REF!</definedName>
    <definedName name="BILL_OF_LADING">#REF!</definedName>
    <definedName name="BLPH1" localSheetId="13" hidden="1">#REF!</definedName>
    <definedName name="BLPH1" hidden="1">#REF!</definedName>
    <definedName name="BLPH2" localSheetId="13" hidden="1">#REF!</definedName>
    <definedName name="BLPH2" hidden="1">#REF!</definedName>
    <definedName name="BLPH3" localSheetId="13" hidden="1">#REF!</definedName>
    <definedName name="BLPH3" hidden="1">#REF!</definedName>
    <definedName name="BLPH4" localSheetId="13" hidden="1">#REF!</definedName>
    <definedName name="BLPH4" hidden="1">#REF!</definedName>
    <definedName name="BLPH5" localSheetId="13" hidden="1">#REF!</definedName>
    <definedName name="BLPH5" hidden="1">#REF!</definedName>
    <definedName name="bs" localSheetId="13">#REF!</definedName>
    <definedName name="bs">#REF!</definedName>
    <definedName name="building">'[20]DETAILED  BOQ'!$A$2</definedName>
    <definedName name="C_">#N/A</definedName>
    <definedName name="CADUSD04Avg" localSheetId="11">#REF!</definedName>
    <definedName name="CADUSD04Avg" localSheetId="13">#REF!</definedName>
    <definedName name="CADUSD04Avg" localSheetId="8">#REF!</definedName>
    <definedName name="CADUSD04Avg">#REF!</definedName>
    <definedName name="CADUSD05" localSheetId="13">#REF!</definedName>
    <definedName name="CADUSD05" localSheetId="8">#REF!</definedName>
    <definedName name="CADUSD05">#REF!</definedName>
    <definedName name="CADUSD06" localSheetId="13">#REF!</definedName>
    <definedName name="CADUSD06" localSheetId="8">#REF!</definedName>
    <definedName name="CADUSD06">#REF!</definedName>
    <definedName name="CalDate" localSheetId="13">[21]Setting!#REF!</definedName>
    <definedName name="CalDate" localSheetId="8">[21]Setting!#REF!</definedName>
    <definedName name="CalDate">[21]Setting!#REF!</definedName>
    <definedName name="Cap_T" localSheetId="11">#REF!</definedName>
    <definedName name="Cap_T" localSheetId="13">#REF!</definedName>
    <definedName name="Cap_T" localSheetId="8">#REF!</definedName>
    <definedName name="Cap_T">#REF!</definedName>
    <definedName name="CAPAPR" localSheetId="13">#REF!</definedName>
    <definedName name="CAPAPR" localSheetId="8">#REF!</definedName>
    <definedName name="CAPAPR">#REF!</definedName>
    <definedName name="CAPAUG" localSheetId="13">#REF!</definedName>
    <definedName name="CAPAUG" localSheetId="8">#REF!</definedName>
    <definedName name="CAPAUG">#REF!</definedName>
    <definedName name="CAPDEC" localSheetId="13">#REF!</definedName>
    <definedName name="CAPDEC">#REF!</definedName>
    <definedName name="CAPFEB" localSheetId="13">#REF!</definedName>
    <definedName name="CAPFEB">#REF!</definedName>
    <definedName name="CAPJAN" localSheetId="13">#REF!</definedName>
    <definedName name="CAPJAN">#REF!</definedName>
    <definedName name="CAPJUL" localSheetId="13">#REF!</definedName>
    <definedName name="CAPJUL">#REF!</definedName>
    <definedName name="CAPJUN" localSheetId="13">#REF!</definedName>
    <definedName name="CAPJUN">#REF!</definedName>
    <definedName name="CAPMAR" localSheetId="13">#REF!</definedName>
    <definedName name="CAPMAR">#REF!</definedName>
    <definedName name="CAPMAY" localSheetId="13">#REF!</definedName>
    <definedName name="CAPMAY">#REF!</definedName>
    <definedName name="CAPNOV" localSheetId="13">#REF!</definedName>
    <definedName name="CAPNOV">#REF!</definedName>
    <definedName name="CAPOCT" localSheetId="13">#REF!</definedName>
    <definedName name="CAPOCT">#REF!</definedName>
    <definedName name="caprl" localSheetId="13">#REF!</definedName>
    <definedName name="caprl">#REF!</definedName>
    <definedName name="CAPSEP" localSheetId="13">#REF!</definedName>
    <definedName name="CAPSEP">#REF!</definedName>
    <definedName name="carpet" localSheetId="13">#REF!</definedName>
    <definedName name="carpet">#REF!</definedName>
    <definedName name="CASE" localSheetId="13">#REF!</definedName>
    <definedName name="CASE">#REF!</definedName>
    <definedName name="cashflow" localSheetId="13">#REF!</definedName>
    <definedName name="cashflow">#REF!</definedName>
    <definedName name="CD_MP" localSheetId="13">#REF!</definedName>
    <definedName name="CD_MP">#REF!</definedName>
    <definedName name="CD_normal" localSheetId="13">#REF!</definedName>
    <definedName name="CD_normal">#REF!</definedName>
    <definedName name="CD_PI" localSheetId="13">#REF!</definedName>
    <definedName name="CD_PI">#REF!</definedName>
    <definedName name="cdds" localSheetId="13">#REF!</definedName>
    <definedName name="cdds">#REF!</definedName>
    <definedName name="CERC_CAL">'[12]APSEB@CERC'!$E$100:$AS$100</definedName>
    <definedName name="CERC_PASTED">'[12]APSEB@CERC'!$E$101:$AS$101</definedName>
    <definedName name="cf" localSheetId="11">#REF!</definedName>
    <definedName name="cf" localSheetId="13">#REF!</definedName>
    <definedName name="cf" localSheetId="8">#REF!</definedName>
    <definedName name="cf">#REF!</definedName>
    <definedName name="Check_Company" localSheetId="11">[22]Parameters!#REF!</definedName>
    <definedName name="Check_Company" localSheetId="13">[22]Parameters!#REF!</definedName>
    <definedName name="Check_Company" localSheetId="8">[22]Parameters!#REF!</definedName>
    <definedName name="Check_Company">[22]Parameters!#REF!</definedName>
    <definedName name="checked" localSheetId="11">[17]CLAY!#REF!</definedName>
    <definedName name="checked" localSheetId="13">[17]CLAY!#REF!</definedName>
    <definedName name="checked" localSheetId="8">[17]CLAY!#REF!</definedName>
    <definedName name="checked">[17]CLAY!#REF!</definedName>
    <definedName name="chk" localSheetId="11">#REF!</definedName>
    <definedName name="chk" localSheetId="13">#REF!</definedName>
    <definedName name="chk" localSheetId="8">#REF!</definedName>
    <definedName name="chk">#REF!</definedName>
    <definedName name="ci">[23]icici!$B$4</definedName>
    <definedName name="CLAB" localSheetId="11">#REF!</definedName>
    <definedName name="CLAB" localSheetId="13">#REF!</definedName>
    <definedName name="CLAB" localSheetId="8">#REF!</definedName>
    <definedName name="CLAB">#REF!</definedName>
    <definedName name="CLEAR_10" localSheetId="13">#REF!</definedName>
    <definedName name="CLEAR_10" localSheetId="8">#REF!</definedName>
    <definedName name="CLEAR_10">#REF!</definedName>
    <definedName name="CLEAR_100" localSheetId="13">#REF!</definedName>
    <definedName name="CLEAR_100" localSheetId="8">#REF!</definedName>
    <definedName name="CLEAR_100">#REF!</definedName>
    <definedName name="CLEAR_101" localSheetId="13">#REF!</definedName>
    <definedName name="CLEAR_101">#REF!</definedName>
    <definedName name="CLEAR_102" localSheetId="13">#REF!</definedName>
    <definedName name="CLEAR_102">#REF!</definedName>
    <definedName name="CLEAR_103" localSheetId="13">#REF!</definedName>
    <definedName name="CLEAR_103">#REF!</definedName>
    <definedName name="CLEAR_104" localSheetId="13">#REF!</definedName>
    <definedName name="CLEAR_104">#REF!</definedName>
    <definedName name="CLEAR_105" localSheetId="13">#REF!</definedName>
    <definedName name="CLEAR_105">#REF!</definedName>
    <definedName name="CLEAR_106" localSheetId="13">#REF!</definedName>
    <definedName name="CLEAR_106">#REF!</definedName>
    <definedName name="CLEAR_107" localSheetId="13">#REF!</definedName>
    <definedName name="CLEAR_107">#REF!</definedName>
    <definedName name="CLEAR_108" localSheetId="13">#REF!</definedName>
    <definedName name="CLEAR_108">#REF!</definedName>
    <definedName name="CLEAR_109" localSheetId="13">#REF!</definedName>
    <definedName name="CLEAR_109">#REF!</definedName>
    <definedName name="CLEAR_11" localSheetId="13">#REF!</definedName>
    <definedName name="CLEAR_11">#REF!</definedName>
    <definedName name="CLEAR_110" localSheetId="13">#REF!</definedName>
    <definedName name="CLEAR_110">#REF!</definedName>
    <definedName name="CLEAR_111" localSheetId="13">#REF!</definedName>
    <definedName name="CLEAR_111">#REF!</definedName>
    <definedName name="CLEAR_112" localSheetId="13">#REF!</definedName>
    <definedName name="CLEAR_112">#REF!</definedName>
    <definedName name="CLEAR_113" localSheetId="13">#REF!</definedName>
    <definedName name="CLEAR_113">#REF!</definedName>
    <definedName name="CLEAR_114" localSheetId="13">#REF!</definedName>
    <definedName name="CLEAR_114">#REF!</definedName>
    <definedName name="CLEAR_115" localSheetId="13">#REF!</definedName>
    <definedName name="CLEAR_115">#REF!</definedName>
    <definedName name="CLEAR_116" localSheetId="13">#REF!</definedName>
    <definedName name="CLEAR_116">#REF!</definedName>
    <definedName name="CLEAR_117" localSheetId="13">#REF!</definedName>
    <definedName name="CLEAR_117">#REF!</definedName>
    <definedName name="CLEAR_118" localSheetId="13">#REF!</definedName>
    <definedName name="CLEAR_118">#REF!</definedName>
    <definedName name="CLEAR_119" localSheetId="13">#REF!</definedName>
    <definedName name="CLEAR_119">#REF!</definedName>
    <definedName name="CLEAR_12" localSheetId="13">#REF!</definedName>
    <definedName name="CLEAR_12">#REF!</definedName>
    <definedName name="CLEAR_120" localSheetId="13">#REF!</definedName>
    <definedName name="CLEAR_120">#REF!</definedName>
    <definedName name="CLEAR_121" localSheetId="13">#REF!</definedName>
    <definedName name="CLEAR_121">#REF!</definedName>
    <definedName name="CLEAR_122" localSheetId="13">#REF!</definedName>
    <definedName name="CLEAR_122">#REF!</definedName>
    <definedName name="CLEAR_123" localSheetId="13">#REF!</definedName>
    <definedName name="CLEAR_123">#REF!</definedName>
    <definedName name="CLEAR_124" localSheetId="13">#REF!</definedName>
    <definedName name="CLEAR_124">#REF!</definedName>
    <definedName name="CLEAR_125" localSheetId="13">#REF!</definedName>
    <definedName name="CLEAR_125">#REF!</definedName>
    <definedName name="CLEAR_13" localSheetId="13">#REF!</definedName>
    <definedName name="CLEAR_13">#REF!</definedName>
    <definedName name="CLEAR_14" localSheetId="13">#REF!</definedName>
    <definedName name="CLEAR_14">#REF!</definedName>
    <definedName name="CLEAR_15" localSheetId="13">#REF!</definedName>
    <definedName name="CLEAR_15">#REF!</definedName>
    <definedName name="CLEAR_16" localSheetId="13">#REF!</definedName>
    <definedName name="CLEAR_16">#REF!</definedName>
    <definedName name="CLEAR_17" localSheetId="13">#REF!</definedName>
    <definedName name="CLEAR_17">#REF!</definedName>
    <definedName name="CLEAR_18" localSheetId="13">#REF!</definedName>
    <definedName name="CLEAR_18">#REF!</definedName>
    <definedName name="CLEAR_19" localSheetId="13">#REF!</definedName>
    <definedName name="CLEAR_19">#REF!</definedName>
    <definedName name="CLEAR_20" localSheetId="13">#REF!</definedName>
    <definedName name="CLEAR_20">#REF!</definedName>
    <definedName name="CLEAR_21" localSheetId="13">#REF!</definedName>
    <definedName name="CLEAR_21">#REF!</definedName>
    <definedName name="CLEAR_22" localSheetId="13">#REF!</definedName>
    <definedName name="CLEAR_22">#REF!</definedName>
    <definedName name="CLEAR_23" localSheetId="13">#REF!</definedName>
    <definedName name="CLEAR_23">#REF!</definedName>
    <definedName name="CLEAR_24" localSheetId="13">#REF!</definedName>
    <definedName name="CLEAR_24">#REF!</definedName>
    <definedName name="CLEAR_25" localSheetId="13">#REF!</definedName>
    <definedName name="CLEAR_25">#REF!</definedName>
    <definedName name="CLEAR_26" localSheetId="13">#REF!</definedName>
    <definedName name="CLEAR_26">#REF!</definedName>
    <definedName name="CLEAR_27" localSheetId="13">#REF!</definedName>
    <definedName name="CLEAR_27">#REF!</definedName>
    <definedName name="CLEAR_28" localSheetId="13">#REF!</definedName>
    <definedName name="CLEAR_28">#REF!</definedName>
    <definedName name="CLEAR_29" localSheetId="13">#REF!</definedName>
    <definedName name="CLEAR_29">#REF!</definedName>
    <definedName name="CLEAR_30" localSheetId="13">#REF!</definedName>
    <definedName name="CLEAR_30">#REF!</definedName>
    <definedName name="CLEAR_31" localSheetId="13">#REF!</definedName>
    <definedName name="CLEAR_31">#REF!</definedName>
    <definedName name="CLEAR_32" localSheetId="13">#REF!</definedName>
    <definedName name="CLEAR_32">#REF!</definedName>
    <definedName name="CLEAR_33" localSheetId="13">#REF!</definedName>
    <definedName name="CLEAR_33">#REF!</definedName>
    <definedName name="CLEAR_34" localSheetId="13">#REF!</definedName>
    <definedName name="CLEAR_34">#REF!</definedName>
    <definedName name="CLEAR_35" localSheetId="13">#REF!</definedName>
    <definedName name="CLEAR_35">#REF!</definedName>
    <definedName name="CLEAR_36" localSheetId="13">#REF!</definedName>
    <definedName name="CLEAR_36">#REF!</definedName>
    <definedName name="CLEAR_37" localSheetId="13">#REF!</definedName>
    <definedName name="CLEAR_37">#REF!</definedName>
    <definedName name="CLEAR_38" localSheetId="13">#REF!</definedName>
    <definedName name="CLEAR_38">#REF!</definedName>
    <definedName name="CLEAR_39" localSheetId="13">#REF!</definedName>
    <definedName name="CLEAR_39">#REF!</definedName>
    <definedName name="CLEAR_40" localSheetId="13">#REF!</definedName>
    <definedName name="CLEAR_40">#REF!</definedName>
    <definedName name="CLEAR_41" localSheetId="13">#REF!</definedName>
    <definedName name="CLEAR_41">#REF!</definedName>
    <definedName name="CLEAR_42" localSheetId="13">#REF!</definedName>
    <definedName name="CLEAR_42">#REF!</definedName>
    <definedName name="CLEAR_43" localSheetId="13">#REF!</definedName>
    <definedName name="CLEAR_43">#REF!</definedName>
    <definedName name="CLEAR_44" localSheetId="13">#REF!</definedName>
    <definedName name="CLEAR_44">#REF!</definedName>
    <definedName name="CLEAR_45" localSheetId="13">#REF!</definedName>
    <definedName name="CLEAR_45">#REF!</definedName>
    <definedName name="CLEAR_46" localSheetId="13">#REF!</definedName>
    <definedName name="CLEAR_46">#REF!</definedName>
    <definedName name="CLEAR_47" localSheetId="13">#REF!</definedName>
    <definedName name="CLEAR_47">#REF!</definedName>
    <definedName name="CLEAR_48" localSheetId="13">#REF!</definedName>
    <definedName name="CLEAR_48">#REF!</definedName>
    <definedName name="CLEAR_49" localSheetId="13">#REF!</definedName>
    <definedName name="CLEAR_49">#REF!</definedName>
    <definedName name="CLEAR_5" localSheetId="13">#REF!</definedName>
    <definedName name="CLEAR_5">#REF!</definedName>
    <definedName name="CLEAR_50" localSheetId="13">#REF!</definedName>
    <definedName name="CLEAR_50">#REF!</definedName>
    <definedName name="CLEAR_51" localSheetId="13">#REF!</definedName>
    <definedName name="CLEAR_51">#REF!</definedName>
    <definedName name="CLEAR_52" localSheetId="13">#REF!</definedName>
    <definedName name="CLEAR_52">#REF!</definedName>
    <definedName name="CLEAR_53" localSheetId="13">#REF!</definedName>
    <definedName name="CLEAR_53">#REF!</definedName>
    <definedName name="CLEAR_54" localSheetId="13">#REF!</definedName>
    <definedName name="CLEAR_54">#REF!</definedName>
    <definedName name="CLEAR_55" localSheetId="13">#REF!</definedName>
    <definedName name="CLEAR_55">#REF!</definedName>
    <definedName name="CLEAR_56" localSheetId="13">#REF!</definedName>
    <definedName name="CLEAR_56">#REF!</definedName>
    <definedName name="CLEAR_57" localSheetId="13">#REF!</definedName>
    <definedName name="CLEAR_57">#REF!</definedName>
    <definedName name="CLEAR_58" localSheetId="13">#REF!</definedName>
    <definedName name="CLEAR_58">#REF!</definedName>
    <definedName name="CLEAR_59" localSheetId="13">#REF!</definedName>
    <definedName name="CLEAR_59">#REF!</definedName>
    <definedName name="CLEAR_6" localSheetId="13">#REF!</definedName>
    <definedName name="CLEAR_6">#REF!</definedName>
    <definedName name="CLEAR_60" localSheetId="13">#REF!</definedName>
    <definedName name="CLEAR_60">#REF!</definedName>
    <definedName name="CLEAR_61" localSheetId="13">#REF!</definedName>
    <definedName name="CLEAR_61">#REF!</definedName>
    <definedName name="CLEAR_62" localSheetId="13">#REF!</definedName>
    <definedName name="CLEAR_62">#REF!</definedName>
    <definedName name="CLEAR_63" localSheetId="13">#REF!</definedName>
    <definedName name="CLEAR_63">#REF!</definedName>
    <definedName name="CLEAR_64" localSheetId="13">#REF!</definedName>
    <definedName name="CLEAR_64">#REF!</definedName>
    <definedName name="CLEAR_65" localSheetId="13">#REF!</definedName>
    <definedName name="CLEAR_65">#REF!</definedName>
    <definedName name="CLEAR_66" localSheetId="13">#REF!</definedName>
    <definedName name="CLEAR_66">#REF!</definedName>
    <definedName name="CLEAR_67" localSheetId="13">#REF!</definedName>
    <definedName name="CLEAR_67">#REF!</definedName>
    <definedName name="CLEAR_68" localSheetId="13">#REF!</definedName>
    <definedName name="CLEAR_68">#REF!</definedName>
    <definedName name="CLEAR_69" localSheetId="13">#REF!</definedName>
    <definedName name="CLEAR_69">#REF!</definedName>
    <definedName name="CLEAR_7" localSheetId="13">#REF!</definedName>
    <definedName name="CLEAR_7">#REF!</definedName>
    <definedName name="CLEAR_70" localSheetId="13">#REF!</definedName>
    <definedName name="CLEAR_70">#REF!</definedName>
    <definedName name="CLEAR_71" localSheetId="13">#REF!</definedName>
    <definedName name="CLEAR_71">#REF!</definedName>
    <definedName name="CLEAR_72" localSheetId="13">#REF!</definedName>
    <definedName name="CLEAR_72">#REF!</definedName>
    <definedName name="CLEAR_73" localSheetId="13">#REF!</definedName>
    <definedName name="CLEAR_73">#REF!</definedName>
    <definedName name="CLEAR_74" localSheetId="13">#REF!</definedName>
    <definedName name="CLEAR_74">#REF!</definedName>
    <definedName name="CLEAR_75" localSheetId="13">#REF!</definedName>
    <definedName name="CLEAR_75">#REF!</definedName>
    <definedName name="CLEAR_76" localSheetId="13">#REF!</definedName>
    <definedName name="CLEAR_76">#REF!</definedName>
    <definedName name="CLEAR_77" localSheetId="13">#REF!</definedName>
    <definedName name="CLEAR_77">#REF!</definedName>
    <definedName name="CLEAR_78" localSheetId="13">#REF!</definedName>
    <definedName name="CLEAR_78">#REF!</definedName>
    <definedName name="CLEAR_79" localSheetId="13">#REF!</definedName>
    <definedName name="CLEAR_79">#REF!</definedName>
    <definedName name="CLEAR_8" localSheetId="13">#REF!</definedName>
    <definedName name="CLEAR_8">#REF!</definedName>
    <definedName name="CLEAR_80" localSheetId="13">#REF!</definedName>
    <definedName name="CLEAR_80">#REF!</definedName>
    <definedName name="CLEAR_81" localSheetId="13">#REF!</definedName>
    <definedName name="CLEAR_81">#REF!</definedName>
    <definedName name="CLEAR_82" localSheetId="13">#REF!</definedName>
    <definedName name="CLEAR_82">#REF!</definedName>
    <definedName name="CLEAR_83" localSheetId="13">#REF!</definedName>
    <definedName name="CLEAR_83">#REF!</definedName>
    <definedName name="CLEAR_84" localSheetId="13">#REF!</definedName>
    <definedName name="CLEAR_84">#REF!</definedName>
    <definedName name="CLEAR_85" localSheetId="13">#REF!</definedName>
    <definedName name="CLEAR_85">#REF!</definedName>
    <definedName name="CLEAR_86" localSheetId="13">#REF!</definedName>
    <definedName name="CLEAR_86">#REF!</definedName>
    <definedName name="CLEAR_87" localSheetId="13">#REF!</definedName>
    <definedName name="CLEAR_87">#REF!</definedName>
    <definedName name="CLEAR_88" localSheetId="13">#REF!</definedName>
    <definedName name="CLEAR_88">#REF!</definedName>
    <definedName name="CLEAR_89" localSheetId="13">#REF!</definedName>
    <definedName name="CLEAR_89">#REF!</definedName>
    <definedName name="CLEAR_9" localSheetId="13">#REF!</definedName>
    <definedName name="CLEAR_9">#REF!</definedName>
    <definedName name="CLEAR_90" localSheetId="13">#REF!</definedName>
    <definedName name="CLEAR_90">#REF!</definedName>
    <definedName name="CLEAR_91" localSheetId="13">#REF!</definedName>
    <definedName name="CLEAR_91">#REF!</definedName>
    <definedName name="CLEAR_92" localSheetId="13">#REF!</definedName>
    <definedName name="CLEAR_92">#REF!</definedName>
    <definedName name="CLEAR_93" localSheetId="13">#REF!</definedName>
    <definedName name="CLEAR_93">#REF!</definedName>
    <definedName name="CLEAR_94" localSheetId="13">#REF!</definedName>
    <definedName name="CLEAR_94">#REF!</definedName>
    <definedName name="CLEAR_95" localSheetId="13">#REF!</definedName>
    <definedName name="CLEAR_95">#REF!</definedName>
    <definedName name="CLEAR_96" localSheetId="13">#REF!</definedName>
    <definedName name="CLEAR_96">#REF!</definedName>
    <definedName name="CLEAR_97" localSheetId="13">#REF!</definedName>
    <definedName name="CLEAR_97">#REF!</definedName>
    <definedName name="CLEAR_98" localSheetId="13">#REF!</definedName>
    <definedName name="CLEAR_98">#REF!</definedName>
    <definedName name="CLEAR_99" localSheetId="13">#REF!</definedName>
    <definedName name="CLEAR_99">#REF!</definedName>
    <definedName name="Cnvt" localSheetId="13">[24]Assumption!#REF!</definedName>
    <definedName name="Cnvt">[24]Assumption!#REF!</definedName>
    <definedName name="col" localSheetId="11">#REF!</definedName>
    <definedName name="col" localSheetId="13">#REF!</definedName>
    <definedName name="col" localSheetId="8">#REF!</definedName>
    <definedName name="col">#REF!</definedName>
    <definedName name="combank" localSheetId="13">#REF!</definedName>
    <definedName name="combank" localSheetId="8">#REF!</definedName>
    <definedName name="combank">#REF!</definedName>
    <definedName name="CONS_TB_MAR_03" localSheetId="13">#REF!</definedName>
    <definedName name="CONS_TB_MAR_03" localSheetId="8">#REF!</definedName>
    <definedName name="CONS_TB_MAR_03">#REF!</definedName>
    <definedName name="consolidated">'[25]Int - Cum02'!$A$57:$O$103</definedName>
    <definedName name="Cont">[26]Timeoffice!$A$1:$C$1670</definedName>
    <definedName name="COP" localSheetId="11">#REF!</definedName>
    <definedName name="COP" localSheetId="13">#REF!</definedName>
    <definedName name="COP" localSheetId="8">#REF!</definedName>
    <definedName name="COP">#REF!</definedName>
    <definedName name="copbof" localSheetId="13">#REF!</definedName>
    <definedName name="copbof" localSheetId="8">#REF!</definedName>
    <definedName name="copbof">#REF!</definedName>
    <definedName name="copccp" localSheetId="13">#REF!</definedName>
    <definedName name="copccp" localSheetId="8">#REF!</definedName>
    <definedName name="copccp">#REF!</definedName>
    <definedName name="copcorex" localSheetId="13">#REF!</definedName>
    <definedName name="copcorex">#REF!</definedName>
    <definedName name="cophsm" localSheetId="13">#REF!</definedName>
    <definedName name="cophsm">#REF!</definedName>
    <definedName name="coppellet" localSheetId="13">#REF!</definedName>
    <definedName name="coppellet">#REF!</definedName>
    <definedName name="copsum" localSheetId="13">#REF!</definedName>
    <definedName name="copsum">#REF!</definedName>
    <definedName name="costvar" localSheetId="13">#REF!</definedName>
    <definedName name="costvar">#REF!</definedName>
    <definedName name="_xlnm.Criteria" localSheetId="13">#REF!</definedName>
    <definedName name="_xlnm.Criteria">#REF!</definedName>
    <definedName name="cs" localSheetId="13">'[27]F&amp;B'!#REF!</definedName>
    <definedName name="cs">'[27]F&amp;B'!#REF!</definedName>
    <definedName name="CSD2INSPDETAIL" localSheetId="13">OFFSET(#REF!,0,0,COUNTA(OFFSET(#REF!,0,0,5000)),COUNTA(#REF!))</definedName>
    <definedName name="CSD2INSPDETAIL" localSheetId="8">OFFSET(#REF!,0,0,COUNTA(OFFSET(#REF!,0,0,5000)),COUNTA(#REF!))</definedName>
    <definedName name="CSD2INSPDETAIL">OFFSET(#REF!,0,0,COUNTA(OFFSET(#REF!,0,0,5000)),COUNTA(#REF!))</definedName>
    <definedName name="CST_MP" localSheetId="11">#REF!</definedName>
    <definedName name="CST_MP" localSheetId="13">#REF!</definedName>
    <definedName name="CST_MP" localSheetId="8">#REF!</definedName>
    <definedName name="CST_MP">#REF!</definedName>
    <definedName name="CST_PI" localSheetId="13">#REF!</definedName>
    <definedName name="CST_PI" localSheetId="8">#REF!</definedName>
    <definedName name="CST_PI">#REF!</definedName>
    <definedName name="Customer_Satisfation" localSheetId="11">'[27]F&amp;B'!#REF!</definedName>
    <definedName name="Customer_Satisfation" localSheetId="13">'[27]F&amp;B'!#REF!</definedName>
    <definedName name="Customer_Satisfation" localSheetId="8">'[27]F&amp;B'!#REF!</definedName>
    <definedName name="Customer_Satisfation">'[27]F&amp;B'!#REF!</definedName>
    <definedName name="cv" localSheetId="11" hidden="1">{#N/A,#N/A,FALSE,"Quantum Optima Details"}</definedName>
    <definedName name="cv" localSheetId="8" hidden="1">{#N/A,#N/A,FALSE,"Quantum Optima Details"}</definedName>
    <definedName name="cv" hidden="1">{#N/A,#N/A,FALSE,"Quantum Optima Details"}</definedName>
    <definedName name="cwh" localSheetId="13">'[27]#REF'!#REF!</definedName>
    <definedName name="cwh">'[27]#REF'!#REF!</definedName>
    <definedName name="d" localSheetId="11" hidden="1">{#N/A,#N/A,FALSE,"Quantum Optima Details"}</definedName>
    <definedName name="d" localSheetId="8" hidden="1">{#N/A,#N/A,FALSE,"Quantum Optima Details"}</definedName>
    <definedName name="d" hidden="1">{#N/A,#N/A,FALSE,"Quantum Optima Details"}</definedName>
    <definedName name="D_s1">[28]Input!$C$115</definedName>
    <definedName name="D_s2">[28]Input!$C$117</definedName>
    <definedName name="data" localSheetId="11">#REF!</definedName>
    <definedName name="data" localSheetId="13">#REF!</definedName>
    <definedName name="data" localSheetId="8">#REF!</definedName>
    <definedName name="data">#REF!</definedName>
    <definedName name="data_1" localSheetId="13">OFFSET(#REF!,0,0,COUNTA(OFFSET(#REF!,0,0,5000)),COUNTA(#REF!))</definedName>
    <definedName name="data_1" localSheetId="8">OFFSET(#REF!,0,0,COUNTA(OFFSET(#REF!,0,0,5000)),COUNTA(#REF!))</definedName>
    <definedName name="data_1">OFFSET(#REF!,0,0,COUNTA(OFFSET(#REF!,0,0,5000)),COUNTA(#REF!))</definedName>
    <definedName name="Data_2">OFFSET([29]Data!$A$1,0,0,COUNTA(OFFSET([29]Data!$A$1,0,0,5000)),COUNTA([29]Data!$A$1:$J$1))</definedName>
    <definedName name="Data_Fields">OFFSET([22]Parameters!$A$29,0,0,2,COUNTA([22]Parameters!$A$29:$IV$29))</definedName>
    <definedName name="DATA1">[30]CSD1!$C$1:$D$2</definedName>
    <definedName name="DATA2">[30]CSD2!$C$1:$D$2</definedName>
    <definedName name="DATA3">[30]CSD3!$C$1:$G$2</definedName>
    <definedName name="data64">[31]Invoice!$D$39</definedName>
    <definedName name="_xlnm.Database" localSheetId="11">#REF!</definedName>
    <definedName name="_xlnm.Database" localSheetId="13">#REF!</definedName>
    <definedName name="_xlnm.Database" localSheetId="8">#REF!</definedName>
    <definedName name="_xlnm.Database">#REF!</definedName>
    <definedName name="date" localSheetId="13">#REF!</definedName>
    <definedName name="date" localSheetId="8">#REF!</definedName>
    <definedName name="date">#REF!</definedName>
    <definedName name="Days_Mnth" localSheetId="13">#REF!</definedName>
    <definedName name="Days_Mnth" localSheetId="8">#REF!</definedName>
    <definedName name="Days_Mnth">#REF!</definedName>
    <definedName name="Days_Year">'[32]Input Sheet'!$D$104</definedName>
    <definedName name="Days_Yr" localSheetId="11">#REF!</definedName>
    <definedName name="Days_Yr" localSheetId="13">#REF!</definedName>
    <definedName name="Days_Yr" localSheetId="8">#REF!</definedName>
    <definedName name="Days_Yr">#REF!</definedName>
    <definedName name="DCFBase">[33]DCFValuation!$N$38</definedName>
    <definedName name="DDD" localSheetId="11">#REF!</definedName>
    <definedName name="DDD" localSheetId="13">#REF!</definedName>
    <definedName name="DDD" localSheetId="8">#REF!</definedName>
    <definedName name="DDD">#REF!</definedName>
    <definedName name="debt" localSheetId="13">#REF!</definedName>
    <definedName name="debt" localSheetId="8">#REF!</definedName>
    <definedName name="debt">#REF!</definedName>
    <definedName name="Debt_EMI">#N/A</definedName>
    <definedName name="Debt_Equal">#N/A</definedName>
    <definedName name="Debt_Stru">#N/A</definedName>
    <definedName name="Delhi" localSheetId="11">#REF!</definedName>
    <definedName name="Delhi" localSheetId="13">#REF!</definedName>
    <definedName name="Delhi" localSheetId="8">#REF!</definedName>
    <definedName name="Delhi">#REF!</definedName>
    <definedName name="Deno" localSheetId="11">[24]Assumption!#REF!</definedName>
    <definedName name="Deno" localSheetId="13">[24]Assumption!#REF!</definedName>
    <definedName name="Deno" localSheetId="8">[24]Assumption!#REF!</definedName>
    <definedName name="Deno">[24]Assumption!#REF!</definedName>
    <definedName name="Denomination">[34]Assumption!$E$5</definedName>
    <definedName name="Dep_IT">#N/A</definedName>
    <definedName name="des" localSheetId="11">#REF!</definedName>
    <definedName name="des" localSheetId="13">#REF!</definedName>
    <definedName name="des" localSheetId="8">#REF!</definedName>
    <definedName name="des">#REF!</definedName>
    <definedName name="designed" localSheetId="11">[17]CLAY!#REF!</definedName>
    <definedName name="designed" localSheetId="13">[17]CLAY!#REF!</definedName>
    <definedName name="designed" localSheetId="8">[17]CLAY!#REF!</definedName>
    <definedName name="designed">[17]CLAY!#REF!</definedName>
    <definedName name="detail" localSheetId="11">#REF!</definedName>
    <definedName name="detail" localSheetId="13">#REF!</definedName>
    <definedName name="detail" localSheetId="8">#REF!</definedName>
    <definedName name="detail">#REF!</definedName>
    <definedName name="dfdfgdf" localSheetId="11" hidden="1">{#N/A,#N/A,FALSE,"Quantum Optima Details"}</definedName>
    <definedName name="dfdfgdf" localSheetId="8" hidden="1">{#N/A,#N/A,FALSE,"Quantum Optima Details"}</definedName>
    <definedName name="dfdfgdf" hidden="1">{#N/A,#N/A,FALSE,"Quantum Optima Details"}</definedName>
    <definedName name="did" localSheetId="11">#REF!</definedName>
    <definedName name="did" localSheetId="13">#REF!</definedName>
    <definedName name="did" localSheetId="8">#REF!</definedName>
    <definedName name="did">#REF!</definedName>
    <definedName name="Disburse_DL" localSheetId="13">#REF!</definedName>
    <definedName name="Disburse_DL" localSheetId="8">#REF!</definedName>
    <definedName name="Disburse_DL">#REF!</definedName>
    <definedName name="Disburseemnt" localSheetId="11" hidden="1">{#N/A,#N/A,FALSE,"Quantum Optima Details"}</definedName>
    <definedName name="Disburseemnt" localSheetId="8" hidden="1">{#N/A,#N/A,FALSE,"Quantum Optima Details"}</definedName>
    <definedName name="Disburseemnt" hidden="1">{#N/A,#N/A,FALSE,"Quantum Optima Details"}</definedName>
    <definedName name="DisE1M2">[33]DCFValuation!$M$139</definedName>
    <definedName name="dispp" localSheetId="11">#REF!</definedName>
    <definedName name="dispp" localSheetId="13">#REF!</definedName>
    <definedName name="dispp" localSheetId="8">#REF!</definedName>
    <definedName name="dispp">#REF!</definedName>
    <definedName name="DM">[16]dues!$B$5</definedName>
    <definedName name="doccorex1" localSheetId="11">#REF!</definedName>
    <definedName name="doccorex1" localSheetId="13">#REF!</definedName>
    <definedName name="doccorex1" localSheetId="8">#REF!</definedName>
    <definedName name="doccorex1">#REF!</definedName>
    <definedName name="doccorex2" localSheetId="13">#REF!</definedName>
    <definedName name="doccorex2" localSheetId="8">#REF!</definedName>
    <definedName name="doccorex2">#REF!</definedName>
    <definedName name="dochsm" localSheetId="13">#REF!</definedName>
    <definedName name="dochsm" localSheetId="8">#REF!</definedName>
    <definedName name="dochsm">#REF!</definedName>
    <definedName name="docpellet" localSheetId="13">#REF!</definedName>
    <definedName name="docpellet">#REF!</definedName>
    <definedName name="docu" localSheetId="13">[17]CLAY!#REF!</definedName>
    <definedName name="docu">[17]CLAY!#REF!</definedName>
    <definedName name="Dollar" localSheetId="11">#REF!</definedName>
    <definedName name="Dollar" localSheetId="13">#REF!</definedName>
    <definedName name="Dollar" localSheetId="8">#REF!</definedName>
    <definedName name="Dollar">#REF!</definedName>
    <definedName name="Dom_Base_Price_esc">[35]Assumptions!$H$233:$BF$233</definedName>
    <definedName name="Dom_Trans_Price_esc">[35]Assumptions!$H$234:$BF$234</definedName>
    <definedName name="dr">[23]icici!$C$3</definedName>
    <definedName name="DrawDown_Diff">[12]Phasing!$C$100</definedName>
    <definedName name="dri" localSheetId="11">#REF!</definedName>
    <definedName name="dri" localSheetId="13">#REF!</definedName>
    <definedName name="dri" localSheetId="8">#REF!</definedName>
    <definedName name="dri">#REF!</definedName>
    <definedName name="drs" localSheetId="13">#REF!</definedName>
    <definedName name="drs" localSheetId="8">#REF!</definedName>
    <definedName name="drs">#REF!</definedName>
    <definedName name="dsds" localSheetId="11" hidden="1">{#N/A,#N/A,FALSE,"Quantum Optima Details"}</definedName>
    <definedName name="dsds" localSheetId="8" hidden="1">{#N/A,#N/A,FALSE,"Quantum Optima Details"}</definedName>
    <definedName name="dsds" hidden="1">{#N/A,#N/A,FALSE,"Quantum Optima Details"}</definedName>
    <definedName name="duty_hr" localSheetId="11">#REF!</definedName>
    <definedName name="duty_hr" localSheetId="13">#REF!</definedName>
    <definedName name="duty_hr" localSheetId="8">#REF!</definedName>
    <definedName name="duty_hr">#REF!</definedName>
    <definedName name="dvv" localSheetId="13">#REF!</definedName>
    <definedName name="dvv" localSheetId="8">#REF!</definedName>
    <definedName name="dvv">#REF!</definedName>
    <definedName name="e" localSheetId="11" hidden="1">{#N/A,#N/A,FALSE,"Quantum Optima Details"}</definedName>
    <definedName name="e" localSheetId="8" hidden="1">{#N/A,#N/A,FALSE,"Quantum Optima Details"}</definedName>
    <definedName name="e" hidden="1">{#N/A,#N/A,FALSE,"Quantum Optima Details"}</definedName>
    <definedName name="Eauc_Base_Price_esc">[35]Assumptions!$H$257:$BF$257</definedName>
    <definedName name="Eauc_Trans_Price_esc">[35]Assumptions!$H$258:$BF$258</definedName>
    <definedName name="EBITA" localSheetId="11">'[19]Basic inputs+instr'!#REF!</definedName>
    <definedName name="EBITA" localSheetId="13">'[19]Basic inputs+instr'!#REF!</definedName>
    <definedName name="EBITA" localSheetId="8">'[19]Basic inputs+instr'!#REF!</definedName>
    <definedName name="EBITA">'[19]Basic inputs+instr'!#REF!</definedName>
    <definedName name="ED_Norm_MP" localSheetId="11">#REF!</definedName>
    <definedName name="ED_Norm_MP" localSheetId="13">#REF!</definedName>
    <definedName name="ED_Norm_MP" localSheetId="8">#REF!</definedName>
    <definedName name="ED_Norm_MP">#REF!</definedName>
    <definedName name="ED_Norm_PI" localSheetId="13">#REF!</definedName>
    <definedName name="ED_Norm_PI" localSheetId="8">#REF!</definedName>
    <definedName name="ED_Norm_PI">#REF!</definedName>
    <definedName name="ED_TED_MP" localSheetId="13">#REF!</definedName>
    <definedName name="ED_TED_MP" localSheetId="8">#REF!</definedName>
    <definedName name="ED_TED_MP">#REF!</definedName>
    <definedName name="ED_TED_PI" localSheetId="13">#REF!</definedName>
    <definedName name="ED_TED_PI">#REF!</definedName>
    <definedName name="edc" localSheetId="13">#REF!</definedName>
    <definedName name="edc">#REF!</definedName>
    <definedName name="ee" localSheetId="13">#REF!</definedName>
    <definedName name="ee">#REF!</definedName>
    <definedName name="eff_tax_cal">[12]Tax!$E$27:$AI$27</definedName>
    <definedName name="eff_tax_pasted">'[12]APSEB@CERC'!$E$91:$AI$91</definedName>
    <definedName name="el" localSheetId="11" hidden="1">{#N/A,#N/A,FALSE,"Quantum Optima Details"}</definedName>
    <definedName name="el" localSheetId="8" hidden="1">{#N/A,#N/A,FALSE,"Quantum Optima Details"}</definedName>
    <definedName name="el" hidden="1">{#N/A,#N/A,FALSE,"Quantum Optima Details"}</definedName>
    <definedName name="En_T" localSheetId="11">#REF!</definedName>
    <definedName name="En_T" localSheetId="13">#REF!</definedName>
    <definedName name="En_T" localSheetId="8">#REF!</definedName>
    <definedName name="En_T">#REF!</definedName>
    <definedName name="Equity">#N/A</definedName>
    <definedName name="es" localSheetId="11">[27]Maint!#REF!</definedName>
    <definedName name="es" localSheetId="13">[27]Maint!#REF!</definedName>
    <definedName name="es" localSheetId="8">[27]Maint!#REF!</definedName>
    <definedName name="es">[27]Maint!#REF!</definedName>
    <definedName name="Escalable" localSheetId="11">#REF!</definedName>
    <definedName name="Escalable" localSheetId="13">#REF!</definedName>
    <definedName name="Escalable" localSheetId="8">#REF!</definedName>
    <definedName name="Escalable">#REF!</definedName>
    <definedName name="ET_MP" localSheetId="13">#REF!</definedName>
    <definedName name="ET_MP" localSheetId="8">#REF!</definedName>
    <definedName name="ET_MP">#REF!</definedName>
    <definedName name="Eur" localSheetId="13">#REF!</definedName>
    <definedName name="Eur" localSheetId="8">#REF!</definedName>
    <definedName name="Eur">#REF!</definedName>
    <definedName name="ex">'[36]fin charge'!$P$6</definedName>
    <definedName name="Excel_BuiltIn_Print_Area_0" localSheetId="11">#REF!</definedName>
    <definedName name="Excel_BuiltIn_Print_Area_0" localSheetId="13">#REF!</definedName>
    <definedName name="Excel_BuiltIn_Print_Area_0" localSheetId="8">#REF!</definedName>
    <definedName name="Excel_BuiltIn_Print_Area_0">#REF!</definedName>
    <definedName name="EXIMUS" localSheetId="13">#REF!</definedName>
    <definedName name="EXIMUS" localSheetId="8">#REF!</definedName>
    <definedName name="EXIMUS">#REF!</definedName>
    <definedName name="Exp">#N/A</definedName>
    <definedName name="expamount">'[37]os liabilities analysis'!$D$1:$D$65536</definedName>
    <definedName name="expitem">'[37]os liabilities analysis'!$G$1:$G$65536</definedName>
    <definedName name="ExportFile">#N/A</definedName>
    <definedName name="F" localSheetId="11" hidden="1">{#N/A,#N/A,FALSE,"Quantum Optima Details"}</definedName>
    <definedName name="F" localSheetId="8" hidden="1">{#N/A,#N/A,FALSE,"Quantum Optima Details"}</definedName>
    <definedName name="F" hidden="1">{#N/A,#N/A,FALSE,"Quantum Optima Details"}</definedName>
    <definedName name="F_CONS_TB_DEC_02" localSheetId="11">#REF!</definedName>
    <definedName name="F_CONS_TB_DEC_02" localSheetId="13">#REF!</definedName>
    <definedName name="F_CONS_TB_DEC_02" localSheetId="8">#REF!</definedName>
    <definedName name="F_CONS_TB_DEC_02">#REF!</definedName>
    <definedName name="FA" localSheetId="13">#REF!</definedName>
    <definedName name="FA" localSheetId="8">#REF!</definedName>
    <definedName name="FA">#REF!</definedName>
    <definedName name="fc">'[38]DEbt (2)'!$A$5:$F$33</definedName>
    <definedName name="fclbardes" localSheetId="11">#REF!</definedName>
    <definedName name="fclbardes" localSheetId="13">#REF!</definedName>
    <definedName name="fclbardes" localSheetId="8">#REF!</definedName>
    <definedName name="fclbardes">#REF!</definedName>
    <definedName name="fclbarex" localSheetId="13">#REF!</definedName>
    <definedName name="fclbarex" localSheetId="8">#REF!</definedName>
    <definedName name="fclbarex">#REF!</definedName>
    <definedName name="fclcombk" localSheetId="13">#REF!</definedName>
    <definedName name="fclcombk" localSheetId="8">#REF!</definedName>
    <definedName name="fclcombk">#REF!</definedName>
    <definedName name="fcledc" localSheetId="13">#REF!</definedName>
    <definedName name="fcledc">#REF!</definedName>
    <definedName name="fclins" localSheetId="13">#REF!</definedName>
    <definedName name="fclins">#REF!</definedName>
    <definedName name="FCLint" localSheetId="13">#REF!</definedName>
    <definedName name="FCLint">#REF!</definedName>
    <definedName name="fclrzb1" localSheetId="13">#REF!</definedName>
    <definedName name="fclrzb1">#REF!</definedName>
    <definedName name="fclrzb2" localSheetId="13">#REF!</definedName>
    <definedName name="fclrzb2">#REF!</definedName>
    <definedName name="fclsbf" localSheetId="13">#REF!</definedName>
    <definedName name="fclsbf">#REF!</definedName>
    <definedName name="fclsbl" localSheetId="13">#REF!</definedName>
    <definedName name="fclsbl">#REF!</definedName>
    <definedName name="fclsocgen" localSheetId="13">#REF!</definedName>
    <definedName name="fclsocgen">#REF!</definedName>
    <definedName name="fclsum" localSheetId="13">#REF!</definedName>
    <definedName name="fclsum">#REF!</definedName>
    <definedName name="fclusexim" localSheetId="13">#REF!</definedName>
    <definedName name="fclusexim">#REF!</definedName>
    <definedName name="fflow" localSheetId="13">#REF!</definedName>
    <definedName name="fflow">#REF!</definedName>
    <definedName name="fib" localSheetId="13">#REF!</definedName>
    <definedName name="fib">#REF!</definedName>
    <definedName name="fill" localSheetId="13" hidden="1">#REF!</definedName>
    <definedName name="fill" hidden="1">#REF!</definedName>
    <definedName name="Floor">'[20]DETAILED  BOQ'!$C$4</definedName>
    <definedName name="flows" localSheetId="11">#REF!</definedName>
    <definedName name="flows" localSheetId="13">#REF!</definedName>
    <definedName name="flows" localSheetId="8">#REF!</definedName>
    <definedName name="flows">#REF!</definedName>
    <definedName name="forecourt_staff_urban" localSheetId="13">#REF!</definedName>
    <definedName name="forecourt_staff_urban" localSheetId="8">#REF!</definedName>
    <definedName name="forecourt_staff_urban">#REF!</definedName>
    <definedName name="FRF">[16]dues!$B$6</definedName>
    <definedName name="FSI_Assumptions" localSheetId="11">#REF!</definedName>
    <definedName name="FSI_Assumptions" localSheetId="13">#REF!</definedName>
    <definedName name="FSI_Assumptions" localSheetId="8">#REF!</definedName>
    <definedName name="FSI_Assumptions">#REF!</definedName>
    <definedName name="FundAnalysis" localSheetId="13">#REF!</definedName>
    <definedName name="FundAnalysis" localSheetId="8">#REF!</definedName>
    <definedName name="FundAnalysis">#REF!</definedName>
    <definedName name="fundflow" localSheetId="13">#REF!</definedName>
    <definedName name="fundflow" localSheetId="8">#REF!</definedName>
    <definedName name="fundflow">#REF!</definedName>
    <definedName name="FX" localSheetId="13">#REF!</definedName>
    <definedName name="FX">#REF!</definedName>
    <definedName name="g" localSheetId="13">#REF!</definedName>
    <definedName name="g">#REF!</definedName>
    <definedName name="GASENTH1" localSheetId="12">#REF!</definedName>
    <definedName name="GASENTH1" localSheetId="13">#REF!</definedName>
    <definedName name="GASENTH1">#REF!</definedName>
    <definedName name="GASENTH2" localSheetId="12">#REF!</definedName>
    <definedName name="GASENTH2" localSheetId="13">#REF!</definedName>
    <definedName name="GASENTH2">#REF!</definedName>
    <definedName name="gj" localSheetId="11" hidden="1">{#N/A,#N/A,FALSE,"Quantum Optima Details"}</definedName>
    <definedName name="gj" localSheetId="8" hidden="1">{#N/A,#N/A,FALSE,"Quantum Optima Details"}</definedName>
    <definedName name="gj" hidden="1">{#N/A,#N/A,FALSE,"Quantum Optima Details"}</definedName>
    <definedName name="glance_1" localSheetId="11">#REF!</definedName>
    <definedName name="glance_1" localSheetId="13">#REF!</definedName>
    <definedName name="glance_1" localSheetId="8">#REF!</definedName>
    <definedName name="glance_1">#REF!</definedName>
    <definedName name="glance_2" localSheetId="13">#REF!</definedName>
    <definedName name="glance_2" localSheetId="8">#REF!</definedName>
    <definedName name="glance_2">#REF!</definedName>
    <definedName name="GRN" localSheetId="13">#REF!</definedName>
    <definedName name="GRN" localSheetId="8">#REF!</definedName>
    <definedName name="GRN">#REF!</definedName>
    <definedName name="h" localSheetId="11" hidden="1">{#N/A,#N/A,FALSE,"Quantum Optima Details"}</definedName>
    <definedName name="h" localSheetId="8" hidden="1">{#N/A,#N/A,FALSE,"Quantum Optima Details"}</definedName>
    <definedName name="h" hidden="1">{#N/A,#N/A,FALSE,"Quantum Optima Details"}</definedName>
    <definedName name="hdfgfhj" localSheetId="11" hidden="1">{#N/A,#N/A,FALSE,"Quantum Optima Details"}</definedName>
    <definedName name="hdfgfhj" localSheetId="8" hidden="1">{#N/A,#N/A,FALSE,"Quantum Optima Details"}</definedName>
    <definedName name="hdfgfhj" hidden="1">{#N/A,#N/A,FALSE,"Quantum Optima Details"}</definedName>
    <definedName name="HOLD" localSheetId="11">#REF!</definedName>
    <definedName name="HOLD" localSheetId="13">#REF!</definedName>
    <definedName name="HOLD" localSheetId="8">#REF!</definedName>
    <definedName name="HOLD">#REF!</definedName>
    <definedName name="Hours_Day">'[32]Input Sheet'!$D$102</definedName>
    <definedName name="Hrs_Day" localSheetId="11">#REF!</definedName>
    <definedName name="Hrs_Day" localSheetId="13">#REF!</definedName>
    <definedName name="Hrs_Day" localSheetId="8">#REF!</definedName>
    <definedName name="Hrs_Day">#REF!</definedName>
    <definedName name="i" localSheetId="11" hidden="1">{#N/A,#N/A,FALSE,"Quantum Optima Details"}</definedName>
    <definedName name="i" localSheetId="8" hidden="1">{#N/A,#N/A,FALSE,"Quantum Optima Details"}</definedName>
    <definedName name="i" hidden="1">{#N/A,#N/A,FALSE,"Quantum Optima Details"}</definedName>
    <definedName name="I10642357" localSheetId="11">#REF!</definedName>
    <definedName name="I10642357" localSheetId="13">#REF!</definedName>
    <definedName name="I10642357" localSheetId="8">#REF!</definedName>
    <definedName name="I10642357">#REF!</definedName>
    <definedName name="IDC_Diff">[12]Phasing!$D$76</definedName>
    <definedName name="idci" localSheetId="11">#REF!</definedName>
    <definedName name="idci" localSheetId="13">#REF!</definedName>
    <definedName name="idci" localSheetId="8">#REF!</definedName>
    <definedName name="idci">#REF!</definedName>
    <definedName name="imp">#N/A</definedName>
    <definedName name="ImportFile">#N/A</definedName>
    <definedName name="Inks" localSheetId="11">'[39]PR Cost'!#REF!</definedName>
    <definedName name="Inks" localSheetId="13">'[39]PR Cost'!#REF!</definedName>
    <definedName name="Inks" localSheetId="8">'[39]PR Cost'!#REF!</definedName>
    <definedName name="Inks">'[39]PR Cost'!#REF!</definedName>
    <definedName name="INSP_DTL">OFFSET([40]Insp_Dtl!$A$1,0,0,COUNTA(OFFSET([40]Insp_Dtl!$A$1,0,0,9999)),COUNTA([40]Insp_Dtl!$A$1:$E$1))</definedName>
    <definedName name="institution" localSheetId="11">#REF!</definedName>
    <definedName name="institution" localSheetId="13">#REF!</definedName>
    <definedName name="institution" localSheetId="8">#REF!</definedName>
    <definedName name="institution">#REF!</definedName>
    <definedName name="institutionwise" localSheetId="13">#REF!</definedName>
    <definedName name="institutionwise" localSheetId="8">#REF!</definedName>
    <definedName name="institutionwise">#REF!</definedName>
    <definedName name="Int_Balance_Cal">'[12]Cash Flow_IRR'!$D$33</definedName>
    <definedName name="Int_Balance_Paste">'[12]P&amp;L_DSCR_Prepay'!$D$12</definedName>
    <definedName name="Int_Diff">'[12]Cash Flow_IRR'!$D$38</definedName>
    <definedName name="Int_DSRA_Diff">'[12]Cash Flow_IRR'!$H$38</definedName>
    <definedName name="Int_EMI">#N/A</definedName>
    <definedName name="int_profit" localSheetId="11">#REF!</definedName>
    <definedName name="int_profit" localSheetId="13">#REF!</definedName>
    <definedName name="int_profit" localSheetId="8">#REF!</definedName>
    <definedName name="int_profit">#REF!</definedName>
    <definedName name="Int_Senior">#N/A</definedName>
    <definedName name="Int_Stru">#N/A</definedName>
    <definedName name="Int_subdebt">#N/A</definedName>
    <definedName name="Interest" localSheetId="11">#REF!</definedName>
    <definedName name="Interest" localSheetId="13">#REF!</definedName>
    <definedName name="Interest" localSheetId="8">#REF!</definedName>
    <definedName name="Interest">#REF!</definedName>
    <definedName name="INV" localSheetId="13">#REF!</definedName>
    <definedName name="INV" localSheetId="8">#REF!</definedName>
    <definedName name="INV">#REF!</definedName>
    <definedName name="IV99999999999" localSheetId="13">'[5]boiler loss'!#REF!</definedName>
    <definedName name="IV99999999999" localSheetId="8">'[5]boiler loss'!#REF!</definedName>
    <definedName name="IV99999999999">'[5]boiler loss'!#REF!</definedName>
    <definedName name="j" localSheetId="11" hidden="1">{#N/A,#N/A,FALSE,"Quantum Optima Details"}</definedName>
    <definedName name="j" localSheetId="8" hidden="1">{#N/A,#N/A,FALSE,"Quantum Optima Details"}</definedName>
    <definedName name="j" hidden="1">{#N/A,#N/A,FALSE,"Quantum Optima Details"}</definedName>
    <definedName name="JAJJAJ" localSheetId="11">#REF!</definedName>
    <definedName name="JAJJAJ" localSheetId="13">#REF!</definedName>
    <definedName name="JAJJAJ" localSheetId="8">#REF!</definedName>
    <definedName name="JAJJAJ">#REF!</definedName>
    <definedName name="JEJS" localSheetId="13">#REF!</definedName>
    <definedName name="JEJS" localSheetId="8">#REF!</definedName>
    <definedName name="JEJS">#REF!</definedName>
    <definedName name="job">'[41]DETAILED  BOQ'!$A$1</definedName>
    <definedName name="jsw" localSheetId="11" hidden="1">{#N/A,#N/A,FALSE,"Quantum Optima Details"}</definedName>
    <definedName name="jsw" localSheetId="8" hidden="1">{#N/A,#N/A,FALSE,"Quantum Optima Details"}</definedName>
    <definedName name="jsw" hidden="1">{#N/A,#N/A,FALSE,"Quantum Optima Details"}</definedName>
    <definedName name="JV" localSheetId="11" hidden="1">{#N/A,#N/A,FALSE,"Quantum Optima Details"}</definedName>
    <definedName name="JV" localSheetId="8" hidden="1">{#N/A,#N/A,FALSE,"Quantum Optima Details"}</definedName>
    <definedName name="JV" hidden="1">{#N/A,#N/A,FALSE,"Quantum Optima Details"}</definedName>
    <definedName name="k" localSheetId="11" hidden="1">{#N/A,#N/A,FALSE,"Quantum Optima Details"}</definedName>
    <definedName name="k" localSheetId="8" hidden="1">{#N/A,#N/A,FALSE,"Quantum Optima Details"}</definedName>
    <definedName name="k" hidden="1">{#N/A,#N/A,FALSE,"Quantum Optima Details"}</definedName>
    <definedName name="kpjfipjsdonu" localSheetId="11">#REF!</definedName>
    <definedName name="kpjfipjsdonu" localSheetId="13">#REF!</definedName>
    <definedName name="kpjfipjsdonu" localSheetId="8">#REF!</definedName>
    <definedName name="kpjfipjsdonu">#REF!</definedName>
    <definedName name="l" localSheetId="13">[27]Kitchen!#REF!</definedName>
    <definedName name="l">[27]Kitchen!#REF!</definedName>
    <definedName name="LACS">[42]PLAN_FEB97!$A$2</definedName>
    <definedName name="Land">#N/A</definedName>
    <definedName name="LCNO" localSheetId="11">#REF!</definedName>
    <definedName name="LCNO" localSheetId="13">#REF!</definedName>
    <definedName name="LCNO" localSheetId="8">#REF!</definedName>
    <definedName name="LCNO">#REF!</definedName>
    <definedName name="len" localSheetId="13">#REF!</definedName>
    <definedName name="len" localSheetId="8">#REF!</definedName>
    <definedName name="len">#REF!</definedName>
    <definedName name="LIABS" localSheetId="13">#REF!</definedName>
    <definedName name="LIABS" localSheetId="8">#REF!</definedName>
    <definedName name="LIABS">#REF!</definedName>
    <definedName name="lib">[43]options!$B$31</definedName>
    <definedName name="limits" localSheetId="11">#REF!</definedName>
    <definedName name="limits" localSheetId="13">#REF!</definedName>
    <definedName name="limits" localSheetId="8">#REF!</definedName>
    <definedName name="limits">#REF!</definedName>
    <definedName name="LMTD" localSheetId="12">#REF!</definedName>
    <definedName name="LMTD" localSheetId="13">#REF!</definedName>
    <definedName name="LMTD">#REF!</definedName>
    <definedName name="logo1">"Picture 7"</definedName>
    <definedName name="LOSS" localSheetId="11">#REF!</definedName>
    <definedName name="LOSS" localSheetId="13">#REF!</definedName>
    <definedName name="LOSS" localSheetId="8">#REF!</definedName>
    <definedName name="LOSS">#REF!</definedName>
    <definedName name="man" localSheetId="13">#REF!</definedName>
    <definedName name="man" localSheetId="8">#REF!</definedName>
    <definedName name="man">#REF!</definedName>
    <definedName name="manday1" localSheetId="13">#REF!</definedName>
    <definedName name="manday1" localSheetId="8">#REF!</definedName>
    <definedName name="manday1">#REF!</definedName>
    <definedName name="master_cell">[12]Inputs!$E$9</definedName>
    <definedName name="master_ref">[12]Inputs!$D$10</definedName>
    <definedName name="me">"Button 5"</definedName>
    <definedName name="MH_CLAB" localSheetId="11">#REF!</definedName>
    <definedName name="MH_CLAB" localSheetId="13">#REF!</definedName>
    <definedName name="MH_CLAB" localSheetId="8">#REF!</definedName>
    <definedName name="MH_CLAB">#REF!</definedName>
    <definedName name="Min_DSCR">[12]Inputs!$C$13</definedName>
    <definedName name="Mnths_Qtr" localSheetId="11">#REF!</definedName>
    <definedName name="Mnths_Qtr" localSheetId="13">#REF!</definedName>
    <definedName name="Mnths_Qtr" localSheetId="8">#REF!</definedName>
    <definedName name="Mnths_Qtr">#REF!</definedName>
    <definedName name="Mnths_Yr" localSheetId="13">#REF!</definedName>
    <definedName name="Mnths_Yr" localSheetId="8">#REF!</definedName>
    <definedName name="Mnths_Yr">#REF!</definedName>
    <definedName name="mof" localSheetId="13">#REF!</definedName>
    <definedName name="mof" localSheetId="8">#REF!</definedName>
    <definedName name="mof">#REF!</definedName>
    <definedName name="MOHAN" localSheetId="13" hidden="1">#REF!</definedName>
    <definedName name="MOHAN" hidden="1">#REF!</definedName>
    <definedName name="Mumbai_TDS" localSheetId="13">'[44]Mumbai TDS'!#REF!</definedName>
    <definedName name="Mumbai_TDS">'[44]Mumbai TDS'!#REF!</definedName>
    <definedName name="Naturewise" localSheetId="11">#REF!</definedName>
    <definedName name="Naturewise" localSheetId="13">#REF!</definedName>
    <definedName name="Naturewise" localSheetId="8">#REF!</definedName>
    <definedName name="Naturewise">#REF!</definedName>
    <definedName name="Number_of_shares_unit" localSheetId="13">'[19]Basic inputs+instr'!#REF!</definedName>
    <definedName name="Number_of_shares_unit">'[19]Basic inputs+instr'!#REF!</definedName>
    <definedName name="o" localSheetId="11">[27]Kitchen!#REF!</definedName>
    <definedName name="o" localSheetId="13">[27]Kitchen!#REF!</definedName>
    <definedName name="o">[27]Kitchen!#REF!</definedName>
    <definedName name="Old_Company" localSheetId="13">[22]Parameters!#REF!</definedName>
    <definedName name="Old_Company">[22]Parameters!#REF!</definedName>
    <definedName name="one" localSheetId="11">#REF!</definedName>
    <definedName name="one" localSheetId="13">#REF!</definedName>
    <definedName name="one" localSheetId="8">#REF!</definedName>
    <definedName name="one">#REF!</definedName>
    <definedName name="op" localSheetId="13">#REF!</definedName>
    <definedName name="op" localSheetId="8">#REF!</definedName>
    <definedName name="op">#REF!</definedName>
    <definedName name="OPBNK" localSheetId="13">#REF!</definedName>
    <definedName name="OPBNK" localSheetId="8">#REF!</definedName>
    <definedName name="OPBNK">#REF!</definedName>
    <definedName name="oshead">'[45]os gl ac'!$H$1:$H$65536</definedName>
    <definedName name="osnet">'[45]os gl ac'!$M$1:$M$65536</definedName>
    <definedName name="Outputs" localSheetId="11">#REF!</definedName>
    <definedName name="Outputs" localSheetId="13">#REF!</definedName>
    <definedName name="Outputs" localSheetId="8">#REF!</definedName>
    <definedName name="Outputs">#REF!</definedName>
    <definedName name="overdue" localSheetId="13">#REF!</definedName>
    <definedName name="overdue" localSheetId="8">#REF!</definedName>
    <definedName name="overdue">#REF!</definedName>
    <definedName name="overdues" localSheetId="13">#REF!</definedName>
    <definedName name="overdues" localSheetId="8">#REF!</definedName>
    <definedName name="overdues">#REF!</definedName>
    <definedName name="p" localSheetId="13">[17]CLAY!#REF!</definedName>
    <definedName name="p" localSheetId="8">[17]CLAY!#REF!</definedName>
    <definedName name="p">[17]CLAY!#REF!</definedName>
    <definedName name="PAGE1" localSheetId="11">#REF!</definedName>
    <definedName name="PAGE1" localSheetId="13">#REF!</definedName>
    <definedName name="PAGE1" localSheetId="8">#REF!</definedName>
    <definedName name="PAGE1">#REF!</definedName>
    <definedName name="PAGE2" localSheetId="13">#REF!</definedName>
    <definedName name="PAGE2" localSheetId="8">#REF!</definedName>
    <definedName name="PAGE2">#REF!</definedName>
    <definedName name="PAGE3" localSheetId="13">#REF!</definedName>
    <definedName name="PAGE3" localSheetId="8">#REF!</definedName>
    <definedName name="PAGE3">#REF!</definedName>
    <definedName name="PAGE4" localSheetId="13">#REF!</definedName>
    <definedName name="PAGE4">#REF!</definedName>
    <definedName name="PAGE5" localSheetId="13">#REF!</definedName>
    <definedName name="PAGE5">#REF!</definedName>
    <definedName name="PAGE6" localSheetId="13">#REF!</definedName>
    <definedName name="PAGE6">#REF!</definedName>
    <definedName name="PAGE7" localSheetId="13">#REF!</definedName>
    <definedName name="PAGE7">#REF!</definedName>
    <definedName name="pb" localSheetId="13">#REF!</definedName>
    <definedName name="pb">#REF!</definedName>
    <definedName name="PC">#N/A</definedName>
    <definedName name="pf" localSheetId="11">#REF!</definedName>
    <definedName name="pf" localSheetId="13">#REF!</definedName>
    <definedName name="pf" localSheetId="8">#REF!</definedName>
    <definedName name="pf">#REF!</definedName>
    <definedName name="Plastics" localSheetId="13">'[39]PR Cost'!#REF!</definedName>
    <definedName name="Plastics">'[39]PR Cost'!#REF!</definedName>
    <definedName name="Plastics2">'[46]Other Assumptions'!$B$32:$B$41</definedName>
    <definedName name="ploss2" localSheetId="11">#REF!</definedName>
    <definedName name="ploss2" localSheetId="13">#REF!</definedName>
    <definedName name="ploss2" localSheetId="8">#REF!</definedName>
    <definedName name="ploss2">#REF!</definedName>
    <definedName name="PMP" localSheetId="11">'[39]PR Cost'!#REF!</definedName>
    <definedName name="PMP" localSheetId="13">'[39]PR Cost'!#REF!</definedName>
    <definedName name="PMP" localSheetId="8">'[39]PR Cost'!#REF!</definedName>
    <definedName name="PMP">'[39]PR Cost'!#REF!</definedName>
    <definedName name="PolicyNo" localSheetId="11">#REF!</definedName>
    <definedName name="PolicyNo" localSheetId="13">#REF!</definedName>
    <definedName name="PolicyNo" localSheetId="8">#REF!</definedName>
    <definedName name="PolicyNo">#REF!</definedName>
    <definedName name="PopCache_FA_MASS_ADDITIONS_ASSET_TYPE">[47]PopCache_Sheet1!$A$1:$A$4</definedName>
    <definedName name="PopCache_FA_MASS_ADDITIONS_DEPRECIATE_FLAG">[47]PopCache_Sheet1!$B$1:$B$2</definedName>
    <definedName name="Power_consumption_norms" localSheetId="11">#REF!</definedName>
    <definedName name="Power_consumption_norms" localSheetId="13">#REF!</definedName>
    <definedName name="Power_consumption_norms" localSheetId="8">#REF!</definedName>
    <definedName name="Power_consumption_norms">#REF!</definedName>
    <definedName name="ppp">#N/A</definedName>
    <definedName name="Prepay_Paste">'[12]P&amp;L_DSCR_Prepay'!$E$120:$AI$120</definedName>
    <definedName name="Prepay_Paste1" localSheetId="11">'[12]P&amp;L_DSCR_Prepay'!#REF!</definedName>
    <definedName name="Prepay_Paste1" localSheetId="13">'[12]P&amp;L_DSCR_Prepay'!#REF!</definedName>
    <definedName name="Prepay_Paste1" localSheetId="8">'[12]P&amp;L_DSCR_Prepay'!#REF!</definedName>
    <definedName name="Prepay_Paste1">'[12]P&amp;L_DSCR_Prepay'!#REF!</definedName>
    <definedName name="Pres" localSheetId="1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" localSheetId="11">#REF!</definedName>
    <definedName name="Present" localSheetId="13">#REF!</definedName>
    <definedName name="Present" localSheetId="8">#REF!</definedName>
    <definedName name="Present">#REF!</definedName>
    <definedName name="price">[18]Sens!$O$11</definedName>
    <definedName name="_xlnm.Print_Area" localSheetId="1">Assumption!$A$1:$P$98</definedName>
    <definedName name="_xlnm.Print_Area" localSheetId="11">#REF!</definedName>
    <definedName name="_xlnm.Print_Area" localSheetId="12">'FGD Phasing'!$A$4:$C$82</definedName>
    <definedName name="_xlnm.Print_Area" localSheetId="3">'Financial Statement'!$A$31:$W$80</definedName>
    <definedName name="_xlnm.Print_Area" localSheetId="13">#REF!</definedName>
    <definedName name="_xlnm.Print_Area" localSheetId="8">#REF!</definedName>
    <definedName name="_xlnm.Print_Area">#REF!</definedName>
    <definedName name="PRINT_AREA_MI" localSheetId="13">#REF!</definedName>
    <definedName name="PRINT_AREA_MI" localSheetId="8">#REF!</definedName>
    <definedName name="PRINT_AREA_MI">#REF!</definedName>
    <definedName name="_xlnm.Print_Titles" localSheetId="1">Assumption!$1:$2</definedName>
    <definedName name="_xlnm.Print_Titles">#N/A</definedName>
    <definedName name="Print1">[48]COMPS!$A$1:$V$102</definedName>
    <definedName name="Print1Start">[33]DCFValuation!$C$7</definedName>
    <definedName name="Print1Stop">[33]DCFValuation!$X$35</definedName>
    <definedName name="Print2Start">[33]DCFValuation!$C$36</definedName>
    <definedName name="Print2Stop">[33]DCFValuation!$AC$93</definedName>
    <definedName name="Print3Start">[33]DCFValuation!$C$94</definedName>
    <definedName name="Print3Stop">[33]DCFValuation!$AC$128</definedName>
    <definedName name="profitability" localSheetId="11">#REF!</definedName>
    <definedName name="profitability" localSheetId="13">#REF!</definedName>
    <definedName name="profitability" localSheetId="8">#REF!</definedName>
    <definedName name="profitability">#REF!</definedName>
    <definedName name="ProImportExport.ImportFile">#N/A</definedName>
    <definedName name="ProImportExport.SaveNewFile">#N/A</definedName>
    <definedName name="project" localSheetId="11">[17]CLAY!#REF!</definedName>
    <definedName name="project" localSheetId="13">[17]CLAY!#REF!</definedName>
    <definedName name="project" localSheetId="8">[17]CLAY!#REF!</definedName>
    <definedName name="project">[17]CLAY!#REF!</definedName>
    <definedName name="proposal" localSheetId="11">#REF!</definedName>
    <definedName name="proposal" localSheetId="13">#REF!</definedName>
    <definedName name="proposal" localSheetId="8">#REF!</definedName>
    <definedName name="proposal">#REF!</definedName>
    <definedName name="Public_Private" localSheetId="11">'[19]Basic inputs+instr'!#REF!</definedName>
    <definedName name="Public_Private" localSheetId="13">'[19]Basic inputs+instr'!#REF!</definedName>
    <definedName name="Public_Private" localSheetId="8">'[19]Basic inputs+instr'!#REF!</definedName>
    <definedName name="Public_Private">'[19]Basic inputs+instr'!#REF!</definedName>
    <definedName name="PWC" localSheetId="11">#REF!</definedName>
    <definedName name="PWC" localSheetId="13">#REF!</definedName>
    <definedName name="PWC" localSheetId="8">#REF!</definedName>
    <definedName name="PWC">#REF!</definedName>
    <definedName name="qqq">#N/A</definedName>
    <definedName name="Qtrs_Yr" localSheetId="11">#REF!</definedName>
    <definedName name="Qtrs_Yr" localSheetId="13">#REF!</definedName>
    <definedName name="Qtrs_Yr" localSheetId="8">#REF!</definedName>
    <definedName name="Qtrs_Yr">#REF!</definedName>
    <definedName name="R_Esc" localSheetId="13">#REF!</definedName>
    <definedName name="R_Esc" localSheetId="8">#REF!</definedName>
    <definedName name="R_Esc">#REF!</definedName>
    <definedName name="re" localSheetId="13">[27]Housek!#REF!</definedName>
    <definedName name="re" localSheetId="8">[27]Housek!#REF!</definedName>
    <definedName name="re">[27]Housek!#REF!</definedName>
    <definedName name="_xlnm.Recorder" localSheetId="11">#REF!</definedName>
    <definedName name="_xlnm.Recorder" localSheetId="13">#REF!</definedName>
    <definedName name="_xlnm.Recorder" localSheetId="8">#REF!</definedName>
    <definedName name="_xlnm.Recorder">#REF!</definedName>
    <definedName name="reschedulement" localSheetId="13">#REF!</definedName>
    <definedName name="reschedulement" localSheetId="8">#REF!</definedName>
    <definedName name="reschedulement">#REF!</definedName>
    <definedName name="RESET_TABLE" localSheetId="13">#REF!</definedName>
    <definedName name="RESET_TABLE" localSheetId="8">#REF!</definedName>
    <definedName name="RESET_TABLE">#REF!</definedName>
    <definedName name="rg" localSheetId="11" hidden="1">{#N/A,#N/A,FALSE,"Quantum Optima Details"}</definedName>
    <definedName name="rg" localSheetId="8" hidden="1">{#N/A,#N/A,FALSE,"Quantum Optima Details"}</definedName>
    <definedName name="rg" hidden="1">{#N/A,#N/A,FALSE,"Quantum Optima Details"}</definedName>
    <definedName name="rngcolors" localSheetId="13">[24]Assumption!#REF!</definedName>
    <definedName name="rngcolors">[24]Assumption!#REF!</definedName>
    <definedName name="RUPEE" localSheetId="11">#REF!</definedName>
    <definedName name="RUPEE" localSheetId="13">#REF!</definedName>
    <definedName name="RUPEE" localSheetId="8">#REF!</definedName>
    <definedName name="RUPEE">#REF!</definedName>
    <definedName name="s" localSheetId="13">[27]Maint!#REF!</definedName>
    <definedName name="s">[27]Maint!#REF!</definedName>
    <definedName name="Sales_Q3" localSheetId="11" hidden="1">{#N/A,#N/A,FALSE,"Quantum Optima Details"}</definedName>
    <definedName name="Sales_Q3" localSheetId="8" hidden="1">{#N/A,#N/A,FALSE,"Quantum Optima Details"}</definedName>
    <definedName name="Sales_Q3" hidden="1">{#N/A,#N/A,FALSE,"Quantum Optima Details"}</definedName>
    <definedName name="Sanction_DL" localSheetId="11">#REF!</definedName>
    <definedName name="Sanction_DL" localSheetId="13">#REF!</definedName>
    <definedName name="Sanction_DL" localSheetId="8">#REF!</definedName>
    <definedName name="Sanction_DL">#REF!</definedName>
    <definedName name="SaveNewFile">#N/A</definedName>
    <definedName name="sbf" localSheetId="11">#REF!</definedName>
    <definedName name="sbf" localSheetId="13">#REF!</definedName>
    <definedName name="sbf" localSheetId="8">#REF!</definedName>
    <definedName name="sbf">#REF!</definedName>
    <definedName name="sbl" localSheetId="13">#REF!</definedName>
    <definedName name="sbl" localSheetId="8">#REF!</definedName>
    <definedName name="sbl">#REF!</definedName>
    <definedName name="sch" localSheetId="11">VLOOKUP(#REF!,#REF!,2,FALSE)</definedName>
    <definedName name="sch" localSheetId="13">VLOOKUP(#REF!,#REF!,2,FALSE)</definedName>
    <definedName name="sch" localSheetId="8">VLOOKUP(#REF!,#REF!,2,FALSE)</definedName>
    <definedName name="sch">VLOOKUP(#REF!,#REF!,2,FALSE)</definedName>
    <definedName name="sdf" localSheetId="13">#REF!</definedName>
    <definedName name="sdf" localSheetId="8">#REF!</definedName>
    <definedName name="sdf">#REF!</definedName>
    <definedName name="SDFFS">[49]PopCache_Sheet1!$B$1:$B$2</definedName>
    <definedName name="SDSD" localSheetId="11" hidden="1">{#N/A,#N/A,FALSE,"Quantum Optima Details"}</definedName>
    <definedName name="SDSD" localSheetId="8" hidden="1">{#N/A,#N/A,FALSE,"Quantum Optima Details"}</definedName>
    <definedName name="SDSD" hidden="1">{#N/A,#N/A,FALSE,"Quantum Optima Details"}</definedName>
    <definedName name="SECH5A" localSheetId="13">'[50]CA_and_CL_2002_proj_opn(2001-0)'!#REF!</definedName>
    <definedName name="SECH5A">'[50]CA_and_CL_2002_proj_opn(2001-0)'!#REF!</definedName>
    <definedName name="sencount" hidden="1">1</definedName>
    <definedName name="Sens_descr" localSheetId="11">#REF!</definedName>
    <definedName name="Sens_descr" localSheetId="13">#REF!</definedName>
    <definedName name="Sens_descr" localSheetId="8">#REF!</definedName>
    <definedName name="Sens_descr">#REF!</definedName>
    <definedName name="Servicingsummary" localSheetId="13">[51]proposallinked!#REF!</definedName>
    <definedName name="Servicingsummary">[51]proposallinked!#REF!</definedName>
    <definedName name="sfsfsdf" localSheetId="11">#REF!</definedName>
    <definedName name="sfsfsdf" localSheetId="13">#REF!</definedName>
    <definedName name="sfsfsdf" localSheetId="8">#REF!</definedName>
    <definedName name="sfsfsdf">#REF!</definedName>
    <definedName name="shailesh" localSheetId="13">#REF!</definedName>
    <definedName name="shailesh" localSheetId="8">#REF!</definedName>
    <definedName name="shailesh">#REF!</definedName>
    <definedName name="sheet_1a" localSheetId="13">#REF!</definedName>
    <definedName name="sheet_1a" localSheetId="8">#REF!</definedName>
    <definedName name="sheet_1a">#REF!</definedName>
    <definedName name="sheet_1b" localSheetId="13">#REF!</definedName>
    <definedName name="sheet_1b">#REF!</definedName>
    <definedName name="sheet_2a" localSheetId="13">#REF!</definedName>
    <definedName name="sheet_2a">#REF!</definedName>
    <definedName name="sheet_2b" localSheetId="13">#REF!</definedName>
    <definedName name="sheet_2b">#REF!</definedName>
    <definedName name="sheet_3a" localSheetId="13">#REF!</definedName>
    <definedName name="sheet_3a">#REF!</definedName>
    <definedName name="sheet_3b" localSheetId="13">#REF!</definedName>
    <definedName name="sheet_3b">#REF!</definedName>
    <definedName name="sheet_4a" localSheetId="13">#REF!</definedName>
    <definedName name="sheet_4a">#REF!</definedName>
    <definedName name="sheet_4b" localSheetId="13">#REF!</definedName>
    <definedName name="sheet_4b">#REF!</definedName>
    <definedName name="sheet_5a" localSheetId="13">#REF!</definedName>
    <definedName name="sheet_5a">#REF!</definedName>
    <definedName name="sheet_5b" localSheetId="13">#REF!</definedName>
    <definedName name="sheet_5b">#REF!</definedName>
    <definedName name="sheet_A1" localSheetId="13">#REF!</definedName>
    <definedName name="sheet_A1">#REF!</definedName>
    <definedName name="sib" localSheetId="11" hidden="1">{#N/A,#N/A,FALSE,"Quantum Optima Details"}</definedName>
    <definedName name="sib" localSheetId="8" hidden="1">{#N/A,#N/A,FALSE,"Quantum Optima Details"}</definedName>
    <definedName name="sib" hidden="1">{#N/A,#N/A,FALSE,"Quantum Optima Details"}</definedName>
    <definedName name="sibas" localSheetId="11" hidden="1">{#N/A,#N/A,FALSE,"Quantum Optima Details"}</definedName>
    <definedName name="sibas" localSheetId="8" hidden="1">{#N/A,#N/A,FALSE,"Quantum Optima Details"}</definedName>
    <definedName name="sibas" hidden="1">{#N/A,#N/A,FALSE,"Quantum Optima Details"}</definedName>
    <definedName name="socgen" localSheetId="11">#REF!</definedName>
    <definedName name="socgen" localSheetId="13">#REF!</definedName>
    <definedName name="socgen" localSheetId="8">#REF!</definedName>
    <definedName name="socgen">#REF!</definedName>
    <definedName name="SPTNP">[11]TABLES!$E$4:$F$57</definedName>
    <definedName name="ss" localSheetId="11">#REF!</definedName>
    <definedName name="ss" localSheetId="13">#REF!</definedName>
    <definedName name="ss" localSheetId="8">#REF!</definedName>
    <definedName name="ss">#REF!</definedName>
    <definedName name="SSSSS" localSheetId="1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_Comp" localSheetId="11">#REF!</definedName>
    <definedName name="ST_Comp" localSheetId="13">#REF!</definedName>
    <definedName name="ST_Comp" localSheetId="8">#REF!</definedName>
    <definedName name="ST_Comp">#REF!</definedName>
    <definedName name="ST_MP" localSheetId="13">#REF!</definedName>
    <definedName name="ST_MP" localSheetId="8">#REF!</definedName>
    <definedName name="ST_MP">#REF!</definedName>
    <definedName name="ST_PI" localSheetId="13">#REF!</definedName>
    <definedName name="ST_PI" localSheetId="8">#REF!</definedName>
    <definedName name="ST_PI">#REF!</definedName>
    <definedName name="staff_sal" localSheetId="13">#REF!</definedName>
    <definedName name="staff_sal">#REF!</definedName>
    <definedName name="Statement" localSheetId="13">#REF!</definedName>
    <definedName name="Statement">#REF!</definedName>
    <definedName name="STATEMENT_OF_FUND_REQUIREMENT__Rs._in_crores" localSheetId="13">#REF!</definedName>
    <definedName name="STATEMENT_OF_FUND_REQUIREMENT__Rs._in_crores">#REF!</definedName>
    <definedName name="stef" localSheetId="1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[33]DCFValuation!$C$140</definedName>
    <definedName name="structure" localSheetId="11">[17]CLAY!#REF!</definedName>
    <definedName name="structure" localSheetId="13">[17]CLAY!#REF!</definedName>
    <definedName name="structure" localSheetId="8">[17]CLAY!#REF!</definedName>
    <definedName name="structure">[17]CLAY!#REF!</definedName>
    <definedName name="subdebt">#N/A</definedName>
    <definedName name="Summarised" localSheetId="11">#REF!</definedName>
    <definedName name="Summarised" localSheetId="13">#REF!</definedName>
    <definedName name="Summarised" localSheetId="8">#REF!</definedName>
    <definedName name="Summarised">#REF!</definedName>
    <definedName name="summarrised" localSheetId="13">#REF!</definedName>
    <definedName name="summarrised" localSheetId="8">#REF!</definedName>
    <definedName name="summarrised">#REF!</definedName>
    <definedName name="summary" localSheetId="13">#REF!</definedName>
    <definedName name="summary" localSheetId="8">#REF!</definedName>
    <definedName name="summary">#REF!</definedName>
    <definedName name="T" localSheetId="13">'[27]#REF'!#REF!</definedName>
    <definedName name="T" localSheetId="8">'[27]#REF'!#REF!</definedName>
    <definedName name="T">'[27]#REF'!#REF!</definedName>
    <definedName name="Tariff_Paste" localSheetId="13">'[12]APSEB@CERC'!#REF!</definedName>
    <definedName name="Tariff_Paste" localSheetId="8">'[12]APSEB@CERC'!#REF!</definedName>
    <definedName name="Tariff_Paste">'[12]APSEB@CERC'!#REF!</definedName>
    <definedName name="tb">[52]basic!$A$5:$F$508</definedName>
    <definedName name="TBC_2002" localSheetId="11">#REF!</definedName>
    <definedName name="TBC_2002" localSheetId="13">#REF!</definedName>
    <definedName name="TBC_2002" localSheetId="8">#REF!</definedName>
    <definedName name="TBC_2002">#REF!</definedName>
    <definedName name="temp" localSheetId="13">#REF!</definedName>
    <definedName name="temp" localSheetId="8">#REF!</definedName>
    <definedName name="temp">#REF!</definedName>
    <definedName name="temp1" localSheetId="13">#REF!</definedName>
    <definedName name="temp1" localSheetId="8">#REF!</definedName>
    <definedName name="temp1">#REF!</definedName>
    <definedName name="Terminal">[33]DCFValuation!$AH$38:$AH$68</definedName>
    <definedName name="TEST" localSheetId="11">#REF!</definedName>
    <definedName name="TEST" localSheetId="13">#REF!</definedName>
    <definedName name="TEST" localSheetId="8">#REF!</definedName>
    <definedName name="TEST">#REF!</definedName>
    <definedName name="TGROSS" localSheetId="13">#REF!</definedName>
    <definedName name="TGROSS" localSheetId="8">#REF!</definedName>
    <definedName name="TGROSS">#REF!</definedName>
    <definedName name="Tips" localSheetId="13">'[39]PR Cost'!#REF!</definedName>
    <definedName name="Tips" localSheetId="8">'[39]PR Cost'!#REF!</definedName>
    <definedName name="Tips">'[39]PR Cost'!#REF!</definedName>
    <definedName name="TITLE" localSheetId="11">#REF!</definedName>
    <definedName name="TITLE" localSheetId="13">#REF!</definedName>
    <definedName name="TITLE" localSheetId="8">#REF!</definedName>
    <definedName name="TITLE">#REF!</definedName>
    <definedName name="TNETT" localSheetId="13">#REF!</definedName>
    <definedName name="TNETT" localSheetId="8">#REF!</definedName>
    <definedName name="TNETT">#REF!</definedName>
    <definedName name="tugrjegjsj4930t9u94u2t" localSheetId="13">#REF!</definedName>
    <definedName name="tugrjegjsj4930t9u94u2t" localSheetId="8">#REF!</definedName>
    <definedName name="tugrjegjsj4930t9u94u2t">#REF!</definedName>
    <definedName name="two" localSheetId="13">#REF!</definedName>
    <definedName name="two">#REF!</definedName>
    <definedName name="UNITS" localSheetId="13">#REF!</definedName>
    <definedName name="UNITS">#REF!</definedName>
    <definedName name="urban_kiosk_to" localSheetId="13">#REF!</definedName>
    <definedName name="urban_kiosk_to">#REF!</definedName>
    <definedName name="urban_shop_TO" localSheetId="13">#REF!</definedName>
    <definedName name="urban_shop_TO">#REF!</definedName>
    <definedName name="us_f3" localSheetId="13">#REF!</definedName>
    <definedName name="us_f3">#REF!</definedName>
    <definedName name="USD">[16]dues!$B$3</definedName>
    <definedName name="UseEPS" localSheetId="11">[21]Setting!#REF!</definedName>
    <definedName name="UseEPS" localSheetId="13">[21]Setting!#REF!</definedName>
    <definedName name="UseEPS" localSheetId="8">[21]Setting!#REF!</definedName>
    <definedName name="UseEPS">[21]Setting!#REF!</definedName>
    <definedName name="usexim" localSheetId="11">#REF!</definedName>
    <definedName name="usexim" localSheetId="13">#REF!</definedName>
    <definedName name="usexim" localSheetId="8">#REF!</definedName>
    <definedName name="usexim">#REF!</definedName>
    <definedName name="V" localSheetId="11">[53]WORKRES!#REF!</definedName>
    <definedName name="V" localSheetId="13">[53]WORKRES!#REF!</definedName>
    <definedName name="V" localSheetId="8">[53]WORKRES!#REF!</definedName>
    <definedName name="V">[53]WORKRES!#REF!</definedName>
    <definedName name="value" localSheetId="11">#REF!</definedName>
    <definedName name="value" localSheetId="13">#REF!</definedName>
    <definedName name="value" localSheetId="8">#REF!</definedName>
    <definedName name="value">#REF!</definedName>
    <definedName name="VAT_MP" localSheetId="13">#REF!</definedName>
    <definedName name="VAT_MP" localSheetId="8">#REF!</definedName>
    <definedName name="VAT_MP">#REF!</definedName>
    <definedName name="VAT_PI" localSheetId="13">#REF!</definedName>
    <definedName name="VAT_PI" localSheetId="8">#REF!</definedName>
    <definedName name="VAT_PI">#REF!</definedName>
    <definedName name="VAT_WCT" localSheetId="13">#REF!</definedName>
    <definedName name="VAT_WCT">#REF!</definedName>
    <definedName name="vdfv">[54]Setting!$I$11</definedName>
    <definedName name="Vijayanagar" localSheetId="11" hidden="1">{#N/A,#N/A,FALSE,"Quantum Optima Details"}</definedName>
    <definedName name="Vijayanagar" localSheetId="8" hidden="1">{#N/A,#N/A,FALSE,"Quantum Optima Details"}</definedName>
    <definedName name="Vijayanagar" hidden="1">{#N/A,#N/A,FALSE,"Quantum Optima Details"}</definedName>
    <definedName name="vl" localSheetId="11">#REF!</definedName>
    <definedName name="vl" localSheetId="13">#REF!</definedName>
    <definedName name="vl" localSheetId="8">#REF!</definedName>
    <definedName name="vl">#REF!</definedName>
    <definedName name="vsa_entry" localSheetId="13">#REF!</definedName>
    <definedName name="vsa_entry" localSheetId="8">#REF!</definedName>
    <definedName name="vsa_entry">#REF!</definedName>
    <definedName name="w" localSheetId="11" hidden="1">{#N/A,#N/A,FALSE,"Quantum Optima Details"}</definedName>
    <definedName name="w" localSheetId="8" hidden="1">{#N/A,#N/A,FALSE,"Quantum Optima Details"}</definedName>
    <definedName name="w" hidden="1">{#N/A,#N/A,FALSE,"Quantum Optima Details"}</definedName>
    <definedName name="w1_w2" localSheetId="11">#REF!</definedName>
    <definedName name="w1_w2" localSheetId="13">#REF!</definedName>
    <definedName name="w1_w2" localSheetId="8">#REF!</definedName>
    <definedName name="w1_w2">#REF!</definedName>
    <definedName name="WC">#N/A</definedName>
    <definedName name="WCM" localSheetId="13">[12]Revenue!#REF!</definedName>
    <definedName name="WCM">[12]Revenue!#REF!</definedName>
    <definedName name="wcm_d4" localSheetId="11">#REF!</definedName>
    <definedName name="wcm_d4" localSheetId="13">#REF!</definedName>
    <definedName name="wcm_d4" localSheetId="8">#REF!</definedName>
    <definedName name="wcm_d4">#REF!</definedName>
    <definedName name="WCM_Diff">[12]Revenue!$D$165</definedName>
    <definedName name="WCM_P1">[12]Inputs!$J$66</definedName>
    <definedName name="WCM_P2">[12]Inputs!$O$66</definedName>
    <definedName name="WCM_P3">[12]Inputs!$T$66</definedName>
    <definedName name="WCM_T" localSheetId="11">[12]Revenue!#REF!</definedName>
    <definedName name="WCM_T" localSheetId="13">[12]Revenue!#REF!</definedName>
    <definedName name="WCM_T" localSheetId="8">[12]Revenue!#REF!</definedName>
    <definedName name="WCM_T">[12]Revenue!#REF!</definedName>
    <definedName name="wid" localSheetId="11">#REF!</definedName>
    <definedName name="wid" localSheetId="13">#REF!</definedName>
    <definedName name="wid" localSheetId="8">#REF!</definedName>
    <definedName name="wid">#REF!</definedName>
    <definedName name="WONO" localSheetId="13">#REF!</definedName>
    <definedName name="WONO" localSheetId="8">#REF!</definedName>
    <definedName name="WONO">#REF!</definedName>
    <definedName name="wrn.DETAILS." localSheetId="11" hidden="1">{#N/A,#N/A,FALSE,"Quantum Optima Details"}</definedName>
    <definedName name="wrn.DETAILS." localSheetId="8" hidden="1">{#N/A,#N/A,FALSE,"Quantum Optima Details"}</definedName>
    <definedName name="wrn.DETAILS." hidden="1">{#N/A,#N/A,FALSE,"Quantum Optima Details"}</definedName>
    <definedName name="wrn.full." localSheetId="11" hidden="1">{#N/A,#N/A,FALSE,"Cover";#N/A,#N/A,FALSE,"Pres ";#N/A,#N/A,FALSE,"Output";#N/A,#N/A,FALSE,"Sensit";#N/A,#N/A,FALSE,"DCF";#N/A,#N/A,FALSE,"Graphs";#N/A,#N/A,FALSE,"Control (In)";#N/A,#N/A,FALSE,"Broker (In)";#N/A,#N/A,FALSE,"In-House (In)";#N/A,#N/A,FALSE,"Assumptions";#N/A,#N/A,FALSE,"WACC";#N/A,#N/A,FALSE,"Check (In)"}</definedName>
    <definedName name="wrn.full." localSheetId="8" hidden="1">{#N/A,#N/A,FALSE,"Cover";#N/A,#N/A,FALSE,"Pres ";#N/A,#N/A,FALSE,"Output";#N/A,#N/A,FALSE,"Sensit";#N/A,#N/A,FALSE,"DCF";#N/A,#N/A,FALSE,"Graphs";#N/A,#N/A,FALSE,"Control (In)";#N/A,#N/A,FALSE,"Broker (In)";#N/A,#N/A,FALSE,"In-House (In)";#N/A,#N/A,FALSE,"Assumptions";#N/A,#N/A,FALSE,"WACC";#N/A,#N/A,FALSE,"Check (In)"}</definedName>
    <definedName name="wrn.full." hidden="1">{#N/A,#N/A,FALSE,"Cover";#N/A,#N/A,FALSE,"Pres ";#N/A,#N/A,FALSE,"Output";#N/A,#N/A,FALSE,"Sensit";#N/A,#N/A,FALSE,"DCF";#N/A,#N/A,FALSE,"Graphs";#N/A,#N/A,FALSE,"Control (In)";#N/A,#N/A,FALSE,"Broker (In)";#N/A,#N/A,FALSE,"In-House (In)";#N/A,#N/A,FALSE,"Assumptions";#N/A,#N/A,FALSE,"WACC";#N/A,#N/A,FALSE,"Check (In)"}</definedName>
    <definedName name="wrn.Full._.Model." localSheetId="11" hidden="1">{#N/A,#N/A,TRUE,"Cover Sheet ";#N/A,#N/A,TRUE,"INPUTS";#N/A,#N/A,TRUE,"OUTPUTS"}</definedName>
    <definedName name="wrn.Full._.Model." localSheetId="8" hidden="1">{#N/A,#N/A,TRUE,"Cover Sheet ";#N/A,#N/A,TRUE,"INPUTS";#N/A,#N/A,TRUE,"OUTPUTS"}</definedName>
    <definedName name="wrn.Full._.Model." hidden="1">{#N/A,#N/A,TRUE,"Cover Sheet ";#N/A,#N/A,TRUE,"INPUTS";#N/A,#N/A,TRUE,"OUTPUTS"}</definedName>
    <definedName name="XXX" localSheetId="13">[55]CLAY!#REF!</definedName>
    <definedName name="XXX">[55]CLAY!#REF!</definedName>
    <definedName name="Y" localSheetId="11" hidden="1">{#N/A,#N/A,FALSE,"Quantum Optima Details"}</definedName>
    <definedName name="Y" localSheetId="8" hidden="1">{#N/A,#N/A,FALSE,"Quantum Optima Details"}</definedName>
    <definedName name="Y" hidden="1">{#N/A,#N/A,FALSE,"Quantum Optima Details"}</definedName>
    <definedName name="YU">'[56]MASTER-DOC'!$B$11:$N$27</definedName>
    <definedName name="z" localSheetId="11" hidden="1">{#N/A,#N/A,FALSE,"Quantum Optima Details"}</definedName>
    <definedName name="z" localSheetId="8" hidden="1">{#N/A,#N/A,FALSE,"Quantum Optima Details"}</definedName>
    <definedName name="z" hidden="1">{#N/A,#N/A,FALSE,"Quantum Optima Details"}</definedName>
    <definedName name="Z_FF8EC7E3_3EF6_40AF_85FD_6FE5C25E1EA4_.wvu.Rows" localSheetId="11" hidden="1">#REF!,#REF!</definedName>
    <definedName name="Z_FF8EC7E3_3EF6_40AF_85FD_6FE5C25E1EA4_.wvu.Rows" localSheetId="13" hidden="1">#REF!,#REF!</definedName>
    <definedName name="Z_FF8EC7E3_3EF6_40AF_85FD_6FE5C25E1EA4_.wvu.Rows" localSheetId="8" hidden="1">#REF!,#REF!</definedName>
    <definedName name="Z_FF8EC7E3_3EF6_40AF_85FD_6FE5C25E1EA4_.wvu.Rows" hidden="1">#REF!,#REF!</definedName>
  </definedNames>
  <calcPr calcId="144525" iterate="1"/>
</workbook>
</file>

<file path=xl/calcChain.xml><?xml version="1.0" encoding="utf-8"?>
<calcChain xmlns="http://schemas.openxmlformats.org/spreadsheetml/2006/main">
  <c r="H16" i="11" l="1"/>
  <c r="C35" i="10" l="1"/>
  <c r="BN20" i="3" l="1"/>
  <c r="BL20" i="3"/>
  <c r="BN12" i="3"/>
  <c r="BL12" i="3"/>
  <c r="N20" i="3"/>
  <c r="N12" i="3"/>
  <c r="M20" i="3"/>
  <c r="C34" i="10"/>
  <c r="C33" i="10"/>
  <c r="B90" i="1" l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B85" i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G85" i="4"/>
  <c r="C16" i="10" l="1"/>
  <c r="L20" i="3" l="1"/>
  <c r="V37" i="11" l="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H7" i="10" l="1"/>
  <c r="G7" i="10"/>
  <c r="F7" i="10"/>
  <c r="S18" i="17" l="1"/>
  <c r="T18" i="17" s="1"/>
  <c r="S17" i="17"/>
  <c r="T17" i="17" s="1"/>
  <c r="S16" i="17"/>
  <c r="T16" i="17" s="1"/>
  <c r="S15" i="17"/>
  <c r="T15" i="17" s="1"/>
  <c r="S14" i="17"/>
  <c r="T14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H63" i="5" l="1"/>
  <c r="G63" i="5"/>
  <c r="K15" i="10" l="1"/>
  <c r="D52" i="5" l="1"/>
  <c r="J20" i="3" l="1"/>
  <c r="D7" i="10" l="1"/>
  <c r="E7" i="10"/>
  <c r="I95" i="4"/>
  <c r="J95" i="4" s="1"/>
  <c r="K95" i="4" s="1"/>
  <c r="L95" i="4" s="1"/>
  <c r="M95" i="4" s="1"/>
  <c r="N95" i="4" s="1"/>
  <c r="O95" i="4" s="1"/>
  <c r="P95" i="4" s="1"/>
  <c r="Q95" i="4" s="1"/>
  <c r="R95" i="4" s="1"/>
  <c r="S95" i="4" s="1"/>
  <c r="T95" i="4" s="1"/>
  <c r="U95" i="4" s="1"/>
  <c r="V95" i="4" s="1"/>
  <c r="W95" i="4" s="1"/>
  <c r="X95" i="4" s="1"/>
  <c r="Y95" i="4" s="1"/>
  <c r="Z95" i="4" s="1"/>
  <c r="AA95" i="4" s="1"/>
  <c r="AB95" i="4" s="1"/>
  <c r="C15" i="10" l="1"/>
  <c r="G34" i="5" l="1"/>
  <c r="G14" i="5"/>
  <c r="G10" i="2" l="1"/>
  <c r="B66" i="2" l="1"/>
  <c r="K13" i="10"/>
  <c r="B94" i="2" l="1"/>
  <c r="C75" i="4" l="1"/>
  <c r="F66" i="2" l="1"/>
  <c r="F68" i="2" s="1"/>
  <c r="C95" i="10" l="1"/>
  <c r="C96" i="10" l="1"/>
  <c r="G13" i="5"/>
  <c r="G18" i="5"/>
  <c r="G19" i="5"/>
  <c r="I24" i="2" l="1"/>
  <c r="AF22" i="5"/>
  <c r="C80" i="10"/>
  <c r="F41" i="5" l="1"/>
  <c r="F42" i="5"/>
  <c r="G97" i="5" l="1"/>
  <c r="F13" i="11" l="1"/>
  <c r="B55" i="4"/>
  <c r="D59" i="4"/>
  <c r="D58" i="4"/>
  <c r="C77" i="10" l="1"/>
  <c r="BE85" i="13" l="1"/>
  <c r="BF85" i="13"/>
  <c r="BG85" i="13"/>
  <c r="BH85" i="13"/>
  <c r="BI85" i="13"/>
  <c r="BJ85" i="13"/>
  <c r="BK85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CD85" i="13"/>
  <c r="CE85" i="13"/>
  <c r="CF85" i="13"/>
  <c r="CG85" i="13"/>
  <c r="CH85" i="13"/>
  <c r="CI85" i="13"/>
  <c r="CJ85" i="13"/>
  <c r="CK85" i="13"/>
  <c r="CL85" i="13"/>
  <c r="CM85" i="13"/>
  <c r="CN85" i="13"/>
  <c r="CO85" i="13"/>
  <c r="CP85" i="13"/>
  <c r="CQ85" i="13"/>
  <c r="CR85" i="13"/>
  <c r="CS85" i="13"/>
  <c r="CT85" i="13"/>
  <c r="CU85" i="13"/>
  <c r="BD85" i="13"/>
  <c r="BC85" i="13"/>
  <c r="F97" i="5"/>
  <c r="F96" i="5"/>
  <c r="F18" i="5" l="1"/>
  <c r="D20" i="3" l="1"/>
  <c r="B20" i="9" l="1"/>
  <c r="B22" i="9"/>
  <c r="C11" i="9"/>
  <c r="K52" i="10" l="1"/>
  <c r="F106" i="5" l="1"/>
  <c r="F46" i="5" l="1"/>
  <c r="F48" i="5" s="1"/>
  <c r="F107" i="5" l="1"/>
  <c r="F87" i="5" l="1"/>
  <c r="F22" i="5" l="1"/>
  <c r="F86" i="5" l="1"/>
  <c r="F36" i="5"/>
  <c r="G36" i="5" s="1"/>
  <c r="F74" i="5"/>
  <c r="F73" i="5"/>
  <c r="F92" i="5" s="1"/>
  <c r="F49" i="5"/>
  <c r="E42" i="5" l="1"/>
  <c r="F54" i="5"/>
  <c r="E48" i="5"/>
  <c r="F72" i="5"/>
  <c r="F104" i="5" s="1"/>
  <c r="F91" i="5" l="1"/>
  <c r="E52" i="5"/>
  <c r="E37" i="5"/>
  <c r="E43" i="5" s="1"/>
  <c r="F9" i="5" l="1"/>
  <c r="F88" i="5" s="1"/>
  <c r="F13" i="4"/>
  <c r="R19" i="16" l="1"/>
  <c r="C16" i="16" l="1"/>
  <c r="C11" i="16" l="1"/>
  <c r="C14" i="16"/>
  <c r="C8" i="16" l="1"/>
  <c r="AB147" i="12" l="1"/>
  <c r="AA147" i="12"/>
  <c r="E71" i="16" l="1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Z135" i="12"/>
  <c r="C132" i="12"/>
  <c r="E13" i="11" l="1"/>
  <c r="B61" i="3" l="1"/>
  <c r="C57" i="12" l="1"/>
  <c r="F19" i="3"/>
  <c r="L19" i="3" s="1"/>
  <c r="F11" i="3"/>
  <c r="L11" i="3" s="1"/>
  <c r="H10" i="16"/>
  <c r="D12" i="3" l="1"/>
  <c r="F8" i="4" l="1"/>
  <c r="F8" i="2"/>
  <c r="F3" i="2"/>
  <c r="P8" i="2" l="1"/>
  <c r="P8" i="4"/>
  <c r="AG61" i="12"/>
  <c r="Q8" i="4" l="1"/>
  <c r="N135" i="12" s="1"/>
  <c r="M135" i="12"/>
  <c r="C21" i="3" l="1"/>
  <c r="BS34" i="3"/>
  <c r="E76" i="5"/>
  <c r="E69" i="5"/>
  <c r="E78" i="5" s="1"/>
  <c r="E62" i="5"/>
  <c r="E56" i="5"/>
  <c r="E113" i="5"/>
  <c r="E80" i="5" l="1"/>
  <c r="E244" i="12"/>
  <c r="E246" i="12" s="1"/>
  <c r="D244" i="12"/>
  <c r="D246" i="12" s="1"/>
  <c r="C244" i="12"/>
  <c r="C246" i="12" s="1"/>
  <c r="AB201" i="12"/>
  <c r="AA201" i="12"/>
  <c r="D39" i="12" l="1"/>
  <c r="E22" i="13"/>
  <c r="F5" i="13"/>
  <c r="F22" i="13" s="1"/>
  <c r="G5" i="13" l="1"/>
  <c r="H5" i="13" l="1"/>
  <c r="G22" i="13"/>
  <c r="F122" i="1"/>
  <c r="F117" i="1"/>
  <c r="F90" i="1"/>
  <c r="F53" i="1"/>
  <c r="F85" i="1" s="1"/>
  <c r="I5" i="13" l="1"/>
  <c r="H22" i="13"/>
  <c r="B48" i="13"/>
  <c r="B49" i="13" s="1"/>
  <c r="F85" i="4"/>
  <c r="J5" i="13" l="1"/>
  <c r="I22" i="13"/>
  <c r="B99" i="13"/>
  <c r="K5" i="13" l="1"/>
  <c r="J22" i="13"/>
  <c r="E118" i="7"/>
  <c r="J118" i="7" s="1"/>
  <c r="C118" i="7"/>
  <c r="H118" i="7" s="1"/>
  <c r="A21" i="7"/>
  <c r="F95" i="2"/>
  <c r="F89" i="2"/>
  <c r="F82" i="2"/>
  <c r="F74" i="2"/>
  <c r="F65" i="2"/>
  <c r="F67" i="2"/>
  <c r="L5" i="13" l="1"/>
  <c r="K22" i="13"/>
  <c r="F8" i="1"/>
  <c r="M5" i="13" l="1"/>
  <c r="L22" i="13"/>
  <c r="E72" i="3"/>
  <c r="E66" i="3"/>
  <c r="E56" i="3"/>
  <c r="N5" i="13" l="1"/>
  <c r="M22" i="13"/>
  <c r="E53" i="1"/>
  <c r="E54" i="1" s="1"/>
  <c r="E55" i="1" s="1"/>
  <c r="E62" i="13"/>
  <c r="E63" i="13" s="1"/>
  <c r="H97" i="5"/>
  <c r="F38" i="13"/>
  <c r="G38" i="13"/>
  <c r="H38" i="13"/>
  <c r="I38" i="13"/>
  <c r="J38" i="13"/>
  <c r="K38" i="13"/>
  <c r="L38" i="13"/>
  <c r="M38" i="13"/>
  <c r="E38" i="13"/>
  <c r="O5" i="13" l="1"/>
  <c r="O6" i="13" s="1"/>
  <c r="N22" i="13"/>
  <c r="N38" i="13" s="1"/>
  <c r="F36" i="12"/>
  <c r="E84" i="16"/>
  <c r="D84" i="16"/>
  <c r="E79" i="16"/>
  <c r="B68" i="16"/>
  <c r="E68" i="16"/>
  <c r="E69" i="16"/>
  <c r="N6" i="13"/>
  <c r="M6" i="13"/>
  <c r="K6" i="13"/>
  <c r="J6" i="13"/>
  <c r="I6" i="13"/>
  <c r="H6" i="13"/>
  <c r="G6" i="13"/>
  <c r="F6" i="13"/>
  <c r="E6" i="13"/>
  <c r="L6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D49" i="16"/>
  <c r="D48" i="16"/>
  <c r="D47" i="16"/>
  <c r="D46" i="16"/>
  <c r="D45" i="16"/>
  <c r="D44" i="16"/>
  <c r="D42" i="16"/>
  <c r="D41" i="16"/>
  <c r="D40" i="16"/>
  <c r="D39" i="16"/>
  <c r="D38" i="16"/>
  <c r="D37" i="16"/>
  <c r="D36" i="16"/>
  <c r="D35" i="16"/>
  <c r="D34" i="16"/>
  <c r="D33" i="16"/>
  <c r="D32" i="16"/>
  <c r="C49" i="16"/>
  <c r="C48" i="16"/>
  <c r="C47" i="16"/>
  <c r="C46" i="16"/>
  <c r="C45" i="16"/>
  <c r="C44" i="16"/>
  <c r="C42" i="16"/>
  <c r="C40" i="16"/>
  <c r="C39" i="16"/>
  <c r="C38" i="16"/>
  <c r="C37" i="16"/>
  <c r="C36" i="16"/>
  <c r="C35" i="16"/>
  <c r="C33" i="16"/>
  <c r="C32" i="16"/>
  <c r="F28" i="16"/>
  <c r="G28" i="16" s="1"/>
  <c r="I34" i="12"/>
  <c r="E69" i="13" s="1"/>
  <c r="E70" i="13" s="1"/>
  <c r="E71" i="13" s="1"/>
  <c r="S9" i="16"/>
  <c r="S19" i="16" s="1"/>
  <c r="D14" i="12"/>
  <c r="B7" i="13" s="1"/>
  <c r="D15" i="12"/>
  <c r="C8" i="13" s="1"/>
  <c r="D75" i="13" l="1"/>
  <c r="P5" i="13"/>
  <c r="O22" i="13"/>
  <c r="O38" i="13" s="1"/>
  <c r="C17" i="16"/>
  <c r="C41" i="16" s="1"/>
  <c r="C10" i="16"/>
  <c r="U10" i="16" l="1"/>
  <c r="V10" i="16" s="1"/>
  <c r="C34" i="16"/>
  <c r="Q34" i="16" s="1"/>
  <c r="O34" i="16" s="1"/>
  <c r="Q5" i="13"/>
  <c r="P22" i="13"/>
  <c r="P38" i="13" s="1"/>
  <c r="P6" i="13"/>
  <c r="C80" i="16"/>
  <c r="C82" i="16" s="1"/>
  <c r="D78" i="16" s="1"/>
  <c r="E76" i="16"/>
  <c r="B76" i="16"/>
  <c r="F75" i="16"/>
  <c r="F76" i="16" s="1"/>
  <c r="C75" i="16"/>
  <c r="D75" i="16" s="1"/>
  <c r="D76" i="16" s="1"/>
  <c r="F74" i="16"/>
  <c r="C74" i="16"/>
  <c r="C69" i="16"/>
  <c r="D65" i="16" s="1"/>
  <c r="D69" i="16" s="1"/>
  <c r="E63" i="16"/>
  <c r="B63" i="16"/>
  <c r="F62" i="16"/>
  <c r="F63" i="16" s="1"/>
  <c r="C62" i="16"/>
  <c r="D61" i="16" s="1"/>
  <c r="F61" i="16"/>
  <c r="C61" i="16"/>
  <c r="Q49" i="16"/>
  <c r="Q48" i="16"/>
  <c r="G48" i="16" s="1"/>
  <c r="Q47" i="16"/>
  <c r="Q46" i="16"/>
  <c r="Q45" i="16"/>
  <c r="Q44" i="16"/>
  <c r="D43" i="16"/>
  <c r="D50" i="16" s="1"/>
  <c r="C43" i="16"/>
  <c r="C50" i="16" s="1"/>
  <c r="Q42" i="16"/>
  <c r="I42" i="16" s="1"/>
  <c r="Q41" i="16"/>
  <c r="P41" i="16" s="1"/>
  <c r="M41" i="16"/>
  <c r="E41" i="16"/>
  <c r="Q40" i="16"/>
  <c r="P40" i="16" s="1"/>
  <c r="Q39" i="16"/>
  <c r="E39" i="16" s="1"/>
  <c r="P39" i="16"/>
  <c r="O39" i="16"/>
  <c r="N39" i="16"/>
  <c r="M39" i="16"/>
  <c r="L39" i="16"/>
  <c r="K39" i="16"/>
  <c r="J39" i="16"/>
  <c r="I39" i="16"/>
  <c r="H39" i="16"/>
  <c r="G39" i="16"/>
  <c r="Q38" i="16"/>
  <c r="O38" i="16" s="1"/>
  <c r="Q37" i="16"/>
  <c r="J37" i="16" s="1"/>
  <c r="I37" i="16"/>
  <c r="Q36" i="16"/>
  <c r="P36" i="16" s="1"/>
  <c r="Q35" i="16"/>
  <c r="O35" i="16" s="1"/>
  <c r="G35" i="16"/>
  <c r="Q33" i="16"/>
  <c r="N33" i="16" s="1"/>
  <c r="Q32" i="16"/>
  <c r="F32" i="16" s="1"/>
  <c r="Q28" i="16"/>
  <c r="D52" i="16"/>
  <c r="Q25" i="16"/>
  <c r="Q24" i="16"/>
  <c r="Q23" i="16"/>
  <c r="Q22" i="16"/>
  <c r="Q21" i="16"/>
  <c r="Q20" i="16"/>
  <c r="D19" i="16"/>
  <c r="D26" i="16" s="1"/>
  <c r="C19" i="16"/>
  <c r="C26" i="16" s="1"/>
  <c r="Q18" i="16"/>
  <c r="Q17" i="16"/>
  <c r="Q16" i="16"/>
  <c r="Q15" i="16"/>
  <c r="Q14" i="16"/>
  <c r="Q13" i="16"/>
  <c r="Q12" i="16"/>
  <c r="Q11" i="16"/>
  <c r="Q10" i="16"/>
  <c r="Q9" i="16"/>
  <c r="Q8" i="16"/>
  <c r="E7" i="16"/>
  <c r="E5" i="16"/>
  <c r="F185" i="12"/>
  <c r="D116" i="12"/>
  <c r="E42" i="16" l="1"/>
  <c r="E36" i="16"/>
  <c r="G36" i="16"/>
  <c r="I36" i="16"/>
  <c r="O40" i="16"/>
  <c r="N36" i="16"/>
  <c r="O49" i="16"/>
  <c r="F48" i="16"/>
  <c r="E48" i="16"/>
  <c r="I48" i="16"/>
  <c r="M48" i="16"/>
  <c r="H48" i="16"/>
  <c r="K48" i="16"/>
  <c r="J48" i="16"/>
  <c r="N48" i="16"/>
  <c r="L48" i="16"/>
  <c r="G61" i="16"/>
  <c r="J52" i="16"/>
  <c r="I52" i="16"/>
  <c r="J35" i="16"/>
  <c r="L35" i="16"/>
  <c r="F35" i="16"/>
  <c r="P35" i="16"/>
  <c r="H40" i="16"/>
  <c r="J40" i="16"/>
  <c r="K40" i="16"/>
  <c r="F40" i="16"/>
  <c r="G40" i="16"/>
  <c r="M40" i="16"/>
  <c r="H35" i="16"/>
  <c r="M35" i="16"/>
  <c r="E35" i="16"/>
  <c r="I35" i="16"/>
  <c r="N35" i="16"/>
  <c r="P38" i="16"/>
  <c r="H38" i="16"/>
  <c r="E38" i="16"/>
  <c r="I38" i="16"/>
  <c r="P32" i="16"/>
  <c r="G32" i="16"/>
  <c r="D74" i="16"/>
  <c r="G74" i="16"/>
  <c r="R5" i="13"/>
  <c r="Q22" i="13"/>
  <c r="Q38" i="13" s="1"/>
  <c r="Q6" i="13"/>
  <c r="L34" i="16"/>
  <c r="K36" i="16"/>
  <c r="L38" i="16"/>
  <c r="E40" i="16"/>
  <c r="I40" i="16"/>
  <c r="N40" i="16"/>
  <c r="I41" i="16"/>
  <c r="H42" i="16"/>
  <c r="I33" i="16"/>
  <c r="P42" i="16"/>
  <c r="I32" i="16"/>
  <c r="K32" i="16"/>
  <c r="N32" i="16"/>
  <c r="M33" i="16"/>
  <c r="P34" i="16"/>
  <c r="K35" i="16"/>
  <c r="F36" i="16"/>
  <c r="J36" i="16"/>
  <c r="O36" i="16"/>
  <c r="M37" i="16"/>
  <c r="L42" i="16"/>
  <c r="E33" i="16"/>
  <c r="H34" i="16"/>
  <c r="H36" i="16"/>
  <c r="M36" i="16"/>
  <c r="E37" i="16"/>
  <c r="M38" i="16"/>
  <c r="M32" i="16"/>
  <c r="E32" i="16"/>
  <c r="J32" i="16"/>
  <c r="O32" i="16"/>
  <c r="F6" i="16"/>
  <c r="F5" i="16"/>
  <c r="P52" i="16"/>
  <c r="F52" i="16"/>
  <c r="E52" i="16"/>
  <c r="H52" i="16"/>
  <c r="Q52" i="16"/>
  <c r="G52" i="16"/>
  <c r="F33" i="16"/>
  <c r="E34" i="16"/>
  <c r="M34" i="16"/>
  <c r="J41" i="16"/>
  <c r="N41" i="16"/>
  <c r="H32" i="16"/>
  <c r="L32" i="16"/>
  <c r="G33" i="16"/>
  <c r="K33" i="16"/>
  <c r="O33" i="16"/>
  <c r="F34" i="16"/>
  <c r="J34" i="16"/>
  <c r="N34" i="16"/>
  <c r="L36" i="16"/>
  <c r="G37" i="16"/>
  <c r="K37" i="16"/>
  <c r="O37" i="16"/>
  <c r="F38" i="16"/>
  <c r="J38" i="16"/>
  <c r="N38" i="16"/>
  <c r="L40" i="16"/>
  <c r="G41" i="16"/>
  <c r="K41" i="16"/>
  <c r="O41" i="16"/>
  <c r="F42" i="16"/>
  <c r="J42" i="16"/>
  <c r="N42" i="16"/>
  <c r="O48" i="16"/>
  <c r="P49" i="16"/>
  <c r="J33" i="16"/>
  <c r="I34" i="16"/>
  <c r="F37" i="16"/>
  <c r="N37" i="16"/>
  <c r="F41" i="16"/>
  <c r="H33" i="16"/>
  <c r="L33" i="16"/>
  <c r="P33" i="16"/>
  <c r="G34" i="16"/>
  <c r="K34" i="16"/>
  <c r="H37" i="16"/>
  <c r="L37" i="16"/>
  <c r="P37" i="16"/>
  <c r="G38" i="16"/>
  <c r="K38" i="16"/>
  <c r="H41" i="16"/>
  <c r="L41" i="16"/>
  <c r="G42" i="16"/>
  <c r="K42" i="16"/>
  <c r="O42" i="16"/>
  <c r="P48" i="16"/>
  <c r="D62" i="16"/>
  <c r="D63" i="16" s="1"/>
  <c r="C63" i="16"/>
  <c r="Q43" i="16"/>
  <c r="Q50" i="16" s="1"/>
  <c r="M42" i="16"/>
  <c r="D81" i="16"/>
  <c r="D82" i="16"/>
  <c r="E78" i="16" s="1"/>
  <c r="C76" i="16"/>
  <c r="G62" i="16"/>
  <c r="G75" i="16"/>
  <c r="G6" i="16" l="1"/>
  <c r="G5" i="16"/>
  <c r="S5" i="13"/>
  <c r="R22" i="13"/>
  <c r="R38" i="13" s="1"/>
  <c r="R6" i="13"/>
  <c r="P43" i="16"/>
  <c r="P50" i="16" s="1"/>
  <c r="P54" i="16" s="1"/>
  <c r="I43" i="16"/>
  <c r="I50" i="16" s="1"/>
  <c r="I54" i="16" s="1"/>
  <c r="J43" i="16"/>
  <c r="J50" i="16" s="1"/>
  <c r="J54" i="16" s="1"/>
  <c r="O43" i="16"/>
  <c r="O50" i="16" s="1"/>
  <c r="O54" i="16" s="1"/>
  <c r="E43" i="16"/>
  <c r="E50" i="16" s="1"/>
  <c r="E54" i="16" s="1"/>
  <c r="M43" i="16"/>
  <c r="M50" i="16" s="1"/>
  <c r="M54" i="16" s="1"/>
  <c r="G43" i="16"/>
  <c r="G50" i="16" s="1"/>
  <c r="N43" i="16"/>
  <c r="N50" i="16" s="1"/>
  <c r="N54" i="16" s="1"/>
  <c r="K43" i="16"/>
  <c r="K50" i="16" s="1"/>
  <c r="K54" i="16" s="1"/>
  <c r="F7" i="16"/>
  <c r="G7" i="16"/>
  <c r="H5" i="16"/>
  <c r="H75" i="16"/>
  <c r="H74" i="16"/>
  <c r="G76" i="16"/>
  <c r="H61" i="16"/>
  <c r="G63" i="16"/>
  <c r="H62" i="16"/>
  <c r="L43" i="16"/>
  <c r="L50" i="16" s="1"/>
  <c r="L54" i="16" s="1"/>
  <c r="H43" i="16"/>
  <c r="H50" i="16" s="1"/>
  <c r="H54" i="16" s="1"/>
  <c r="H6" i="16" l="1"/>
  <c r="T5" i="13"/>
  <c r="S22" i="13"/>
  <c r="S38" i="13" s="1"/>
  <c r="S6" i="13"/>
  <c r="G54" i="16"/>
  <c r="I62" i="16"/>
  <c r="H63" i="16"/>
  <c r="I61" i="16"/>
  <c r="I75" i="16"/>
  <c r="I74" i="16"/>
  <c r="H76" i="16"/>
  <c r="E58" i="16"/>
  <c r="F56" i="16" s="1"/>
  <c r="I6" i="16" l="1"/>
  <c r="I5" i="16"/>
  <c r="H7" i="16"/>
  <c r="U5" i="13"/>
  <c r="T22" i="13"/>
  <c r="T38" i="13" s="1"/>
  <c r="T6" i="13"/>
  <c r="J74" i="16"/>
  <c r="I76" i="16"/>
  <c r="J75" i="16"/>
  <c r="J61" i="16"/>
  <c r="J62" i="16"/>
  <c r="I63" i="16"/>
  <c r="I7" i="16" l="1"/>
  <c r="J5" i="16"/>
  <c r="J6" i="16"/>
  <c r="V5" i="13"/>
  <c r="U22" i="13"/>
  <c r="U38" i="13" s="1"/>
  <c r="U6" i="13"/>
  <c r="J76" i="16"/>
  <c r="K75" i="16"/>
  <c r="K74" i="16"/>
  <c r="J63" i="16"/>
  <c r="K62" i="16"/>
  <c r="K61" i="16"/>
  <c r="K6" i="16" l="1"/>
  <c r="K5" i="16"/>
  <c r="J7" i="16"/>
  <c r="W5" i="13"/>
  <c r="V22" i="13"/>
  <c r="V38" i="13" s="1"/>
  <c r="V6" i="13"/>
  <c r="L61" i="16"/>
  <c r="K63" i="16"/>
  <c r="L62" i="16"/>
  <c r="L75" i="16"/>
  <c r="L74" i="16"/>
  <c r="K76" i="16"/>
  <c r="L5" i="16" l="1"/>
  <c r="K7" i="16"/>
  <c r="L6" i="16"/>
  <c r="X5" i="13"/>
  <c r="W22" i="13"/>
  <c r="W38" i="13" s="1"/>
  <c r="W6" i="13"/>
  <c r="M62" i="16"/>
  <c r="L63" i="16"/>
  <c r="M61" i="16"/>
  <c r="M75" i="16"/>
  <c r="M74" i="16"/>
  <c r="L76" i="16"/>
  <c r="M5" i="16" l="1"/>
  <c r="L7" i="16"/>
  <c r="M6" i="16"/>
  <c r="Y5" i="13"/>
  <c r="X22" i="13"/>
  <c r="X38" i="13" s="1"/>
  <c r="X6" i="13"/>
  <c r="N61" i="16"/>
  <c r="N62" i="16"/>
  <c r="M63" i="16"/>
  <c r="N74" i="16"/>
  <c r="M76" i="16"/>
  <c r="N75" i="16"/>
  <c r="M7" i="16" l="1"/>
  <c r="N6" i="16"/>
  <c r="N5" i="16"/>
  <c r="Z5" i="13"/>
  <c r="Y22" i="13"/>
  <c r="Y38" i="13" s="1"/>
  <c r="Y6" i="13"/>
  <c r="N76" i="16"/>
  <c r="O75" i="16"/>
  <c r="O74" i="16"/>
  <c r="N63" i="16"/>
  <c r="O62" i="16"/>
  <c r="O61" i="16"/>
  <c r="O5" i="16" l="1"/>
  <c r="N7" i="16"/>
  <c r="O6" i="16"/>
  <c r="AA5" i="13"/>
  <c r="Z22" i="13"/>
  <c r="Z38" i="13" s="1"/>
  <c r="Z6" i="13"/>
  <c r="P75" i="16"/>
  <c r="P74" i="16"/>
  <c r="O76" i="16"/>
  <c r="P61" i="16"/>
  <c r="O63" i="16"/>
  <c r="P62" i="16"/>
  <c r="P6" i="16" l="1"/>
  <c r="O7" i="16"/>
  <c r="P5" i="16"/>
  <c r="AB5" i="13"/>
  <c r="AA22" i="13"/>
  <c r="AA38" i="13" s="1"/>
  <c r="AA6" i="13"/>
  <c r="Q62" i="16"/>
  <c r="P63" i="16"/>
  <c r="Q61" i="16"/>
  <c r="Q75" i="16"/>
  <c r="Q74" i="16"/>
  <c r="P76" i="16"/>
  <c r="F65" i="16"/>
  <c r="P7" i="16" l="1"/>
  <c r="AC5" i="13"/>
  <c r="AB22" i="13"/>
  <c r="AB38" i="13" s="1"/>
  <c r="AB6" i="13"/>
  <c r="R74" i="16"/>
  <c r="Q76" i="16"/>
  <c r="R75" i="16"/>
  <c r="E81" i="16"/>
  <c r="E82" i="16" s="1"/>
  <c r="F78" i="16" s="1"/>
  <c r="F68" i="16"/>
  <c r="R61" i="16"/>
  <c r="R62" i="16"/>
  <c r="Q63" i="16"/>
  <c r="AC22" i="13" l="1"/>
  <c r="AC38" i="13" s="1"/>
  <c r="AC6" i="13"/>
  <c r="R63" i="16"/>
  <c r="S62" i="16"/>
  <c r="S61" i="16"/>
  <c r="R76" i="16"/>
  <c r="S75" i="16"/>
  <c r="S74" i="16"/>
  <c r="T61" i="16" l="1"/>
  <c r="S63" i="16"/>
  <c r="T62" i="16"/>
  <c r="T75" i="16"/>
  <c r="T74" i="16"/>
  <c r="S76" i="16"/>
  <c r="U75" i="16" l="1"/>
  <c r="U74" i="16"/>
  <c r="T76" i="16"/>
  <c r="U62" i="16"/>
  <c r="T63" i="16"/>
  <c r="U61" i="16"/>
  <c r="V61" i="16" l="1"/>
  <c r="V62" i="16"/>
  <c r="U63" i="16"/>
  <c r="V74" i="16"/>
  <c r="U76" i="16"/>
  <c r="V75" i="16"/>
  <c r="V63" i="16" l="1"/>
  <c r="W62" i="16"/>
  <c r="W61" i="16"/>
  <c r="V76" i="16"/>
  <c r="W75" i="16"/>
  <c r="W74" i="16"/>
  <c r="X61" i="16" l="1"/>
  <c r="W63" i="16"/>
  <c r="X62" i="16"/>
  <c r="X75" i="16"/>
  <c r="X74" i="16"/>
  <c r="W76" i="16"/>
  <c r="Y75" i="16" l="1"/>
  <c r="Y74" i="16"/>
  <c r="X76" i="16"/>
  <c r="Y62" i="16"/>
  <c r="X63" i="16"/>
  <c r="Y61" i="16"/>
  <c r="Z61" i="16" l="1"/>
  <c r="Z62" i="16"/>
  <c r="Y63" i="16"/>
  <c r="Z74" i="16"/>
  <c r="Y76" i="16"/>
  <c r="Z75" i="16"/>
  <c r="Z76" i="16" l="1"/>
  <c r="AA75" i="16"/>
  <c r="AA74" i="16"/>
  <c r="Z63" i="16"/>
  <c r="AA62" i="16"/>
  <c r="AA61" i="16"/>
  <c r="AB61" i="16" l="1"/>
  <c r="AA63" i="16"/>
  <c r="AB62" i="16"/>
  <c r="AB63" i="16" s="1"/>
  <c r="AB75" i="16"/>
  <c r="AB76" i="16" s="1"/>
  <c r="AB74" i="16"/>
  <c r="AA76" i="16"/>
  <c r="F11" i="2" l="1"/>
  <c r="B11" i="2"/>
  <c r="AB189" i="12"/>
  <c r="AA189" i="12"/>
  <c r="C94" i="14" l="1"/>
  <c r="C81" i="14"/>
  <c r="C75" i="14"/>
  <c r="C69" i="14"/>
  <c r="D51" i="14"/>
  <c r="D49" i="14"/>
  <c r="D48" i="14"/>
  <c r="D46" i="14"/>
  <c r="D39" i="14"/>
  <c r="D38" i="14"/>
  <c r="D37" i="14"/>
  <c r="D36" i="14"/>
  <c r="D35" i="14"/>
  <c r="D34" i="14"/>
  <c r="D33" i="14"/>
  <c r="D32" i="14"/>
  <c r="D31" i="14"/>
  <c r="C18" i="14"/>
  <c r="C8" i="14"/>
  <c r="C7" i="14"/>
  <c r="C83" i="13"/>
  <c r="B54" i="13"/>
  <c r="B40" i="13"/>
  <c r="AC32" i="13"/>
  <c r="AB32" i="13"/>
  <c r="AA32" i="13"/>
  <c r="Z32" i="13"/>
  <c r="Y32" i="13"/>
  <c r="X32" i="13"/>
  <c r="W32" i="13"/>
  <c r="V32" i="13"/>
  <c r="U32" i="13"/>
  <c r="T32" i="13"/>
  <c r="S32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18" i="13"/>
  <c r="D17" i="13"/>
  <c r="D16" i="13"/>
  <c r="D15" i="13"/>
  <c r="D14" i="13"/>
  <c r="D12" i="13"/>
  <c r="C12" i="13"/>
  <c r="D8" i="13"/>
  <c r="D7" i="13"/>
  <c r="C7" i="13"/>
  <c r="C412" i="12"/>
  <c r="C411" i="12"/>
  <c r="D409" i="12"/>
  <c r="D408" i="12"/>
  <c r="G404" i="12"/>
  <c r="H404" i="12" s="1"/>
  <c r="I404" i="12" s="1"/>
  <c r="J404" i="12" s="1"/>
  <c r="K404" i="12" s="1"/>
  <c r="L404" i="12" s="1"/>
  <c r="M404" i="12" s="1"/>
  <c r="N404" i="12" s="1"/>
  <c r="O404" i="12" s="1"/>
  <c r="P404" i="12" s="1"/>
  <c r="Q404" i="12" s="1"/>
  <c r="R404" i="12" s="1"/>
  <c r="S404" i="12" s="1"/>
  <c r="T404" i="12" s="1"/>
  <c r="U404" i="12" s="1"/>
  <c r="V404" i="12" s="1"/>
  <c r="W404" i="12" s="1"/>
  <c r="X404" i="12" s="1"/>
  <c r="D404" i="12"/>
  <c r="G399" i="12"/>
  <c r="H399" i="12" s="1"/>
  <c r="I399" i="12" s="1"/>
  <c r="J399" i="12" s="1"/>
  <c r="K399" i="12" s="1"/>
  <c r="L399" i="12" s="1"/>
  <c r="M399" i="12" s="1"/>
  <c r="N399" i="12" s="1"/>
  <c r="O399" i="12" s="1"/>
  <c r="P399" i="12" s="1"/>
  <c r="Q399" i="12" s="1"/>
  <c r="R399" i="12" s="1"/>
  <c r="S399" i="12" s="1"/>
  <c r="T399" i="12" s="1"/>
  <c r="U399" i="12" s="1"/>
  <c r="V399" i="12" s="1"/>
  <c r="W399" i="12" s="1"/>
  <c r="X399" i="12" s="1"/>
  <c r="D399" i="12"/>
  <c r="J394" i="12"/>
  <c r="K394" i="12" s="1"/>
  <c r="L394" i="12" s="1"/>
  <c r="M394" i="12" s="1"/>
  <c r="N394" i="12" s="1"/>
  <c r="O394" i="12" s="1"/>
  <c r="P394" i="12" s="1"/>
  <c r="Q394" i="12" s="1"/>
  <c r="R394" i="12" s="1"/>
  <c r="S394" i="12" s="1"/>
  <c r="T394" i="12" s="1"/>
  <c r="U394" i="12" s="1"/>
  <c r="V394" i="12" s="1"/>
  <c r="W394" i="12" s="1"/>
  <c r="X394" i="12" s="1"/>
  <c r="D394" i="12"/>
  <c r="D390" i="12"/>
  <c r="J389" i="12" s="1"/>
  <c r="K389" i="12" s="1"/>
  <c r="L389" i="12" s="1"/>
  <c r="M389" i="12" s="1"/>
  <c r="N389" i="12" s="1"/>
  <c r="O389" i="12" s="1"/>
  <c r="P389" i="12" s="1"/>
  <c r="Q389" i="12" s="1"/>
  <c r="R389" i="12" s="1"/>
  <c r="S389" i="12" s="1"/>
  <c r="T389" i="12" s="1"/>
  <c r="U389" i="12" s="1"/>
  <c r="V389" i="12" s="1"/>
  <c r="W389" i="12" s="1"/>
  <c r="X389" i="12" s="1"/>
  <c r="X382" i="12"/>
  <c r="W382" i="12"/>
  <c r="V382" i="12"/>
  <c r="U382" i="12"/>
  <c r="T382" i="12"/>
  <c r="S382" i="12"/>
  <c r="R382" i="12"/>
  <c r="Q382" i="12"/>
  <c r="P382" i="12"/>
  <c r="O382" i="12"/>
  <c r="N382" i="12"/>
  <c r="M382" i="12"/>
  <c r="L382" i="12"/>
  <c r="K382" i="12"/>
  <c r="J382" i="12"/>
  <c r="I382" i="12"/>
  <c r="H382" i="12"/>
  <c r="G382" i="12"/>
  <c r="X380" i="12"/>
  <c r="W380" i="12"/>
  <c r="V380" i="12"/>
  <c r="U380" i="12"/>
  <c r="T380" i="12"/>
  <c r="S380" i="12"/>
  <c r="R380" i="12"/>
  <c r="Q380" i="12"/>
  <c r="P380" i="12"/>
  <c r="O380" i="12"/>
  <c r="N380" i="12"/>
  <c r="M380" i="12"/>
  <c r="L380" i="12"/>
  <c r="K380" i="12"/>
  <c r="J380" i="12"/>
  <c r="I380" i="12"/>
  <c r="I381" i="12" s="1"/>
  <c r="H380" i="12"/>
  <c r="H381" i="12" s="1"/>
  <c r="G380" i="12"/>
  <c r="G381" i="12" s="1"/>
  <c r="F380" i="12"/>
  <c r="F381" i="12" s="1"/>
  <c r="E380" i="12"/>
  <c r="E381" i="12" s="1"/>
  <c r="D371" i="12"/>
  <c r="D355" i="12"/>
  <c r="D354" i="12"/>
  <c r="D346" i="12"/>
  <c r="D345" i="12"/>
  <c r="D344" i="12"/>
  <c r="D321" i="12"/>
  <c r="D322" i="12" s="1"/>
  <c r="D313" i="12"/>
  <c r="D375" i="12" s="1"/>
  <c r="D312" i="12"/>
  <c r="C185" i="12"/>
  <c r="D185" i="12" s="1"/>
  <c r="C175" i="12"/>
  <c r="D175" i="12" s="1"/>
  <c r="C167" i="12"/>
  <c r="D165" i="12"/>
  <c r="D167" i="12" s="1"/>
  <c r="D156" i="12"/>
  <c r="D155" i="12"/>
  <c r="D151" i="12"/>
  <c r="D150" i="12"/>
  <c r="C133" i="12"/>
  <c r="E121" i="12"/>
  <c r="F121" i="12" s="1"/>
  <c r="E116" i="12"/>
  <c r="F116" i="12" s="1"/>
  <c r="K82" i="12"/>
  <c r="K81" i="12"/>
  <c r="K74" i="12"/>
  <c r="K73" i="12"/>
  <c r="D73" i="12"/>
  <c r="D75" i="12" s="1"/>
  <c r="K72" i="12"/>
  <c r="C64" i="12"/>
  <c r="C62" i="12"/>
  <c r="D49" i="12"/>
  <c r="C60" i="12" s="1"/>
  <c r="D44" i="12"/>
  <c r="D42" i="12"/>
  <c r="D46" i="12" s="1"/>
  <c r="E36" i="12"/>
  <c r="B41" i="13" s="1"/>
  <c r="I35" i="12"/>
  <c r="C30" i="12"/>
  <c r="E23" i="13" s="1"/>
  <c r="C29" i="12"/>
  <c r="D29" i="12" s="1"/>
  <c r="E29" i="12" s="1"/>
  <c r="F29" i="12" s="1"/>
  <c r="G29" i="12" s="1"/>
  <c r="H29" i="12" s="1"/>
  <c r="I29" i="12" s="1"/>
  <c r="J29" i="12" s="1"/>
  <c r="K29" i="12" s="1"/>
  <c r="L29" i="12" s="1"/>
  <c r="M29" i="12" s="1"/>
  <c r="N29" i="12" s="1"/>
  <c r="O29" i="12" s="1"/>
  <c r="P29" i="12" s="1"/>
  <c r="Q29" i="12" s="1"/>
  <c r="R29" i="12" s="1"/>
  <c r="S29" i="12" s="1"/>
  <c r="T29" i="12" s="1"/>
  <c r="U29" i="12" s="1"/>
  <c r="V29" i="12" s="1"/>
  <c r="W29" i="12" s="1"/>
  <c r="X29" i="12" s="1"/>
  <c r="Y29" i="12" s="1"/>
  <c r="Z29" i="12" s="1"/>
  <c r="AA29" i="12" s="1"/>
  <c r="G25" i="12"/>
  <c r="G26" i="12" s="1"/>
  <c r="F23" i="12"/>
  <c r="F24" i="12" s="1"/>
  <c r="C9" i="12"/>
  <c r="C8" i="12"/>
  <c r="D40" i="14" l="1"/>
  <c r="D41" i="14" s="1"/>
  <c r="D42" i="14" s="1"/>
  <c r="C9" i="14"/>
  <c r="D32" i="13"/>
  <c r="K75" i="12"/>
  <c r="C177" i="12"/>
  <c r="C187" i="12"/>
  <c r="C189" i="12" s="1"/>
  <c r="J408" i="12"/>
  <c r="N408" i="12"/>
  <c r="R408" i="12"/>
  <c r="V408" i="12"/>
  <c r="L403" i="12"/>
  <c r="L405" i="12" s="1"/>
  <c r="P403" i="12"/>
  <c r="P405" i="12" s="1"/>
  <c r="T403" i="12"/>
  <c r="T405" i="12" s="1"/>
  <c r="X403" i="12"/>
  <c r="X405" i="12" s="1"/>
  <c r="D177" i="12"/>
  <c r="E175" i="12"/>
  <c r="F175" i="12" s="1"/>
  <c r="G175" i="12" s="1"/>
  <c r="M408" i="12"/>
  <c r="Q408" i="12"/>
  <c r="U408" i="12"/>
  <c r="X393" i="12"/>
  <c r="X395" i="12" s="1"/>
  <c r="D30" i="12"/>
  <c r="F23" i="13" s="1"/>
  <c r="F27" i="13" s="1"/>
  <c r="F29" i="13" s="1"/>
  <c r="D347" i="12"/>
  <c r="D348" i="12" s="1"/>
  <c r="D349" i="12" s="1"/>
  <c r="X407" i="12"/>
  <c r="K408" i="12"/>
  <c r="O408" i="12"/>
  <c r="S408" i="12"/>
  <c r="W408" i="12"/>
  <c r="W398" i="12"/>
  <c r="W400" i="12" s="1"/>
  <c r="G27" i="12"/>
  <c r="B10" i="13" s="1"/>
  <c r="Y26" i="13" s="1"/>
  <c r="J393" i="12"/>
  <c r="J395" i="12" s="1"/>
  <c r="N393" i="12"/>
  <c r="N395" i="12" s="1"/>
  <c r="R393" i="12"/>
  <c r="R395" i="12" s="1"/>
  <c r="V393" i="12"/>
  <c r="V395" i="12" s="1"/>
  <c r="C84" i="13"/>
  <c r="C97" i="13"/>
  <c r="D83" i="13"/>
  <c r="E83" i="13" s="1"/>
  <c r="D82" i="13"/>
  <c r="I36" i="12"/>
  <c r="C100" i="13" s="1"/>
  <c r="D101" i="13" s="1"/>
  <c r="D54" i="12"/>
  <c r="F25" i="12"/>
  <c r="F26" i="12" s="1"/>
  <c r="D76" i="12"/>
  <c r="D77" i="12" s="1"/>
  <c r="K76" i="12"/>
  <c r="K77" i="12" s="1"/>
  <c r="E27" i="13"/>
  <c r="E29" i="13" s="1"/>
  <c r="AB182" i="12"/>
  <c r="AA182" i="12"/>
  <c r="D50" i="12"/>
  <c r="AB181" i="12"/>
  <c r="AA181" i="12"/>
  <c r="E165" i="12"/>
  <c r="D323" i="12"/>
  <c r="D324" i="12" s="1"/>
  <c r="AB171" i="12"/>
  <c r="AA171" i="12"/>
  <c r="AB172" i="12"/>
  <c r="AA172" i="12"/>
  <c r="D187" i="12"/>
  <c r="D189" i="12" s="1"/>
  <c r="F15" i="5" s="1"/>
  <c r="E185" i="12"/>
  <c r="M381" i="12"/>
  <c r="Q381" i="12"/>
  <c r="U381" i="12"/>
  <c r="L393" i="12"/>
  <c r="L395" i="12" s="1"/>
  <c r="P393" i="12"/>
  <c r="P395" i="12" s="1"/>
  <c r="T393" i="12"/>
  <c r="T395" i="12" s="1"/>
  <c r="J398" i="12"/>
  <c r="J400" i="12" s="1"/>
  <c r="N398" i="12"/>
  <c r="N400" i="12" s="1"/>
  <c r="R398" i="12"/>
  <c r="R400" i="12" s="1"/>
  <c r="V398" i="12"/>
  <c r="V400" i="12" s="1"/>
  <c r="M403" i="12"/>
  <c r="M405" i="12" s="1"/>
  <c r="Q403" i="12"/>
  <c r="Q405" i="12" s="1"/>
  <c r="U403" i="12"/>
  <c r="U405" i="12" s="1"/>
  <c r="L407" i="12"/>
  <c r="P407" i="12"/>
  <c r="T407" i="12"/>
  <c r="L408" i="12"/>
  <c r="P408" i="12"/>
  <c r="T408" i="12"/>
  <c r="X408" i="12"/>
  <c r="D10" i="13"/>
  <c r="D24" i="13"/>
  <c r="J381" i="12"/>
  <c r="N381" i="12"/>
  <c r="R381" i="12"/>
  <c r="V381" i="12"/>
  <c r="M393" i="12"/>
  <c r="M395" i="12" s="1"/>
  <c r="Q393" i="12"/>
  <c r="Q395" i="12" s="1"/>
  <c r="U393" i="12"/>
  <c r="U395" i="12" s="1"/>
  <c r="K398" i="12"/>
  <c r="K400" i="12" s="1"/>
  <c r="O398" i="12"/>
  <c r="O400" i="12" s="1"/>
  <c r="S398" i="12"/>
  <c r="S400" i="12" s="1"/>
  <c r="J403" i="12"/>
  <c r="J405" i="12" s="1"/>
  <c r="N403" i="12"/>
  <c r="N405" i="12" s="1"/>
  <c r="R403" i="12"/>
  <c r="R405" i="12" s="1"/>
  <c r="V403" i="12"/>
  <c r="V405" i="12" s="1"/>
  <c r="M407" i="12"/>
  <c r="Q407" i="12"/>
  <c r="U407" i="12"/>
  <c r="D9" i="13"/>
  <c r="K381" i="12"/>
  <c r="O381" i="12"/>
  <c r="S381" i="12"/>
  <c r="W381" i="12"/>
  <c r="L398" i="12"/>
  <c r="L400" i="12" s="1"/>
  <c r="P398" i="12"/>
  <c r="P400" i="12" s="1"/>
  <c r="T398" i="12"/>
  <c r="T400" i="12" s="1"/>
  <c r="X398" i="12"/>
  <c r="X400" i="12" s="1"/>
  <c r="K403" i="12"/>
  <c r="K405" i="12" s="1"/>
  <c r="O403" i="12"/>
  <c r="O405" i="12" s="1"/>
  <c r="S403" i="12"/>
  <c r="S405" i="12" s="1"/>
  <c r="W403" i="12"/>
  <c r="W405" i="12" s="1"/>
  <c r="J407" i="12"/>
  <c r="N407" i="12"/>
  <c r="R407" i="12"/>
  <c r="V407" i="12"/>
  <c r="Z28" i="13"/>
  <c r="V28" i="13"/>
  <c r="R28" i="13"/>
  <c r="N28" i="13"/>
  <c r="J28" i="13"/>
  <c r="AC28" i="13"/>
  <c r="Y28" i="13"/>
  <c r="U28" i="13"/>
  <c r="Q28" i="13"/>
  <c r="M28" i="13"/>
  <c r="I28" i="13"/>
  <c r="AB28" i="13"/>
  <c r="X28" i="13"/>
  <c r="T28" i="13"/>
  <c r="P28" i="13"/>
  <c r="L28" i="13"/>
  <c r="H28" i="13"/>
  <c r="AA28" i="13"/>
  <c r="W28" i="13"/>
  <c r="S28" i="13"/>
  <c r="O28" i="13"/>
  <c r="K28" i="13"/>
  <c r="L381" i="12"/>
  <c r="P381" i="12"/>
  <c r="T381" i="12"/>
  <c r="X381" i="12"/>
  <c r="K393" i="12"/>
  <c r="K395" i="12" s="1"/>
  <c r="O393" i="12"/>
  <c r="O395" i="12" s="1"/>
  <c r="S393" i="12"/>
  <c r="S395" i="12" s="1"/>
  <c r="W393" i="12"/>
  <c r="W395" i="12" s="1"/>
  <c r="M398" i="12"/>
  <c r="M400" i="12" s="1"/>
  <c r="Q398" i="12"/>
  <c r="Q400" i="12" s="1"/>
  <c r="U398" i="12"/>
  <c r="U400" i="12" s="1"/>
  <c r="K407" i="12"/>
  <c r="O407" i="12"/>
  <c r="S407" i="12"/>
  <c r="W407" i="12"/>
  <c r="W26" i="13" l="1"/>
  <c r="T26" i="13"/>
  <c r="V26" i="13"/>
  <c r="G26" i="13"/>
  <c r="E30" i="12"/>
  <c r="S26" i="13"/>
  <c r="R26" i="13"/>
  <c r="O26" i="13"/>
  <c r="N26" i="13"/>
  <c r="AA26" i="13"/>
  <c r="K26" i="13"/>
  <c r="Z26" i="13"/>
  <c r="J26" i="13"/>
  <c r="H26" i="13"/>
  <c r="X26" i="13"/>
  <c r="Q26" i="13"/>
  <c r="M26" i="13"/>
  <c r="C10" i="13"/>
  <c r="U26" i="13"/>
  <c r="I26" i="13"/>
  <c r="L26" i="13"/>
  <c r="P26" i="13"/>
  <c r="C98" i="13"/>
  <c r="D97" i="13"/>
  <c r="D96" i="13"/>
  <c r="D84" i="13"/>
  <c r="E82" i="13"/>
  <c r="D327" i="12"/>
  <c r="D330" i="12" s="1"/>
  <c r="D332" i="12" s="1"/>
  <c r="D80" i="12"/>
  <c r="D83" i="12" s="1"/>
  <c r="D85" i="12" s="1"/>
  <c r="D353" i="12"/>
  <c r="D356" i="12" s="1"/>
  <c r="D358" i="12" s="1"/>
  <c r="K80" i="12"/>
  <c r="K83" i="12" s="1"/>
  <c r="K85" i="12" s="1"/>
  <c r="F165" i="12"/>
  <c r="C62" i="14" s="1"/>
  <c r="C63" i="14" s="1"/>
  <c r="E54" i="12"/>
  <c r="H175" i="12"/>
  <c r="G23" i="13"/>
  <c r="F30" i="12"/>
  <c r="F27" i="12"/>
  <c r="B9" i="13" s="1"/>
  <c r="C9" i="13" s="1"/>
  <c r="F83" i="13"/>
  <c r="E84" i="13"/>
  <c r="F82" i="13"/>
  <c r="D28" i="13"/>
  <c r="C11" i="13" l="1"/>
  <c r="C13" i="13" s="1"/>
  <c r="D26" i="13"/>
  <c r="D98" i="13"/>
  <c r="E96" i="13"/>
  <c r="E97" i="13"/>
  <c r="D335" i="12"/>
  <c r="D338" i="12"/>
  <c r="D334" i="12"/>
  <c r="D386" i="12"/>
  <c r="J385" i="12" s="1"/>
  <c r="K385" i="12" s="1"/>
  <c r="L385" i="12" s="1"/>
  <c r="M385" i="12" s="1"/>
  <c r="N385" i="12" s="1"/>
  <c r="O385" i="12" s="1"/>
  <c r="P385" i="12" s="1"/>
  <c r="Q385" i="12" s="1"/>
  <c r="R385" i="12" s="1"/>
  <c r="S385" i="12" s="1"/>
  <c r="T385" i="12" s="1"/>
  <c r="U385" i="12" s="1"/>
  <c r="V385" i="12" s="1"/>
  <c r="W385" i="12" s="1"/>
  <c r="X385" i="12" s="1"/>
  <c r="D337" i="12"/>
  <c r="D336" i="12"/>
  <c r="D91" i="12"/>
  <c r="D89" i="12"/>
  <c r="D92" i="12"/>
  <c r="D90" i="12"/>
  <c r="D88" i="12"/>
  <c r="F54" i="12"/>
  <c r="G165" i="12"/>
  <c r="G185" i="12"/>
  <c r="H23" i="13"/>
  <c r="G30" i="12"/>
  <c r="I175" i="12"/>
  <c r="D363" i="12"/>
  <c r="D362" i="12"/>
  <c r="D391" i="12"/>
  <c r="J390" i="12" s="1"/>
  <c r="K390" i="12" s="1"/>
  <c r="L390" i="12" s="1"/>
  <c r="M390" i="12" s="1"/>
  <c r="N390" i="12" s="1"/>
  <c r="O390" i="12" s="1"/>
  <c r="P390" i="12" s="1"/>
  <c r="Q390" i="12" s="1"/>
  <c r="R390" i="12" s="1"/>
  <c r="S390" i="12" s="1"/>
  <c r="T390" i="12" s="1"/>
  <c r="U390" i="12" s="1"/>
  <c r="V390" i="12" s="1"/>
  <c r="W390" i="12" s="1"/>
  <c r="X390" i="12" s="1"/>
  <c r="D361" i="12"/>
  <c r="D364" i="12"/>
  <c r="D360" i="12"/>
  <c r="K92" i="12"/>
  <c r="K88" i="12"/>
  <c r="K91" i="12"/>
  <c r="K90" i="12"/>
  <c r="K89" i="12"/>
  <c r="G83" i="13"/>
  <c r="F84" i="13"/>
  <c r="G82" i="13"/>
  <c r="G25" i="13"/>
  <c r="E98" i="13" l="1"/>
  <c r="F97" i="13"/>
  <c r="F96" i="13"/>
  <c r="K93" i="12"/>
  <c r="K95" i="12" s="1"/>
  <c r="H25" i="13"/>
  <c r="H27" i="13" s="1"/>
  <c r="H29" i="13" s="1"/>
  <c r="H165" i="12"/>
  <c r="G54" i="12"/>
  <c r="D93" i="12"/>
  <c r="D95" i="12" s="1"/>
  <c r="H185" i="12"/>
  <c r="D339" i="12"/>
  <c r="D317" i="12" s="1"/>
  <c r="G27" i="13"/>
  <c r="G29" i="13" s="1"/>
  <c r="H83" i="13"/>
  <c r="G84" i="13"/>
  <c r="H82" i="13"/>
  <c r="D365" i="12"/>
  <c r="D341" i="12" s="1"/>
  <c r="I23" i="13"/>
  <c r="H30" i="12"/>
  <c r="J175" i="12"/>
  <c r="F98" i="13" l="1"/>
  <c r="G96" i="13"/>
  <c r="G97" i="13"/>
  <c r="J23" i="13"/>
  <c r="I30" i="12"/>
  <c r="I25" i="13"/>
  <c r="I27" i="13" s="1"/>
  <c r="I29" i="13" s="1"/>
  <c r="I165" i="12"/>
  <c r="H84" i="13"/>
  <c r="I83" i="13"/>
  <c r="I82" i="13"/>
  <c r="K175" i="12"/>
  <c r="I185" i="12"/>
  <c r="H54" i="12"/>
  <c r="H85" i="13" l="1"/>
  <c r="H97" i="13"/>
  <c r="H96" i="13"/>
  <c r="G98" i="13"/>
  <c r="L175" i="12"/>
  <c r="J165" i="12"/>
  <c r="J185" i="12"/>
  <c r="K23" i="13"/>
  <c r="J30" i="12"/>
  <c r="I54" i="12"/>
  <c r="J25" i="13"/>
  <c r="J27" i="13" s="1"/>
  <c r="J29" i="13" s="1"/>
  <c r="J83" i="13"/>
  <c r="I84" i="13"/>
  <c r="J82" i="13"/>
  <c r="I85" i="13" l="1"/>
  <c r="H98" i="13"/>
  <c r="I96" i="13"/>
  <c r="I97" i="13"/>
  <c r="K83" i="13"/>
  <c r="J84" i="13"/>
  <c r="K82" i="13"/>
  <c r="J54" i="12"/>
  <c r="K165" i="12"/>
  <c r="L23" i="13"/>
  <c r="K30" i="12"/>
  <c r="K25" i="13"/>
  <c r="K27" i="13" s="1"/>
  <c r="K29" i="13" s="1"/>
  <c r="K185" i="12"/>
  <c r="M175" i="12"/>
  <c r="J85" i="13" l="1"/>
  <c r="I98" i="13"/>
  <c r="J96" i="13"/>
  <c r="J97" i="13"/>
  <c r="L25" i="13"/>
  <c r="L27" i="13" s="1"/>
  <c r="L29" i="13" s="1"/>
  <c r="L165" i="12"/>
  <c r="N175" i="12"/>
  <c r="L185" i="12"/>
  <c r="K54" i="12"/>
  <c r="K85" i="13" s="1"/>
  <c r="M23" i="13"/>
  <c r="L30" i="12"/>
  <c r="L83" i="13"/>
  <c r="K84" i="13"/>
  <c r="L82" i="13"/>
  <c r="J98" i="13" l="1"/>
  <c r="K97" i="13"/>
  <c r="K96" i="13"/>
  <c r="L84" i="13"/>
  <c r="M83" i="13"/>
  <c r="M82" i="13"/>
  <c r="M25" i="13"/>
  <c r="M27" i="13" s="1"/>
  <c r="M29" i="13" s="1"/>
  <c r="L54" i="12"/>
  <c r="M185" i="12"/>
  <c r="M165" i="12"/>
  <c r="N23" i="13"/>
  <c r="M30" i="12"/>
  <c r="O175" i="12"/>
  <c r="L85" i="13" l="1"/>
  <c r="K98" i="13"/>
  <c r="L96" i="13"/>
  <c r="L97" i="13"/>
  <c r="M54" i="12"/>
  <c r="N25" i="13"/>
  <c r="N27" i="13" s="1"/>
  <c r="N29" i="13" s="1"/>
  <c r="N185" i="12"/>
  <c r="N83" i="13"/>
  <c r="M84" i="13"/>
  <c r="N82" i="13"/>
  <c r="N165" i="12"/>
  <c r="P175" i="12"/>
  <c r="O23" i="13"/>
  <c r="N30" i="12"/>
  <c r="M85" i="13" l="1"/>
  <c r="M96" i="13"/>
  <c r="L98" i="13"/>
  <c r="M97" i="13"/>
  <c r="O185" i="12"/>
  <c r="O83" i="13"/>
  <c r="N84" i="13"/>
  <c r="O82" i="13"/>
  <c r="O25" i="13"/>
  <c r="O27" i="13" s="1"/>
  <c r="O29" i="13" s="1"/>
  <c r="Q175" i="12"/>
  <c r="O165" i="12"/>
  <c r="P23" i="13"/>
  <c r="O30" i="12"/>
  <c r="N54" i="12"/>
  <c r="N85" i="13" l="1"/>
  <c r="M98" i="13"/>
  <c r="N96" i="13"/>
  <c r="N97" i="13"/>
  <c r="O54" i="12"/>
  <c r="P25" i="13"/>
  <c r="P27" i="13" s="1"/>
  <c r="P29" i="13" s="1"/>
  <c r="R175" i="12"/>
  <c r="Q23" i="13"/>
  <c r="P30" i="12"/>
  <c r="P165" i="12"/>
  <c r="P83" i="13"/>
  <c r="O84" i="13"/>
  <c r="P82" i="13"/>
  <c r="P185" i="12"/>
  <c r="O85" i="13" l="1"/>
  <c r="O96" i="13"/>
  <c r="N98" i="13"/>
  <c r="O97" i="13"/>
  <c r="P84" i="13"/>
  <c r="Q83" i="13"/>
  <c r="Q82" i="13"/>
  <c r="R23" i="13"/>
  <c r="Q30" i="12"/>
  <c r="Q25" i="13"/>
  <c r="Q27" i="13" s="1"/>
  <c r="Q29" i="13" s="1"/>
  <c r="S175" i="12"/>
  <c r="Q185" i="12"/>
  <c r="Q165" i="12"/>
  <c r="P54" i="12"/>
  <c r="P85" i="13" l="1"/>
  <c r="P97" i="13"/>
  <c r="O98" i="13"/>
  <c r="P96" i="13"/>
  <c r="Q54" i="12"/>
  <c r="T175" i="12"/>
  <c r="S23" i="13"/>
  <c r="R30" i="12"/>
  <c r="R83" i="13"/>
  <c r="Q84" i="13"/>
  <c r="R82" i="13"/>
  <c r="R185" i="12"/>
  <c r="R25" i="13"/>
  <c r="R27" i="13" s="1"/>
  <c r="R29" i="13" s="1"/>
  <c r="R165" i="12"/>
  <c r="Q85" i="13" l="1"/>
  <c r="Q97" i="13"/>
  <c r="Q96" i="13"/>
  <c r="P98" i="13"/>
  <c r="S165" i="12"/>
  <c r="T23" i="13"/>
  <c r="S30" i="12"/>
  <c r="R54" i="12"/>
  <c r="S25" i="13"/>
  <c r="S27" i="13" s="1"/>
  <c r="S29" i="13" s="1"/>
  <c r="S185" i="12"/>
  <c r="S83" i="13"/>
  <c r="R84" i="13"/>
  <c r="S82" i="13"/>
  <c r="U175" i="12"/>
  <c r="R85" i="13" l="1"/>
  <c r="Q98" i="13"/>
  <c r="R97" i="13"/>
  <c r="R96" i="13"/>
  <c r="T83" i="13"/>
  <c r="S84" i="13"/>
  <c r="T82" i="13"/>
  <c r="T185" i="12"/>
  <c r="V175" i="12"/>
  <c r="U23" i="13"/>
  <c r="T30" i="12"/>
  <c r="T25" i="13"/>
  <c r="T27" i="13" s="1"/>
  <c r="T29" i="13" s="1"/>
  <c r="T165" i="12"/>
  <c r="S54" i="12"/>
  <c r="S85" i="13" l="1"/>
  <c r="R98" i="13"/>
  <c r="S96" i="13"/>
  <c r="S97" i="13"/>
  <c r="U165" i="12"/>
  <c r="T54" i="12"/>
  <c r="U185" i="12"/>
  <c r="T84" i="13"/>
  <c r="U83" i="13"/>
  <c r="U82" i="13"/>
  <c r="U25" i="13"/>
  <c r="U27" i="13" s="1"/>
  <c r="U29" i="13" s="1"/>
  <c r="V23" i="13"/>
  <c r="U30" i="12"/>
  <c r="W175" i="12"/>
  <c r="T85" i="13" l="1"/>
  <c r="S98" i="13"/>
  <c r="T97" i="13"/>
  <c r="T96" i="13"/>
  <c r="V185" i="12"/>
  <c r="W23" i="13"/>
  <c r="V30" i="12"/>
  <c r="V83" i="13"/>
  <c r="U84" i="13"/>
  <c r="V82" i="13"/>
  <c r="U54" i="12"/>
  <c r="U85" i="13" s="1"/>
  <c r="V165" i="12"/>
  <c r="V25" i="13"/>
  <c r="V27" i="13" s="1"/>
  <c r="V29" i="13" s="1"/>
  <c r="X175" i="12"/>
  <c r="U96" i="13" l="1"/>
  <c r="U97" i="13"/>
  <c r="T98" i="13"/>
  <c r="V54" i="12"/>
  <c r="X23" i="13"/>
  <c r="W30" i="12"/>
  <c r="Y175" i="12"/>
  <c r="W165" i="12"/>
  <c r="W25" i="13"/>
  <c r="W27" i="13" s="1"/>
  <c r="W29" i="13" s="1"/>
  <c r="W83" i="13"/>
  <c r="V84" i="13"/>
  <c r="W82" i="13"/>
  <c r="W185" i="12"/>
  <c r="V85" i="13" l="1"/>
  <c r="U98" i="13"/>
  <c r="V97" i="13"/>
  <c r="V96" i="13"/>
  <c r="X83" i="13"/>
  <c r="W84" i="13"/>
  <c r="X82" i="13"/>
  <c r="X165" i="12"/>
  <c r="X25" i="13"/>
  <c r="X27" i="13" s="1"/>
  <c r="X29" i="13" s="1"/>
  <c r="W54" i="12"/>
  <c r="Z175" i="12"/>
  <c r="X185" i="12"/>
  <c r="Y23" i="13"/>
  <c r="X30" i="12"/>
  <c r="W85" i="13" l="1"/>
  <c r="V98" i="13"/>
  <c r="W96" i="13"/>
  <c r="W97" i="13"/>
  <c r="X84" i="13"/>
  <c r="Y83" i="13"/>
  <c r="Y82" i="13"/>
  <c r="Y185" i="12"/>
  <c r="Z23" i="13"/>
  <c r="Y30" i="12"/>
  <c r="AA175" i="12"/>
  <c r="AB175" i="12" s="1"/>
  <c r="X54" i="12"/>
  <c r="X85" i="13" s="1"/>
  <c r="Y165" i="12"/>
  <c r="Y25" i="13"/>
  <c r="Y27" i="13" s="1"/>
  <c r="Y29" i="13" s="1"/>
  <c r="W98" i="13" l="1"/>
  <c r="X97" i="13"/>
  <c r="X96" i="13"/>
  <c r="Z185" i="12"/>
  <c r="Z83" i="13"/>
  <c r="Y84" i="13"/>
  <c r="Z82" i="13"/>
  <c r="Z165" i="12"/>
  <c r="AA23" i="13"/>
  <c r="Z30" i="12"/>
  <c r="Z25" i="13"/>
  <c r="Z27" i="13" s="1"/>
  <c r="Z29" i="13" s="1"/>
  <c r="Y54" i="12"/>
  <c r="Y85" i="13" l="1"/>
  <c r="X98" i="13"/>
  <c r="Y97" i="13"/>
  <c r="Y96" i="13"/>
  <c r="AB23" i="13"/>
  <c r="AB27" i="13" s="1"/>
  <c r="AB29" i="13" s="1"/>
  <c r="AA30" i="12"/>
  <c r="AA83" i="13"/>
  <c r="Z84" i="13"/>
  <c r="AA82" i="13"/>
  <c r="AA25" i="13"/>
  <c r="D25" i="13" s="1"/>
  <c r="Z54" i="12"/>
  <c r="AA185" i="12"/>
  <c r="AB185" i="12" s="1"/>
  <c r="Z85" i="13" l="1"/>
  <c r="Y98" i="13"/>
  <c r="Z97" i="13"/>
  <c r="Z96" i="13"/>
  <c r="C87" i="14"/>
  <c r="C88" i="14" s="1"/>
  <c r="C98" i="14" s="1"/>
  <c r="C15" i="13" s="1"/>
  <c r="AC23" i="13"/>
  <c r="AA27" i="13"/>
  <c r="AA29" i="13" s="1"/>
  <c r="AA54" i="12"/>
  <c r="AB83" i="13"/>
  <c r="AA84" i="13"/>
  <c r="AB82" i="13"/>
  <c r="AA85" i="13" l="1"/>
  <c r="Z98" i="13"/>
  <c r="AA96" i="13"/>
  <c r="AA97" i="13"/>
  <c r="AB84" i="13"/>
  <c r="AC83" i="13"/>
  <c r="AC82" i="13"/>
  <c r="AB54" i="12"/>
  <c r="AC27" i="13"/>
  <c r="AC29" i="13" s="1"/>
  <c r="D23" i="13"/>
  <c r="Z31" i="13"/>
  <c r="V31" i="13"/>
  <c r="R31" i="13"/>
  <c r="N31" i="13"/>
  <c r="J31" i="13"/>
  <c r="F31" i="13"/>
  <c r="AC31" i="13"/>
  <c r="Y31" i="13"/>
  <c r="U31" i="13"/>
  <c r="Q31" i="13"/>
  <c r="M31" i="13"/>
  <c r="I31" i="13"/>
  <c r="E31" i="13"/>
  <c r="AB31" i="13"/>
  <c r="X31" i="13"/>
  <c r="T31" i="13"/>
  <c r="P31" i="13"/>
  <c r="L31" i="13"/>
  <c r="H31" i="13"/>
  <c r="AA31" i="13"/>
  <c r="W31" i="13"/>
  <c r="S31" i="13"/>
  <c r="O31" i="13"/>
  <c r="K31" i="13"/>
  <c r="G31" i="13"/>
  <c r="AB85" i="13" l="1"/>
  <c r="AA98" i="13"/>
  <c r="AB97" i="13"/>
  <c r="AB96" i="13"/>
  <c r="AC54" i="12"/>
  <c r="AD83" i="13"/>
  <c r="AC84" i="13"/>
  <c r="AD82" i="13"/>
  <c r="D31" i="13"/>
  <c r="C13" i="14"/>
  <c r="C20" i="14" s="1"/>
  <c r="D27" i="13"/>
  <c r="D29" i="13" s="1"/>
  <c r="AC85" i="13" l="1"/>
  <c r="AC96" i="13"/>
  <c r="AC97" i="13"/>
  <c r="AB98" i="13"/>
  <c r="C103" i="14"/>
  <c r="C33" i="13"/>
  <c r="C30" i="13"/>
  <c r="C31" i="13"/>
  <c r="AD54" i="12"/>
  <c r="AE83" i="13"/>
  <c r="AD84" i="13"/>
  <c r="AE82" i="13"/>
  <c r="AD85" i="13" l="1"/>
  <c r="C105" i="14"/>
  <c r="C18" i="13" s="1"/>
  <c r="AD96" i="13"/>
  <c r="AC98" i="13"/>
  <c r="AD97" i="13"/>
  <c r="AF83" i="13"/>
  <c r="AE84" i="13"/>
  <c r="AF82" i="13"/>
  <c r="AE54" i="12"/>
  <c r="AE85" i="13" l="1"/>
  <c r="S33" i="13"/>
  <c r="Z33" i="13"/>
  <c r="J33" i="13"/>
  <c r="U33" i="13"/>
  <c r="E33" i="13"/>
  <c r="P33" i="13"/>
  <c r="Q33" i="13"/>
  <c r="L33" i="13"/>
  <c r="AA33" i="13"/>
  <c r="R33" i="13"/>
  <c r="M33" i="13"/>
  <c r="H33" i="13"/>
  <c r="G33" i="13"/>
  <c r="N33" i="13"/>
  <c r="I33" i="13"/>
  <c r="O33" i="13"/>
  <c r="V33" i="13"/>
  <c r="F33" i="13"/>
  <c r="AB33" i="13"/>
  <c r="K33" i="13"/>
  <c r="AC33" i="13"/>
  <c r="X33" i="13"/>
  <c r="W33" i="13"/>
  <c r="Y33" i="13"/>
  <c r="T33" i="13"/>
  <c r="AE96" i="13"/>
  <c r="AE97" i="13"/>
  <c r="AD98" i="13"/>
  <c r="AF54" i="12"/>
  <c r="AF84" i="13"/>
  <c r="AG83" i="13"/>
  <c r="AG82" i="13"/>
  <c r="AF85" i="13" l="1"/>
  <c r="D33" i="13"/>
  <c r="AE98" i="13"/>
  <c r="AF97" i="13"/>
  <c r="AF96" i="13"/>
  <c r="AG54" i="12"/>
  <c r="AH83" i="13"/>
  <c r="AG84" i="13"/>
  <c r="AH82" i="13"/>
  <c r="AG85" i="13" l="1"/>
  <c r="AF98" i="13"/>
  <c r="AG97" i="13"/>
  <c r="AG96" i="13"/>
  <c r="AI83" i="13"/>
  <c r="AH84" i="13"/>
  <c r="AI82" i="13"/>
  <c r="AH54" i="12"/>
  <c r="AH85" i="13" l="1"/>
  <c r="AG98" i="13"/>
  <c r="AH97" i="13"/>
  <c r="AH96" i="13"/>
  <c r="AJ83" i="13"/>
  <c r="AI84" i="13"/>
  <c r="AJ82" i="13"/>
  <c r="AI54" i="12"/>
  <c r="AI85" i="13" s="1"/>
  <c r="AH98" i="13" l="1"/>
  <c r="AI97" i="13"/>
  <c r="AI96" i="13"/>
  <c r="AJ84" i="13"/>
  <c r="AK83" i="13"/>
  <c r="AK82" i="13"/>
  <c r="AJ54" i="12"/>
  <c r="AJ85" i="13" l="1"/>
  <c r="AI98" i="13"/>
  <c r="AJ97" i="13"/>
  <c r="AJ96" i="13"/>
  <c r="AK54" i="12"/>
  <c r="AK85" i="13" s="1"/>
  <c r="AL83" i="13"/>
  <c r="AK84" i="13"/>
  <c r="AL82" i="13"/>
  <c r="AJ98" i="13" l="1"/>
  <c r="AK96" i="13"/>
  <c r="AK97" i="13"/>
  <c r="AM83" i="13"/>
  <c r="AL84" i="13"/>
  <c r="AM82" i="13"/>
  <c r="AL54" i="12"/>
  <c r="AL85" i="13" l="1"/>
  <c r="AK98" i="13"/>
  <c r="AL97" i="13"/>
  <c r="AL96" i="13"/>
  <c r="AN83" i="13"/>
  <c r="AM84" i="13"/>
  <c r="AN82" i="13"/>
  <c r="AM54" i="12"/>
  <c r="AM85" i="13" l="1"/>
  <c r="AL98" i="13"/>
  <c r="AM96" i="13"/>
  <c r="AM97" i="13"/>
  <c r="AN84" i="13"/>
  <c r="AO83" i="13"/>
  <c r="AO82" i="13"/>
  <c r="AN54" i="12"/>
  <c r="AN85" i="13" l="1"/>
  <c r="AM98" i="13"/>
  <c r="AN96" i="13"/>
  <c r="AN97" i="13"/>
  <c r="AO54" i="12"/>
  <c r="AP83" i="13"/>
  <c r="AO84" i="13"/>
  <c r="AP82" i="13"/>
  <c r="AO85" i="13" l="1"/>
  <c r="AN98" i="13"/>
  <c r="AO97" i="13"/>
  <c r="AO96" i="13"/>
  <c r="AQ83" i="13"/>
  <c r="AP84" i="13"/>
  <c r="AQ82" i="13"/>
  <c r="AP54" i="12"/>
  <c r="AP85" i="13" l="1"/>
  <c r="AO98" i="13"/>
  <c r="AP97" i="13"/>
  <c r="AP96" i="13"/>
  <c r="AQ54" i="12"/>
  <c r="AR83" i="13"/>
  <c r="AQ84" i="13"/>
  <c r="AR82" i="13"/>
  <c r="AQ85" i="13" l="1"/>
  <c r="AP98" i="13"/>
  <c r="AQ96" i="13"/>
  <c r="AQ97" i="13"/>
  <c r="AR84" i="13"/>
  <c r="AS83" i="13"/>
  <c r="AS82" i="13"/>
  <c r="AR54" i="12"/>
  <c r="AR85" i="13" s="1"/>
  <c r="AQ98" i="13" l="1"/>
  <c r="AR97" i="13"/>
  <c r="AR96" i="13"/>
  <c r="AS54" i="12"/>
  <c r="AT83" i="13"/>
  <c r="AS84" i="13"/>
  <c r="AT82" i="13"/>
  <c r="AS85" i="13" l="1"/>
  <c r="AR98" i="13"/>
  <c r="AS96" i="13"/>
  <c r="AS97" i="13"/>
  <c r="AT54" i="12"/>
  <c r="AU83" i="13"/>
  <c r="AT84" i="13"/>
  <c r="AU82" i="13"/>
  <c r="AT85" i="13" l="1"/>
  <c r="AS98" i="13"/>
  <c r="AT97" i="13"/>
  <c r="AT96" i="13"/>
  <c r="AV83" i="13"/>
  <c r="AU84" i="13"/>
  <c r="AV82" i="13"/>
  <c r="AU54" i="12"/>
  <c r="AU85" i="13" l="1"/>
  <c r="AT98" i="13"/>
  <c r="AU96" i="13"/>
  <c r="AU97" i="13"/>
  <c r="AV54" i="12"/>
  <c r="AV84" i="13"/>
  <c r="AW83" i="13"/>
  <c r="AW82" i="13"/>
  <c r="AV85" i="13" l="1"/>
  <c r="AU98" i="13"/>
  <c r="AV97" i="13"/>
  <c r="AV96" i="13"/>
  <c r="AX83" i="13"/>
  <c r="AW84" i="13"/>
  <c r="AX82" i="13"/>
  <c r="AW54" i="12"/>
  <c r="AW85" i="13" l="1"/>
  <c r="AV98" i="13"/>
  <c r="AW97" i="13"/>
  <c r="AW96" i="13"/>
  <c r="AX54" i="12"/>
  <c r="AX85" i="13" s="1"/>
  <c r="AY83" i="13"/>
  <c r="AX84" i="13"/>
  <c r="AY82" i="13"/>
  <c r="AW98" i="13" l="1"/>
  <c r="AX97" i="13"/>
  <c r="AX96" i="13"/>
  <c r="AZ83" i="13"/>
  <c r="AY84" i="13"/>
  <c r="AZ82" i="13"/>
  <c r="AY54" i="12"/>
  <c r="AY85" i="13" l="1"/>
  <c r="AX98" i="13"/>
  <c r="AY97" i="13"/>
  <c r="AY96" i="13"/>
  <c r="AZ54" i="12"/>
  <c r="AZ84" i="13"/>
  <c r="BA83" i="13"/>
  <c r="BA82" i="13"/>
  <c r="AZ85" i="13" l="1"/>
  <c r="AY98" i="13"/>
  <c r="AZ97" i="13"/>
  <c r="AZ96" i="13"/>
  <c r="BB83" i="13"/>
  <c r="BA84" i="13"/>
  <c r="BB82" i="13"/>
  <c r="BA54" i="12"/>
  <c r="AZ98" i="13" l="1"/>
  <c r="BA97" i="13"/>
  <c r="BA96" i="13"/>
  <c r="BB54" i="12"/>
  <c r="BC83" i="13"/>
  <c r="BB84" i="13"/>
  <c r="BC82" i="13"/>
  <c r="BA98" i="13" l="1"/>
  <c r="BB96" i="13"/>
  <c r="BB97" i="13"/>
  <c r="BD83" i="13"/>
  <c r="BC84" i="13"/>
  <c r="BD82" i="13"/>
  <c r="BC54" i="12"/>
  <c r="BB98" i="13" l="1"/>
  <c r="BC97" i="13"/>
  <c r="BC96" i="13"/>
  <c r="BD54" i="12"/>
  <c r="BD84" i="13"/>
  <c r="BE83" i="13"/>
  <c r="BE82" i="13"/>
  <c r="BC98" i="13" l="1"/>
  <c r="BD97" i="13"/>
  <c r="BD96" i="13"/>
  <c r="BF83" i="13"/>
  <c r="BE84" i="13"/>
  <c r="BF82" i="13"/>
  <c r="BE54" i="12"/>
  <c r="BD98" i="13" l="1"/>
  <c r="BE96" i="13"/>
  <c r="BE97" i="13"/>
  <c r="BF54" i="12"/>
  <c r="BG83" i="13"/>
  <c r="BF84" i="13"/>
  <c r="BG82" i="13"/>
  <c r="BE98" i="13" l="1"/>
  <c r="BF97" i="13"/>
  <c r="BF96" i="13"/>
  <c r="BH83" i="13"/>
  <c r="BG84" i="13"/>
  <c r="BH82" i="13"/>
  <c r="BG54" i="12"/>
  <c r="BF98" i="13" l="1"/>
  <c r="BG96" i="13"/>
  <c r="BG97" i="13"/>
  <c r="BH54" i="12"/>
  <c r="BH84" i="13"/>
  <c r="BI83" i="13"/>
  <c r="BI82" i="13"/>
  <c r="BG98" i="13" l="1"/>
  <c r="BH96" i="13"/>
  <c r="BH97" i="13"/>
  <c r="BJ83" i="13"/>
  <c r="BI84" i="13"/>
  <c r="BJ82" i="13"/>
  <c r="BI54" i="12"/>
  <c r="BH98" i="13" l="1"/>
  <c r="BI97" i="13"/>
  <c r="BI96" i="13"/>
  <c r="BJ54" i="12"/>
  <c r="BK83" i="13"/>
  <c r="BJ84" i="13"/>
  <c r="BK82" i="13"/>
  <c r="BI98" i="13" l="1"/>
  <c r="BJ97" i="13"/>
  <c r="BJ96" i="13"/>
  <c r="BL83" i="13"/>
  <c r="BK84" i="13"/>
  <c r="BL82" i="13"/>
  <c r="BK54" i="12"/>
  <c r="BJ98" i="13" l="1"/>
  <c r="BK97" i="13"/>
  <c r="BK96" i="13"/>
  <c r="BL54" i="12"/>
  <c r="BL84" i="13"/>
  <c r="BM83" i="13"/>
  <c r="BM82" i="13"/>
  <c r="BK98" i="13" l="1"/>
  <c r="BL96" i="13"/>
  <c r="BL97" i="13"/>
  <c r="BM54" i="12"/>
  <c r="BN83" i="13"/>
  <c r="BM84" i="13"/>
  <c r="BN82" i="13"/>
  <c r="BL98" i="13" l="1"/>
  <c r="BM97" i="13"/>
  <c r="BM96" i="13"/>
  <c r="BO83" i="13"/>
  <c r="BN84" i="13"/>
  <c r="BO82" i="13"/>
  <c r="BN54" i="12"/>
  <c r="BM98" i="13" l="1"/>
  <c r="BN96" i="13"/>
  <c r="BN97" i="13"/>
  <c r="BO54" i="12"/>
  <c r="BP83" i="13"/>
  <c r="BO84" i="13"/>
  <c r="BP82" i="13"/>
  <c r="BN98" i="13" l="1"/>
  <c r="BO96" i="13"/>
  <c r="BO97" i="13"/>
  <c r="BP84" i="13"/>
  <c r="BQ83" i="13"/>
  <c r="BQ82" i="13"/>
  <c r="BP54" i="12"/>
  <c r="BO98" i="13" l="1"/>
  <c r="BP96" i="13"/>
  <c r="BP97" i="13"/>
  <c r="BQ54" i="12"/>
  <c r="BR83" i="13"/>
  <c r="BQ84" i="13"/>
  <c r="BR82" i="13"/>
  <c r="BQ97" i="13" l="1"/>
  <c r="BP98" i="13"/>
  <c r="BQ96" i="13"/>
  <c r="BR54" i="12"/>
  <c r="BS83" i="13"/>
  <c r="BR84" i="13"/>
  <c r="BS82" i="13"/>
  <c r="BQ98" i="13" l="1"/>
  <c r="BR97" i="13"/>
  <c r="BR96" i="13"/>
  <c r="BS54" i="12"/>
  <c r="BT83" i="13"/>
  <c r="BS84" i="13"/>
  <c r="BT82" i="13"/>
  <c r="BR98" i="13" l="1"/>
  <c r="BS96" i="13"/>
  <c r="BS97" i="13"/>
  <c r="BT84" i="13"/>
  <c r="BU83" i="13"/>
  <c r="BU82" i="13"/>
  <c r="BT54" i="12"/>
  <c r="BS98" i="13" l="1"/>
  <c r="BT96" i="13"/>
  <c r="BT97" i="13"/>
  <c r="BU54" i="12"/>
  <c r="BV83" i="13"/>
  <c r="BU84" i="13"/>
  <c r="BV82" i="13"/>
  <c r="BT98" i="13" l="1"/>
  <c r="BU97" i="13"/>
  <c r="BU96" i="13"/>
  <c r="BW83" i="13"/>
  <c r="BV84" i="13"/>
  <c r="BW82" i="13"/>
  <c r="BV54" i="12"/>
  <c r="BU98" i="13" l="1"/>
  <c r="BV97" i="13"/>
  <c r="BV96" i="13"/>
  <c r="BW54" i="12"/>
  <c r="BX83" i="13"/>
  <c r="BW84" i="13"/>
  <c r="BX82" i="13"/>
  <c r="BW97" i="13" l="1"/>
  <c r="BW96" i="13"/>
  <c r="BV98" i="13"/>
  <c r="BX84" i="13"/>
  <c r="BY83" i="13"/>
  <c r="BY82" i="13"/>
  <c r="BX54" i="12"/>
  <c r="BW98" i="13" l="1"/>
  <c r="BX97" i="13"/>
  <c r="BX96" i="13"/>
  <c r="BZ83" i="13"/>
  <c r="BY84" i="13"/>
  <c r="BZ82" i="13"/>
  <c r="BY54" i="12"/>
  <c r="BY97" i="13" l="1"/>
  <c r="BY96" i="13"/>
  <c r="BX98" i="13"/>
  <c r="BZ54" i="12"/>
  <c r="CA83" i="13"/>
  <c r="BZ84" i="13"/>
  <c r="CA82" i="13"/>
  <c r="BZ97" i="13" l="1"/>
  <c r="BY98" i="13"/>
  <c r="BZ96" i="13"/>
  <c r="CB83" i="13"/>
  <c r="CA84" i="13"/>
  <c r="CB82" i="13"/>
  <c r="CA54" i="12"/>
  <c r="CA96" i="13" l="1"/>
  <c r="CA97" i="13"/>
  <c r="BZ98" i="13"/>
  <c r="CB54" i="12"/>
  <c r="CB84" i="13"/>
  <c r="CC82" i="13"/>
  <c r="CC83" i="13"/>
  <c r="CB97" i="13" l="1"/>
  <c r="CA98" i="13"/>
  <c r="CB96" i="13"/>
  <c r="CC54" i="12"/>
  <c r="CD83" i="13"/>
  <c r="CC84" i="13"/>
  <c r="CD82" i="13"/>
  <c r="CC97" i="13" l="1"/>
  <c r="CC96" i="13"/>
  <c r="CB98" i="13"/>
  <c r="CD54" i="12"/>
  <c r="CE83" i="13"/>
  <c r="CD84" i="13"/>
  <c r="CE82" i="13"/>
  <c r="CD96" i="13" l="1"/>
  <c r="CD97" i="13"/>
  <c r="CC98" i="13"/>
  <c r="CF83" i="13"/>
  <c r="CE84" i="13"/>
  <c r="CF82" i="13"/>
  <c r="CE54" i="12"/>
  <c r="CD98" i="13" l="1"/>
  <c r="CE97" i="13"/>
  <c r="CE96" i="13"/>
  <c r="CF54" i="12"/>
  <c r="CF84" i="13"/>
  <c r="CG82" i="13"/>
  <c r="CG83" i="13"/>
  <c r="CF96" i="13" l="1"/>
  <c r="CE98" i="13"/>
  <c r="CF97" i="13"/>
  <c r="CG54" i="12"/>
  <c r="CH83" i="13"/>
  <c r="CG84" i="13"/>
  <c r="CH82" i="13"/>
  <c r="CF98" i="13" l="1"/>
  <c r="CG96" i="13"/>
  <c r="CG97" i="13"/>
  <c r="CI83" i="13"/>
  <c r="CH84" i="13"/>
  <c r="CI82" i="13"/>
  <c r="CG98" i="13" l="1"/>
  <c r="CH97" i="13"/>
  <c r="CH96" i="13"/>
  <c r="C191" i="12"/>
  <c r="CJ83" i="13"/>
  <c r="CI84" i="13"/>
  <c r="CJ82" i="13"/>
  <c r="CH98" i="13" l="1"/>
  <c r="CI97" i="13"/>
  <c r="CI96" i="13"/>
  <c r="CJ84" i="13"/>
  <c r="CK82" i="13"/>
  <c r="CK83" i="13"/>
  <c r="CI98" i="13" l="1"/>
  <c r="CJ97" i="13"/>
  <c r="CJ96" i="13"/>
  <c r="CL83" i="13"/>
  <c r="CK84" i="13"/>
  <c r="CL82" i="13"/>
  <c r="CJ98" i="13" l="1"/>
  <c r="CK96" i="13"/>
  <c r="CK97" i="13"/>
  <c r="CM83" i="13"/>
  <c r="CL84" i="13"/>
  <c r="CM82" i="13"/>
  <c r="CK98" i="13" l="1"/>
  <c r="CL97" i="13"/>
  <c r="CL96" i="13"/>
  <c r="CN83" i="13"/>
  <c r="CM84" i="13"/>
  <c r="CN82" i="13"/>
  <c r="CL98" i="13" l="1"/>
  <c r="CM97" i="13"/>
  <c r="CM96" i="13"/>
  <c r="CN84" i="13"/>
  <c r="CO82" i="13"/>
  <c r="CO83" i="13"/>
  <c r="CM98" i="13" l="1"/>
  <c r="CN97" i="13"/>
  <c r="CN96" i="13"/>
  <c r="CP83" i="13"/>
  <c r="CO84" i="13"/>
  <c r="CP82" i="13"/>
  <c r="CN98" i="13" l="1"/>
  <c r="CO97" i="13"/>
  <c r="CO96" i="13"/>
  <c r="CQ83" i="13"/>
  <c r="CP84" i="13"/>
  <c r="CQ82" i="13"/>
  <c r="CO98" i="13" l="1"/>
  <c r="CP97" i="13"/>
  <c r="CP96" i="13"/>
  <c r="CR83" i="13"/>
  <c r="CQ84" i="13"/>
  <c r="CR82" i="13"/>
  <c r="CP98" i="13" l="1"/>
  <c r="CQ97" i="13"/>
  <c r="CQ96" i="13"/>
  <c r="CR84" i="13"/>
  <c r="CS82" i="13"/>
  <c r="CS83" i="13"/>
  <c r="CQ98" i="13" l="1"/>
  <c r="CR97" i="13"/>
  <c r="CR96" i="13"/>
  <c r="CT83" i="13"/>
  <c r="CS84" i="13"/>
  <c r="CT82" i="13"/>
  <c r="CR98" i="13" l="1"/>
  <c r="CS96" i="13"/>
  <c r="CS97" i="13"/>
  <c r="CU83" i="13"/>
  <c r="CU84" i="13" s="1"/>
  <c r="CT84" i="13"/>
  <c r="CU82" i="13"/>
  <c r="CS98" i="13" l="1"/>
  <c r="CT96" i="13"/>
  <c r="CT97" i="13"/>
  <c r="CT98" i="13" l="1"/>
  <c r="CU97" i="13"/>
  <c r="CU98" i="13" s="1"/>
  <c r="CU96" i="13"/>
  <c r="AA193" i="12" l="1"/>
  <c r="AB193" i="12"/>
  <c r="AA191" i="12"/>
  <c r="AB191" i="12"/>
  <c r="C26" i="10" l="1"/>
  <c r="C32" i="10" l="1"/>
  <c r="F39" i="1"/>
  <c r="F40" i="1" s="1"/>
  <c r="F103" i="1" l="1"/>
  <c r="F104" i="1" s="1"/>
  <c r="F71" i="1"/>
  <c r="D67" i="5"/>
  <c r="D62" i="5"/>
  <c r="D37" i="5"/>
  <c r="D43" i="5" s="1"/>
  <c r="F72" i="1" l="1"/>
  <c r="D56" i="5"/>
  <c r="E111" i="7"/>
  <c r="C111" i="7"/>
  <c r="J111" i="7" l="1"/>
  <c r="H111" i="7"/>
  <c r="D113" i="5" l="1"/>
  <c r="D108" i="5"/>
  <c r="D101" i="5"/>
  <c r="D94" i="5"/>
  <c r="D89" i="5"/>
  <c r="D111" i="5" l="1"/>
  <c r="K39" i="3"/>
  <c r="J39" i="3"/>
  <c r="I39" i="3"/>
  <c r="H39" i="3"/>
  <c r="G39" i="3"/>
  <c r="F39" i="3"/>
  <c r="D39" i="3"/>
  <c r="C39" i="3"/>
  <c r="E39" i="3"/>
  <c r="C40" i="3" l="1"/>
  <c r="D37" i="3" s="1"/>
  <c r="D40" i="3" s="1"/>
  <c r="D26" i="10"/>
  <c r="D34" i="10"/>
  <c r="D33" i="10"/>
  <c r="E37" i="3" l="1"/>
  <c r="E40" i="3" s="1"/>
  <c r="F37" i="3" l="1"/>
  <c r="F40" i="3" s="1"/>
  <c r="C80" i="6"/>
  <c r="G37" i="3" l="1"/>
  <c r="G40" i="3" s="1"/>
  <c r="H37" i="3" l="1"/>
  <c r="H40" i="3" s="1"/>
  <c r="B85" i="4"/>
  <c r="I37" i="3" l="1"/>
  <c r="I40" i="3" s="1"/>
  <c r="E11" i="11"/>
  <c r="E7" i="11"/>
  <c r="B7" i="11"/>
  <c r="F6" i="11"/>
  <c r="G6" i="11" s="1"/>
  <c r="C6" i="11"/>
  <c r="C7" i="11" s="1"/>
  <c r="F5" i="11"/>
  <c r="C5" i="11"/>
  <c r="B69" i="4"/>
  <c r="B58" i="4"/>
  <c r="C58" i="4"/>
  <c r="D27" i="4"/>
  <c r="B67" i="2"/>
  <c r="G66" i="2"/>
  <c r="H66" i="2" s="1"/>
  <c r="I66" i="2" s="1"/>
  <c r="J66" i="2" s="1"/>
  <c r="K66" i="2" s="1"/>
  <c r="L66" i="2" s="1"/>
  <c r="M66" i="2" s="1"/>
  <c r="N66" i="2" s="1"/>
  <c r="O66" i="2" s="1"/>
  <c r="P66" i="2" s="1"/>
  <c r="Q66" i="2" s="1"/>
  <c r="R66" i="2" s="1"/>
  <c r="S66" i="2" s="1"/>
  <c r="T66" i="2" s="1"/>
  <c r="U66" i="2" s="1"/>
  <c r="V66" i="2" s="1"/>
  <c r="W66" i="2" s="1"/>
  <c r="X66" i="2" s="1"/>
  <c r="Y66" i="2" s="1"/>
  <c r="Z66" i="2" s="1"/>
  <c r="AA66" i="2" s="1"/>
  <c r="AB66" i="2" s="1"/>
  <c r="G65" i="2"/>
  <c r="B74" i="2"/>
  <c r="B73" i="2"/>
  <c r="B82" i="2"/>
  <c r="G82" i="2" s="1"/>
  <c r="B81" i="2"/>
  <c r="B80" i="2"/>
  <c r="B95" i="2"/>
  <c r="B66" i="4"/>
  <c r="F66" i="4" s="1"/>
  <c r="D69" i="4"/>
  <c r="C69" i="4"/>
  <c r="B9" i="5"/>
  <c r="B44" i="4"/>
  <c r="D44" i="4"/>
  <c r="B41" i="4"/>
  <c r="B40" i="4"/>
  <c r="B22" i="4"/>
  <c r="F22" i="4" s="1"/>
  <c r="B38" i="4"/>
  <c r="B37" i="4"/>
  <c r="B26" i="4"/>
  <c r="B20" i="4"/>
  <c r="B19" i="4"/>
  <c r="H26" i="4" l="1"/>
  <c r="V45" i="4"/>
  <c r="N45" i="4"/>
  <c r="U45" i="4"/>
  <c r="M45" i="4"/>
  <c r="AB45" i="4"/>
  <c r="T45" i="4"/>
  <c r="L45" i="4"/>
  <c r="AA45" i="4"/>
  <c r="S45" i="4"/>
  <c r="K45" i="4"/>
  <c r="O45" i="4"/>
  <c r="Z45" i="4"/>
  <c r="R45" i="4"/>
  <c r="J45" i="4"/>
  <c r="Y45" i="4"/>
  <c r="Q45" i="4"/>
  <c r="I45" i="4"/>
  <c r="X45" i="4"/>
  <c r="P45" i="4"/>
  <c r="H45" i="4"/>
  <c r="W45" i="4"/>
  <c r="H27" i="4"/>
  <c r="O27" i="4"/>
  <c r="N27" i="4"/>
  <c r="I27" i="4"/>
  <c r="M27" i="4"/>
  <c r="L27" i="4"/>
  <c r="K27" i="4"/>
  <c r="J27" i="4"/>
  <c r="H82" i="2"/>
  <c r="I82" i="2" s="1"/>
  <c r="J82" i="2" s="1"/>
  <c r="K82" i="2" s="1"/>
  <c r="L82" i="2" s="1"/>
  <c r="M82" i="2" s="1"/>
  <c r="N82" i="2" s="1"/>
  <c r="O82" i="2" s="1"/>
  <c r="P82" i="2" s="1"/>
  <c r="Q82" i="2" s="1"/>
  <c r="R82" i="2" s="1"/>
  <c r="S82" i="2" s="1"/>
  <c r="T82" i="2" s="1"/>
  <c r="U82" i="2" s="1"/>
  <c r="V82" i="2" s="1"/>
  <c r="W82" i="2" s="1"/>
  <c r="X82" i="2" s="1"/>
  <c r="Y82" i="2" s="1"/>
  <c r="Z82" i="2" s="1"/>
  <c r="AA82" i="2" s="1"/>
  <c r="AB82" i="2" s="1"/>
  <c r="H65" i="2"/>
  <c r="I65" i="2" s="1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W65" i="2" s="1"/>
  <c r="X65" i="2" s="1"/>
  <c r="Y65" i="2" s="1"/>
  <c r="Z65" i="2" s="1"/>
  <c r="AA65" i="2" s="1"/>
  <c r="AB65" i="2" s="1"/>
  <c r="AB40" i="4"/>
  <c r="T40" i="4"/>
  <c r="L40" i="4"/>
  <c r="AA40" i="4"/>
  <c r="S40" i="4"/>
  <c r="K40" i="4"/>
  <c r="Z40" i="4"/>
  <c r="R40" i="4"/>
  <c r="J40" i="4"/>
  <c r="Y40" i="4"/>
  <c r="Q40" i="4"/>
  <c r="I40" i="4"/>
  <c r="X40" i="4"/>
  <c r="P40" i="4"/>
  <c r="H40" i="4"/>
  <c r="W40" i="4"/>
  <c r="O40" i="4"/>
  <c r="V40" i="4"/>
  <c r="N40" i="4"/>
  <c r="U40" i="4"/>
  <c r="M40" i="4"/>
  <c r="G5" i="11"/>
  <c r="G22" i="4"/>
  <c r="J37" i="3"/>
  <c r="J40" i="3" s="1"/>
  <c r="H5" i="11"/>
  <c r="H6" i="11"/>
  <c r="G7" i="11"/>
  <c r="F7" i="11"/>
  <c r="D5" i="11"/>
  <c r="D6" i="11"/>
  <c r="D7" i="11" s="1"/>
  <c r="H22" i="4" l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K37" i="3"/>
  <c r="K40" i="3" s="1"/>
  <c r="H7" i="11"/>
  <c r="I6" i="11"/>
  <c r="I5" i="11"/>
  <c r="J5" i="11" l="1"/>
  <c r="J6" i="11"/>
  <c r="I7" i="11"/>
  <c r="K6" i="11" l="1"/>
  <c r="K5" i="11"/>
  <c r="J7" i="11"/>
  <c r="L5" i="11" l="1"/>
  <c r="K7" i="11"/>
  <c r="L6" i="11"/>
  <c r="L7" i="11" l="1"/>
  <c r="M5" i="11"/>
  <c r="M6" i="11"/>
  <c r="N6" i="11" l="1"/>
  <c r="N5" i="11"/>
  <c r="M7" i="11"/>
  <c r="O6" i="11" l="1"/>
  <c r="O5" i="11"/>
  <c r="N7" i="11"/>
  <c r="P5" i="11" l="1"/>
  <c r="O7" i="11"/>
  <c r="P6" i="11"/>
  <c r="P7" i="11" l="1"/>
  <c r="Q5" i="11"/>
  <c r="Q6" i="11"/>
  <c r="Q7" i="11" l="1"/>
  <c r="R6" i="11"/>
  <c r="R5" i="11"/>
  <c r="S6" i="11" l="1"/>
  <c r="S5" i="11"/>
  <c r="R7" i="11"/>
  <c r="T5" i="11" l="1"/>
  <c r="S7" i="11"/>
  <c r="T6" i="11"/>
  <c r="T7" i="11" l="1"/>
  <c r="U6" i="11"/>
  <c r="U5" i="11"/>
  <c r="V5" i="11" l="1"/>
  <c r="V6" i="11"/>
  <c r="U7" i="11"/>
  <c r="W6" i="11" l="1"/>
  <c r="W5" i="11"/>
  <c r="V7" i="11"/>
  <c r="X5" i="11" l="1"/>
  <c r="W7" i="11"/>
  <c r="X6" i="11"/>
  <c r="X7" i="11" l="1"/>
  <c r="Y5" i="11"/>
  <c r="Y6" i="11"/>
  <c r="Y7" i="11" l="1"/>
  <c r="Z6" i="11"/>
  <c r="Z5" i="11"/>
  <c r="AA6" i="11" l="1"/>
  <c r="AA5" i="11"/>
  <c r="Z7" i="11"/>
  <c r="AB5" i="11" l="1"/>
  <c r="AA7" i="11"/>
  <c r="AB6" i="11"/>
  <c r="AB7" i="11" s="1"/>
  <c r="K56" i="10" l="1"/>
  <c r="B28" i="2"/>
  <c r="F28" i="2" s="1"/>
  <c r="B13" i="2"/>
  <c r="F13" i="2" s="1"/>
  <c r="B10" i="2"/>
  <c r="F10" i="2" s="1"/>
  <c r="B50" i="2"/>
  <c r="B76" i="3"/>
  <c r="B25" i="3"/>
  <c r="B42" i="3" s="1"/>
  <c r="B55" i="3"/>
  <c r="B54" i="3"/>
  <c r="B53" i="3"/>
  <c r="B52" i="3"/>
  <c r="B51" i="3"/>
  <c r="B50" i="3"/>
  <c r="B65" i="3"/>
  <c r="B64" i="3"/>
  <c r="B62" i="3"/>
  <c r="B122" i="1" l="1"/>
  <c r="G122" i="1" s="1"/>
  <c r="H122" i="1" s="1"/>
  <c r="I122" i="1" s="1"/>
  <c r="J122" i="1" s="1"/>
  <c r="K122" i="1" s="1"/>
  <c r="L122" i="1" s="1"/>
  <c r="M122" i="1" s="1"/>
  <c r="N122" i="1" s="1"/>
  <c r="O122" i="1" s="1"/>
  <c r="P122" i="1" s="1"/>
  <c r="Q122" i="1" s="1"/>
  <c r="R122" i="1" s="1"/>
  <c r="S122" i="1" s="1"/>
  <c r="T122" i="1" s="1"/>
  <c r="U122" i="1" s="1"/>
  <c r="V122" i="1" s="1"/>
  <c r="W122" i="1" s="1"/>
  <c r="X122" i="1" s="1"/>
  <c r="Y122" i="1" s="1"/>
  <c r="Z122" i="1" s="1"/>
  <c r="AA122" i="1" s="1"/>
  <c r="AB122" i="1" s="1"/>
  <c r="B120" i="1"/>
  <c r="B117" i="1"/>
  <c r="G117" i="1" s="1"/>
  <c r="H117" i="1" s="1"/>
  <c r="I117" i="1" s="1"/>
  <c r="J117" i="1" s="1"/>
  <c r="K117" i="1" s="1"/>
  <c r="L117" i="1" s="1"/>
  <c r="M117" i="1" s="1"/>
  <c r="N117" i="1" s="1"/>
  <c r="O117" i="1" s="1"/>
  <c r="P117" i="1" s="1"/>
  <c r="Q117" i="1" s="1"/>
  <c r="R117" i="1" s="1"/>
  <c r="S117" i="1" s="1"/>
  <c r="T117" i="1" s="1"/>
  <c r="U117" i="1" s="1"/>
  <c r="V117" i="1" s="1"/>
  <c r="W117" i="1" s="1"/>
  <c r="X117" i="1" s="1"/>
  <c r="Y117" i="1" s="1"/>
  <c r="Z117" i="1" s="1"/>
  <c r="AA117" i="1" s="1"/>
  <c r="AB117" i="1" s="1"/>
  <c r="B104" i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AA104" i="1" s="1"/>
  <c r="AB104" i="1" s="1"/>
  <c r="B88" i="1"/>
  <c r="B58" i="1"/>
  <c r="B56" i="1"/>
  <c r="B53" i="1"/>
  <c r="B39" i="1"/>
  <c r="B26" i="1"/>
  <c r="B24" i="1"/>
  <c r="B21" i="1"/>
  <c r="B8" i="1"/>
  <c r="B130" i="1"/>
  <c r="B129" i="1"/>
  <c r="B127" i="1"/>
  <c r="B103" i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AA103" i="1" s="1"/>
  <c r="AB103" i="1" s="1"/>
  <c r="B98" i="1"/>
  <c r="B97" i="1"/>
  <c r="B95" i="1"/>
  <c r="B72" i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W72" i="1" s="1"/>
  <c r="X72" i="1" s="1"/>
  <c r="Y72" i="1" s="1"/>
  <c r="Z72" i="1" s="1"/>
  <c r="AA72" i="1" s="1"/>
  <c r="AB72" i="1" s="1"/>
  <c r="B71" i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B66" i="1"/>
  <c r="B65" i="1"/>
  <c r="B63" i="1"/>
  <c r="E63" i="1" s="1"/>
  <c r="B40" i="1"/>
  <c r="B34" i="1"/>
  <c r="B33" i="1"/>
  <c r="B31" i="1"/>
  <c r="K10" i="10"/>
  <c r="K7" i="10"/>
  <c r="B70" i="3" s="1"/>
  <c r="B89" i="2"/>
  <c r="B87" i="2"/>
  <c r="B19" i="2"/>
  <c r="B18" i="2"/>
  <c r="B16" i="2"/>
  <c r="C38" i="10"/>
  <c r="B51" i="2" s="1"/>
  <c r="I8" i="2" l="1"/>
  <c r="J8" i="2" s="1"/>
  <c r="K8" i="2" s="1"/>
  <c r="L8" i="2" s="1"/>
  <c r="M8" i="2" s="1"/>
  <c r="N8" i="2" s="1"/>
  <c r="O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H8" i="2"/>
  <c r="G8" i="2"/>
  <c r="I8" i="4"/>
  <c r="H8" i="4"/>
  <c r="E135" i="12" s="1"/>
  <c r="G8" i="4"/>
  <c r="D135" i="12" s="1"/>
  <c r="C135" i="12"/>
  <c r="J8" i="4" l="1"/>
  <c r="F135" i="12"/>
  <c r="D10" i="9"/>
  <c r="C10" i="9"/>
  <c r="D9" i="9"/>
  <c r="D22" i="9" s="1"/>
  <c r="C14" i="5"/>
  <c r="E68" i="6"/>
  <c r="C82" i="6"/>
  <c r="D78" i="6" s="1"/>
  <c r="E76" i="6"/>
  <c r="B76" i="6"/>
  <c r="F75" i="6"/>
  <c r="F76" i="6" s="1"/>
  <c r="C75" i="6"/>
  <c r="C76" i="6" s="1"/>
  <c r="F74" i="6"/>
  <c r="C74" i="6"/>
  <c r="E7" i="9"/>
  <c r="B7" i="9"/>
  <c r="F6" i="9"/>
  <c r="G6" i="9" s="1"/>
  <c r="C6" i="9"/>
  <c r="C7" i="9" s="1"/>
  <c r="F5" i="9"/>
  <c r="C5" i="9"/>
  <c r="K8" i="4" l="1"/>
  <c r="G135" i="12"/>
  <c r="D82" i="6"/>
  <c r="E78" i="6" s="1"/>
  <c r="D81" i="6"/>
  <c r="D11" i="9" s="1"/>
  <c r="D12" i="9" s="1"/>
  <c r="D15" i="9" s="1"/>
  <c r="D74" i="6"/>
  <c r="D75" i="6"/>
  <c r="D76" i="6" s="1"/>
  <c r="G74" i="6"/>
  <c r="G75" i="6"/>
  <c r="H75" i="6" s="1"/>
  <c r="I75" i="6" s="1"/>
  <c r="D5" i="9"/>
  <c r="G7" i="9"/>
  <c r="H6" i="9"/>
  <c r="H5" i="9"/>
  <c r="D6" i="9"/>
  <c r="D7" i="9" s="1"/>
  <c r="F7" i="9"/>
  <c r="G5" i="9"/>
  <c r="L8" i="4" l="1"/>
  <c r="H135" i="12"/>
  <c r="H74" i="6"/>
  <c r="H76" i="6"/>
  <c r="I74" i="6"/>
  <c r="G76" i="6"/>
  <c r="J74" i="6"/>
  <c r="I76" i="6"/>
  <c r="J75" i="6"/>
  <c r="H7" i="9"/>
  <c r="I6" i="9"/>
  <c r="I5" i="9"/>
  <c r="M8" i="4" l="1"/>
  <c r="I135" i="12"/>
  <c r="J76" i="6"/>
  <c r="K75" i="6"/>
  <c r="K74" i="6"/>
  <c r="J6" i="9"/>
  <c r="J5" i="9"/>
  <c r="I7" i="9"/>
  <c r="N8" i="4" l="1"/>
  <c r="J135" i="12"/>
  <c r="D17" i="9"/>
  <c r="L75" i="6"/>
  <c r="L74" i="6"/>
  <c r="K76" i="6"/>
  <c r="K6" i="9"/>
  <c r="J7" i="9"/>
  <c r="K5" i="9"/>
  <c r="O8" i="4" l="1"/>
  <c r="K135" i="12"/>
  <c r="M74" i="6"/>
  <c r="L76" i="6"/>
  <c r="M75" i="6"/>
  <c r="L5" i="9"/>
  <c r="K7" i="9"/>
  <c r="L6" i="9"/>
  <c r="R8" i="4" l="1"/>
  <c r="L135" i="12"/>
  <c r="N74" i="6"/>
  <c r="M76" i="6"/>
  <c r="N75" i="6"/>
  <c r="L7" i="9"/>
  <c r="M6" i="9"/>
  <c r="M5" i="9"/>
  <c r="S8" i="4" l="1"/>
  <c r="O135" i="12"/>
  <c r="N76" i="6"/>
  <c r="O75" i="6"/>
  <c r="O74" i="6"/>
  <c r="N6" i="9"/>
  <c r="N5" i="9"/>
  <c r="M7" i="9"/>
  <c r="T8" i="4" l="1"/>
  <c r="P135" i="12"/>
  <c r="P75" i="6"/>
  <c r="P74" i="6"/>
  <c r="O76" i="6"/>
  <c r="O6" i="9"/>
  <c r="N7" i="9"/>
  <c r="O5" i="9"/>
  <c r="U8" i="4" l="1"/>
  <c r="Q135" i="12"/>
  <c r="Q75" i="6"/>
  <c r="Q74" i="6"/>
  <c r="P76" i="6"/>
  <c r="O7" i="9"/>
  <c r="P5" i="9"/>
  <c r="P6" i="9"/>
  <c r="V8" i="4" l="1"/>
  <c r="R135" i="12"/>
  <c r="R74" i="6"/>
  <c r="Q76" i="6"/>
  <c r="R75" i="6"/>
  <c r="P7" i="9"/>
  <c r="Q6" i="9"/>
  <c r="Q5" i="9"/>
  <c r="W8" i="4" l="1"/>
  <c r="S135" i="12"/>
  <c r="R76" i="6"/>
  <c r="S75" i="6"/>
  <c r="S74" i="6"/>
  <c r="R6" i="9"/>
  <c r="R5" i="9"/>
  <c r="Q7" i="9"/>
  <c r="X8" i="4" l="1"/>
  <c r="T135" i="12"/>
  <c r="T75" i="6"/>
  <c r="T74" i="6"/>
  <c r="S76" i="6"/>
  <c r="S6" i="9"/>
  <c r="S5" i="9"/>
  <c r="R7" i="9"/>
  <c r="Y8" i="4" l="1"/>
  <c r="U135" i="12"/>
  <c r="U74" i="6"/>
  <c r="T76" i="6"/>
  <c r="U75" i="6"/>
  <c r="T5" i="9"/>
  <c r="S7" i="9"/>
  <c r="T6" i="9"/>
  <c r="Z8" i="4" l="1"/>
  <c r="V135" i="12"/>
  <c r="V74" i="6"/>
  <c r="U76" i="6"/>
  <c r="V75" i="6"/>
  <c r="T7" i="9"/>
  <c r="U6" i="9"/>
  <c r="U5" i="9"/>
  <c r="AA8" i="4" l="1"/>
  <c r="W135" i="12"/>
  <c r="V76" i="6"/>
  <c r="W75" i="6"/>
  <c r="W74" i="6"/>
  <c r="V6" i="9"/>
  <c r="V5" i="9"/>
  <c r="U7" i="9"/>
  <c r="X135" i="12" l="1"/>
  <c r="AB8" i="4"/>
  <c r="Y135" i="12" s="1"/>
  <c r="X75" i="6"/>
  <c r="X74" i="6"/>
  <c r="W76" i="6"/>
  <c r="W6" i="9"/>
  <c r="V7" i="9"/>
  <c r="W5" i="9"/>
  <c r="Y75" i="6" l="1"/>
  <c r="Y74" i="6"/>
  <c r="X76" i="6"/>
  <c r="X5" i="9"/>
  <c r="W7" i="9"/>
  <c r="X6" i="9"/>
  <c r="Z74" i="6" l="1"/>
  <c r="Y76" i="6"/>
  <c r="Z75" i="6"/>
  <c r="X7" i="9"/>
  <c r="Y6" i="9"/>
  <c r="Y5" i="9"/>
  <c r="Z76" i="6" l="1"/>
  <c r="AA75" i="6"/>
  <c r="AA74" i="6"/>
  <c r="Z6" i="9"/>
  <c r="Z5" i="9"/>
  <c r="Y7" i="9"/>
  <c r="AB75" i="6" l="1"/>
  <c r="AB76" i="6" s="1"/>
  <c r="AB74" i="6"/>
  <c r="AA76" i="6"/>
  <c r="AA6" i="9"/>
  <c r="Z7" i="9"/>
  <c r="AA5" i="9"/>
  <c r="AB5" i="9" l="1"/>
  <c r="AA7" i="9"/>
  <c r="AB6" i="9"/>
  <c r="AB7" i="9" s="1"/>
  <c r="AB97" i="5" l="1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D28" i="6" l="1"/>
  <c r="D52" i="6" s="1"/>
  <c r="J52" i="6" s="1"/>
  <c r="H48" i="5"/>
  <c r="I48" i="5" s="1"/>
  <c r="J48" i="5" s="1"/>
  <c r="K48" i="5" s="1"/>
  <c r="L48" i="5" s="1"/>
  <c r="M48" i="5" s="1"/>
  <c r="N48" i="5" s="1"/>
  <c r="O48" i="5" s="1"/>
  <c r="P48" i="5" s="1"/>
  <c r="Q48" i="5" s="1"/>
  <c r="R48" i="5" s="1"/>
  <c r="S48" i="5" s="1"/>
  <c r="T48" i="5" s="1"/>
  <c r="U48" i="5" s="1"/>
  <c r="V48" i="5" s="1"/>
  <c r="W48" i="5" s="1"/>
  <c r="X48" i="5" s="1"/>
  <c r="Y48" i="5" s="1"/>
  <c r="Z48" i="5" s="1"/>
  <c r="AA48" i="5" s="1"/>
  <c r="AB48" i="5" s="1"/>
  <c r="G54" i="5"/>
  <c r="H54" i="5" s="1"/>
  <c r="I54" i="5" s="1"/>
  <c r="J54" i="5" s="1"/>
  <c r="K54" i="5" s="1"/>
  <c r="L54" i="5" s="1"/>
  <c r="M54" i="5" s="1"/>
  <c r="N54" i="5" s="1"/>
  <c r="O54" i="5" s="1"/>
  <c r="P54" i="5" s="1"/>
  <c r="Q54" i="5" s="1"/>
  <c r="R54" i="5" s="1"/>
  <c r="S54" i="5" s="1"/>
  <c r="T54" i="5" s="1"/>
  <c r="U54" i="5" s="1"/>
  <c r="V54" i="5" s="1"/>
  <c r="W54" i="5" s="1"/>
  <c r="X54" i="5" s="1"/>
  <c r="Y54" i="5" s="1"/>
  <c r="Z54" i="5" s="1"/>
  <c r="AA54" i="5" s="1"/>
  <c r="AB54" i="5" s="1"/>
  <c r="G49" i="5" l="1"/>
  <c r="H67" i="5"/>
  <c r="I67" i="5" s="1"/>
  <c r="J67" i="5" s="1"/>
  <c r="K67" i="5" s="1"/>
  <c r="L67" i="5" s="1"/>
  <c r="M67" i="5" s="1"/>
  <c r="N67" i="5" s="1"/>
  <c r="O67" i="5" s="1"/>
  <c r="P67" i="5" s="1"/>
  <c r="Q67" i="5" s="1"/>
  <c r="R67" i="5" s="1"/>
  <c r="S67" i="5" s="1"/>
  <c r="T67" i="5" s="1"/>
  <c r="U67" i="5" s="1"/>
  <c r="V67" i="5" s="1"/>
  <c r="W67" i="5" s="1"/>
  <c r="X67" i="5" s="1"/>
  <c r="Y67" i="5" s="1"/>
  <c r="Z67" i="5" s="1"/>
  <c r="AA67" i="5" s="1"/>
  <c r="AB67" i="5" s="1"/>
  <c r="J27" i="7"/>
  <c r="H27" i="7"/>
  <c r="C31" i="7" s="1"/>
  <c r="K26" i="7"/>
  <c r="I26" i="7"/>
  <c r="J24" i="7"/>
  <c r="H24" i="7"/>
  <c r="G26" i="7"/>
  <c r="E104" i="7"/>
  <c r="J104" i="7" s="1"/>
  <c r="E97" i="7"/>
  <c r="J97" i="7" s="1"/>
  <c r="E90" i="7"/>
  <c r="J90" i="7" s="1"/>
  <c r="E83" i="7"/>
  <c r="J83" i="7" s="1"/>
  <c r="E76" i="7"/>
  <c r="J76" i="7" s="1"/>
  <c r="E69" i="7"/>
  <c r="J69" i="7" s="1"/>
  <c r="E62" i="7"/>
  <c r="J62" i="7" s="1"/>
  <c r="E55" i="7"/>
  <c r="J55" i="7" s="1"/>
  <c r="E48" i="7"/>
  <c r="J48" i="7" s="1"/>
  <c r="E41" i="7"/>
  <c r="J41" i="7" s="1"/>
  <c r="E34" i="7"/>
  <c r="J34" i="7" s="1"/>
  <c r="E31" i="7"/>
  <c r="C90" i="7"/>
  <c r="H90" i="7" s="1"/>
  <c r="C83" i="7"/>
  <c r="H83" i="7" s="1"/>
  <c r="C55" i="7"/>
  <c r="H55" i="7" s="1"/>
  <c r="C62" i="7"/>
  <c r="H62" i="7" s="1"/>
  <c r="C69" i="7"/>
  <c r="H69" i="7" s="1"/>
  <c r="C76" i="7"/>
  <c r="H76" i="7" s="1"/>
  <c r="C97" i="7"/>
  <c r="H97" i="7" s="1"/>
  <c r="C104" i="7"/>
  <c r="H104" i="7" s="1"/>
  <c r="C48" i="7"/>
  <c r="H48" i="7" s="1"/>
  <c r="C41" i="7"/>
  <c r="H41" i="7" s="1"/>
  <c r="C34" i="7"/>
  <c r="H34" i="7" s="1"/>
  <c r="H49" i="5" l="1"/>
  <c r="E10" i="9"/>
  <c r="H26" i="7"/>
  <c r="H29" i="7" s="1"/>
  <c r="I30" i="7" s="1"/>
  <c r="J26" i="7"/>
  <c r="J33" i="7" s="1"/>
  <c r="J35" i="7" s="1"/>
  <c r="K36" i="7" s="1"/>
  <c r="A8" i="7"/>
  <c r="B8" i="7" s="1"/>
  <c r="A9" i="7" s="1"/>
  <c r="B9" i="7" s="1"/>
  <c r="A10" i="7" s="1"/>
  <c r="B10" i="7" s="1"/>
  <c r="A11" i="7" s="1"/>
  <c r="B11" i="7" s="1"/>
  <c r="A12" i="7" s="1"/>
  <c r="B12" i="7" s="1"/>
  <c r="A13" i="7" s="1"/>
  <c r="B13" i="7" s="1"/>
  <c r="A14" i="7" s="1"/>
  <c r="B14" i="7" s="1"/>
  <c r="A15" i="7" s="1"/>
  <c r="B15" i="7" s="1"/>
  <c r="A16" i="7" s="1"/>
  <c r="B16" i="7" s="1"/>
  <c r="A17" i="7" s="1"/>
  <c r="B17" i="7" s="1"/>
  <c r="A18" i="7" s="1"/>
  <c r="B18" i="7" s="1"/>
  <c r="A19" i="7" s="1"/>
  <c r="B19" i="7" s="1"/>
  <c r="A20" i="7" s="1"/>
  <c r="F33" i="7"/>
  <c r="D33" i="7"/>
  <c r="B33" i="7"/>
  <c r="C33" i="7" s="1"/>
  <c r="I49" i="5" l="1"/>
  <c r="I28" i="7"/>
  <c r="H28" i="7"/>
  <c r="I29" i="7" s="1"/>
  <c r="J37" i="7"/>
  <c r="K38" i="7" s="1"/>
  <c r="K35" i="7"/>
  <c r="K28" i="7"/>
  <c r="J39" i="7"/>
  <c r="K40" i="7" s="1"/>
  <c r="J32" i="7"/>
  <c r="K33" i="7" s="1"/>
  <c r="H30" i="7"/>
  <c r="I31" i="7" s="1"/>
  <c r="H31" i="7"/>
  <c r="I32" i="7" s="1"/>
  <c r="H32" i="7"/>
  <c r="I33" i="7" s="1"/>
  <c r="H33" i="7"/>
  <c r="H38" i="7" s="1"/>
  <c r="I39" i="7" s="1"/>
  <c r="J40" i="7"/>
  <c r="J47" i="7" s="1"/>
  <c r="J29" i="7"/>
  <c r="K30" i="7" s="1"/>
  <c r="J30" i="7"/>
  <c r="K31" i="7" s="1"/>
  <c r="J38" i="7"/>
  <c r="K39" i="7" s="1"/>
  <c r="J36" i="7"/>
  <c r="K37" i="7" s="1"/>
  <c r="E33" i="7"/>
  <c r="F35" i="7" s="1"/>
  <c r="J28" i="7"/>
  <c r="K29" i="7" s="1"/>
  <c r="J31" i="7"/>
  <c r="K32" i="7" s="1"/>
  <c r="J45" i="7"/>
  <c r="K46" i="7" s="1"/>
  <c r="D35" i="7"/>
  <c r="H35" i="7" l="1"/>
  <c r="I36" i="7" s="1"/>
  <c r="H40" i="7"/>
  <c r="H39" i="7"/>
  <c r="I40" i="7" s="1"/>
  <c r="E38" i="7"/>
  <c r="F39" i="7" s="1"/>
  <c r="E37" i="7"/>
  <c r="F38" i="7" s="1"/>
  <c r="J49" i="5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I35" i="7"/>
  <c r="H37" i="7"/>
  <c r="I38" i="7" s="1"/>
  <c r="H36" i="7"/>
  <c r="I37" i="7" s="1"/>
  <c r="J43" i="7"/>
  <c r="K44" i="7" s="1"/>
  <c r="J44" i="7"/>
  <c r="K45" i="7" s="1"/>
  <c r="J42" i="7"/>
  <c r="K43" i="7" s="1"/>
  <c r="J46" i="7"/>
  <c r="K47" i="7" s="1"/>
  <c r="K42" i="7"/>
  <c r="E40" i="7"/>
  <c r="E47" i="7" s="1"/>
  <c r="E39" i="7"/>
  <c r="F40" i="7" s="1"/>
  <c r="E35" i="7"/>
  <c r="F36" i="7" s="1"/>
  <c r="E36" i="7"/>
  <c r="F37" i="7" s="1"/>
  <c r="K49" i="7"/>
  <c r="J54" i="7"/>
  <c r="J50" i="7"/>
  <c r="K51" i="7" s="1"/>
  <c r="J53" i="7"/>
  <c r="K54" i="7" s="1"/>
  <c r="J49" i="7"/>
  <c r="K50" i="7" s="1"/>
  <c r="J52" i="7"/>
  <c r="K53" i="7" s="1"/>
  <c r="J51" i="7"/>
  <c r="K52" i="7" s="1"/>
  <c r="H43" i="7"/>
  <c r="I44" i="7" s="1"/>
  <c r="I42" i="7"/>
  <c r="H46" i="7"/>
  <c r="I47" i="7" s="1"/>
  <c r="H42" i="7"/>
  <c r="I43" i="7" s="1"/>
  <c r="H45" i="7"/>
  <c r="I46" i="7" s="1"/>
  <c r="H44" i="7"/>
  <c r="I45" i="7" s="1"/>
  <c r="H47" i="7"/>
  <c r="C40" i="7"/>
  <c r="C39" i="7"/>
  <c r="D40" i="7" s="1"/>
  <c r="C36" i="7"/>
  <c r="D37" i="7" s="1"/>
  <c r="C35" i="7"/>
  <c r="D36" i="7" s="1"/>
  <c r="C38" i="7"/>
  <c r="D39" i="7" s="1"/>
  <c r="C37" i="7"/>
  <c r="D38" i="7" s="1"/>
  <c r="F42" i="7" l="1"/>
  <c r="E44" i="7"/>
  <c r="F45" i="7" s="1"/>
  <c r="E46" i="7"/>
  <c r="F47" i="7" s="1"/>
  <c r="E45" i="7"/>
  <c r="F46" i="7" s="1"/>
  <c r="E43" i="7"/>
  <c r="F44" i="7" s="1"/>
  <c r="E42" i="7"/>
  <c r="F43" i="7" s="1"/>
  <c r="H54" i="7"/>
  <c r="H53" i="7"/>
  <c r="I54" i="7" s="1"/>
  <c r="H49" i="7"/>
  <c r="I50" i="7" s="1"/>
  <c r="H52" i="7"/>
  <c r="I53" i="7" s="1"/>
  <c r="I49" i="7"/>
  <c r="H51" i="7"/>
  <c r="I52" i="7" s="1"/>
  <c r="H50" i="7"/>
  <c r="I51" i="7" s="1"/>
  <c r="K56" i="7"/>
  <c r="J59" i="7"/>
  <c r="K60" i="7" s="1"/>
  <c r="J58" i="7"/>
  <c r="K59" i="7" s="1"/>
  <c r="J61" i="7"/>
  <c r="J57" i="7"/>
  <c r="K58" i="7" s="1"/>
  <c r="J60" i="7"/>
  <c r="K61" i="7" s="1"/>
  <c r="J56" i="7"/>
  <c r="K57" i="7" s="1"/>
  <c r="E53" i="7"/>
  <c r="F54" i="7" s="1"/>
  <c r="E52" i="7"/>
  <c r="F53" i="7" s="1"/>
  <c r="E51" i="7"/>
  <c r="F52" i="7" s="1"/>
  <c r="E54" i="7"/>
  <c r="F56" i="7" s="1"/>
  <c r="E50" i="7"/>
  <c r="F51" i="7" s="1"/>
  <c r="E49" i="7"/>
  <c r="F50" i="7" s="1"/>
  <c r="F49" i="7"/>
  <c r="C47" i="7"/>
  <c r="C43" i="7"/>
  <c r="D44" i="7" s="1"/>
  <c r="C42" i="7"/>
  <c r="D43" i="7" s="1"/>
  <c r="C46" i="7"/>
  <c r="D47" i="7" s="1"/>
  <c r="C45" i="7"/>
  <c r="D46" i="7" s="1"/>
  <c r="D42" i="7"/>
  <c r="C44" i="7"/>
  <c r="D45" i="7" s="1"/>
  <c r="K63" i="7" l="1"/>
  <c r="J68" i="7"/>
  <c r="J64" i="7"/>
  <c r="K65" i="7" s="1"/>
  <c r="J67" i="7"/>
  <c r="K68" i="7" s="1"/>
  <c r="J63" i="7"/>
  <c r="K64" i="7" s="1"/>
  <c r="J66" i="7"/>
  <c r="K67" i="7" s="1"/>
  <c r="J65" i="7"/>
  <c r="K66" i="7" s="1"/>
  <c r="H61" i="7"/>
  <c r="I56" i="7"/>
  <c r="H60" i="7"/>
  <c r="I61" i="7" s="1"/>
  <c r="H56" i="7"/>
  <c r="I57" i="7" s="1"/>
  <c r="H59" i="7"/>
  <c r="I60" i="7" s="1"/>
  <c r="H58" i="7"/>
  <c r="I59" i="7" s="1"/>
  <c r="H57" i="7"/>
  <c r="I58" i="7" s="1"/>
  <c r="E61" i="7"/>
  <c r="F63" i="7" s="1"/>
  <c r="E57" i="7"/>
  <c r="F58" i="7" s="1"/>
  <c r="E60" i="7"/>
  <c r="F61" i="7" s="1"/>
  <c r="E56" i="7"/>
  <c r="F57" i="7" s="1"/>
  <c r="E59" i="7"/>
  <c r="F60" i="7" s="1"/>
  <c r="E58" i="7"/>
  <c r="F59" i="7" s="1"/>
  <c r="C53" i="7"/>
  <c r="D54" i="7" s="1"/>
  <c r="C49" i="7"/>
  <c r="D50" i="7" s="1"/>
  <c r="C52" i="7"/>
  <c r="D53" i="7" s="1"/>
  <c r="C51" i="7"/>
  <c r="D52" i="7" s="1"/>
  <c r="C54" i="7"/>
  <c r="C50" i="7"/>
  <c r="D51" i="7" s="1"/>
  <c r="H68" i="7" l="1"/>
  <c r="H67" i="7"/>
  <c r="I68" i="7" s="1"/>
  <c r="H63" i="7"/>
  <c r="I64" i="7" s="1"/>
  <c r="H66" i="7"/>
  <c r="I67" i="7" s="1"/>
  <c r="I63" i="7"/>
  <c r="H65" i="7"/>
  <c r="I66" i="7" s="1"/>
  <c r="H64" i="7"/>
  <c r="I65" i="7" s="1"/>
  <c r="K70" i="7"/>
  <c r="J73" i="7"/>
  <c r="K74" i="7" s="1"/>
  <c r="J72" i="7"/>
  <c r="K73" i="7" s="1"/>
  <c r="J75" i="7"/>
  <c r="J71" i="7"/>
  <c r="K72" i="7" s="1"/>
  <c r="J74" i="7"/>
  <c r="K75" i="7" s="1"/>
  <c r="J70" i="7"/>
  <c r="K71" i="7" s="1"/>
  <c r="E66" i="7"/>
  <c r="F67" i="7" s="1"/>
  <c r="E65" i="7"/>
  <c r="F66" i="7" s="1"/>
  <c r="E68" i="7"/>
  <c r="F70" i="7" s="1"/>
  <c r="E64" i="7"/>
  <c r="F65" i="7" s="1"/>
  <c r="E67" i="7"/>
  <c r="F68" i="7" s="1"/>
  <c r="E63" i="7"/>
  <c r="F64" i="7" s="1"/>
  <c r="C61" i="7"/>
  <c r="C57" i="7"/>
  <c r="D58" i="7" s="1"/>
  <c r="C56" i="7"/>
  <c r="D57" i="7" s="1"/>
  <c r="D56" i="7"/>
  <c r="C60" i="7"/>
  <c r="D61" i="7" s="1"/>
  <c r="C59" i="7"/>
  <c r="D60" i="7" s="1"/>
  <c r="C58" i="7"/>
  <c r="D59" i="7" s="1"/>
  <c r="J82" i="7" l="1"/>
  <c r="J78" i="7"/>
  <c r="K79" i="7" s="1"/>
  <c r="J81" i="7"/>
  <c r="K82" i="7" s="1"/>
  <c r="J77" i="7"/>
  <c r="K78" i="7" s="1"/>
  <c r="J80" i="7"/>
  <c r="K81" i="7" s="1"/>
  <c r="J79" i="7"/>
  <c r="K80" i="7" s="1"/>
  <c r="K77" i="7"/>
  <c r="H75" i="7"/>
  <c r="I70" i="7"/>
  <c r="H74" i="7"/>
  <c r="I75" i="7" s="1"/>
  <c r="H70" i="7"/>
  <c r="I71" i="7" s="1"/>
  <c r="H73" i="7"/>
  <c r="I74" i="7" s="1"/>
  <c r="H72" i="7"/>
  <c r="I73" i="7" s="1"/>
  <c r="H71" i="7"/>
  <c r="I72" i="7" s="1"/>
  <c r="E72" i="7"/>
  <c r="F73" i="7" s="1"/>
  <c r="E75" i="7"/>
  <c r="F77" i="7" s="1"/>
  <c r="E71" i="7"/>
  <c r="F72" i="7" s="1"/>
  <c r="E74" i="7"/>
  <c r="F75" i="7" s="1"/>
  <c r="E70" i="7"/>
  <c r="F71" i="7" s="1"/>
  <c r="E73" i="7"/>
  <c r="F74" i="7" s="1"/>
  <c r="D63" i="7"/>
  <c r="C66" i="7"/>
  <c r="D67" i="7" s="1"/>
  <c r="C65" i="7"/>
  <c r="C68" i="7"/>
  <c r="C64" i="7"/>
  <c r="C67" i="7"/>
  <c r="C63" i="7"/>
  <c r="I77" i="7" l="1"/>
  <c r="H79" i="7"/>
  <c r="I80" i="7" s="1"/>
  <c r="H81" i="7"/>
  <c r="I82" i="7" s="1"/>
  <c r="H78" i="7"/>
  <c r="I79" i="7" s="1"/>
  <c r="H80" i="7"/>
  <c r="I81" i="7" s="1"/>
  <c r="H82" i="7"/>
  <c r="H77" i="7"/>
  <c r="I78" i="7" s="1"/>
  <c r="K84" i="7"/>
  <c r="J87" i="7"/>
  <c r="K88" i="7" s="1"/>
  <c r="J86" i="7"/>
  <c r="K87" i="7" s="1"/>
  <c r="J89" i="7"/>
  <c r="J85" i="7"/>
  <c r="K86" i="7" s="1"/>
  <c r="J88" i="7"/>
  <c r="K89" i="7" s="1"/>
  <c r="J84" i="7"/>
  <c r="K85" i="7" s="1"/>
  <c r="E80" i="7"/>
  <c r="F81" i="7" s="1"/>
  <c r="E79" i="7"/>
  <c r="F80" i="7" s="1"/>
  <c r="E82" i="7"/>
  <c r="E78" i="7"/>
  <c r="F79" i="7" s="1"/>
  <c r="E81" i="7"/>
  <c r="F82" i="7" s="1"/>
  <c r="E77" i="7"/>
  <c r="F78" i="7" s="1"/>
  <c r="C75" i="7"/>
  <c r="C71" i="7"/>
  <c r="C70" i="7"/>
  <c r="C74" i="7"/>
  <c r="D75" i="7" s="1"/>
  <c r="C73" i="7"/>
  <c r="C72" i="7"/>
  <c r="I84" i="7" l="1"/>
  <c r="H86" i="7"/>
  <c r="I87" i="7" s="1"/>
  <c r="H89" i="7"/>
  <c r="H85" i="7"/>
  <c r="I86" i="7" s="1"/>
  <c r="H88" i="7"/>
  <c r="I89" i="7" s="1"/>
  <c r="H84" i="7"/>
  <c r="I85" i="7" s="1"/>
  <c r="H87" i="7"/>
  <c r="I88" i="7" s="1"/>
  <c r="K91" i="7"/>
  <c r="J96" i="7"/>
  <c r="J92" i="7"/>
  <c r="K93" i="7" s="1"/>
  <c r="J95" i="7"/>
  <c r="K96" i="7" s="1"/>
  <c r="J91" i="7"/>
  <c r="K92" i="7" s="1"/>
  <c r="J94" i="7"/>
  <c r="K95" i="7" s="1"/>
  <c r="J93" i="7"/>
  <c r="K94" i="7" s="1"/>
  <c r="F84" i="7"/>
  <c r="E89" i="7"/>
  <c r="E85" i="7"/>
  <c r="F86" i="7" s="1"/>
  <c r="E88" i="7"/>
  <c r="F89" i="7" s="1"/>
  <c r="E84" i="7"/>
  <c r="F85" i="7" s="1"/>
  <c r="E87" i="7"/>
  <c r="F88" i="7" s="1"/>
  <c r="E86" i="7"/>
  <c r="F87" i="7" s="1"/>
  <c r="C80" i="7"/>
  <c r="C79" i="7"/>
  <c r="C82" i="7"/>
  <c r="C78" i="7"/>
  <c r="C81" i="7"/>
  <c r="C77" i="7"/>
  <c r="H93" i="7" l="1"/>
  <c r="I94" i="7" s="1"/>
  <c r="H96" i="7"/>
  <c r="H92" i="7"/>
  <c r="I93" i="7" s="1"/>
  <c r="I91" i="7"/>
  <c r="H95" i="7"/>
  <c r="I96" i="7" s="1"/>
  <c r="H91" i="7"/>
  <c r="I92" i="7" s="1"/>
  <c r="H94" i="7"/>
  <c r="I95" i="7" s="1"/>
  <c r="K98" i="7"/>
  <c r="J101" i="7"/>
  <c r="K102" i="7" s="1"/>
  <c r="J100" i="7"/>
  <c r="K101" i="7" s="1"/>
  <c r="J103" i="7"/>
  <c r="J99" i="7"/>
  <c r="K100" i="7" s="1"/>
  <c r="J102" i="7"/>
  <c r="K103" i="7" s="1"/>
  <c r="J98" i="7"/>
  <c r="K99" i="7" s="1"/>
  <c r="E94" i="7"/>
  <c r="F95" i="7" s="1"/>
  <c r="E93" i="7"/>
  <c r="F94" i="7" s="1"/>
  <c r="E96" i="7"/>
  <c r="E92" i="7"/>
  <c r="F93" i="7" s="1"/>
  <c r="E95" i="7"/>
  <c r="F96" i="7" s="1"/>
  <c r="E91" i="7"/>
  <c r="F92" i="7" s="1"/>
  <c r="F91" i="7"/>
  <c r="D84" i="7"/>
  <c r="C88" i="7"/>
  <c r="C84" i="7"/>
  <c r="C87" i="7"/>
  <c r="C86" i="7"/>
  <c r="C89" i="7"/>
  <c r="C85" i="7"/>
  <c r="I98" i="7" l="1"/>
  <c r="H100" i="7"/>
  <c r="I101" i="7" s="1"/>
  <c r="H103" i="7"/>
  <c r="H99" i="7"/>
  <c r="I100" i="7" s="1"/>
  <c r="H102" i="7"/>
  <c r="I103" i="7" s="1"/>
  <c r="H98" i="7"/>
  <c r="I99" i="7" s="1"/>
  <c r="H101" i="7"/>
  <c r="I102" i="7" s="1"/>
  <c r="J110" i="7"/>
  <c r="J106" i="7"/>
  <c r="K107" i="7" s="1"/>
  <c r="K105" i="7"/>
  <c r="J109" i="7"/>
  <c r="K110" i="7" s="1"/>
  <c r="J105" i="7"/>
  <c r="K106" i="7" s="1"/>
  <c r="J108" i="7"/>
  <c r="K109" i="7" s="1"/>
  <c r="J107" i="7"/>
  <c r="K108" i="7" s="1"/>
  <c r="E102" i="7"/>
  <c r="F103" i="7" s="1"/>
  <c r="E98" i="7"/>
  <c r="F99" i="7" s="1"/>
  <c r="E101" i="7"/>
  <c r="F102" i="7" s="1"/>
  <c r="E100" i="7"/>
  <c r="F101" i="7" s="1"/>
  <c r="E103" i="7"/>
  <c r="E99" i="7"/>
  <c r="F100" i="7" s="1"/>
  <c r="F98" i="7"/>
  <c r="C96" i="7"/>
  <c r="C92" i="7"/>
  <c r="D93" i="7" s="1"/>
  <c r="C95" i="7"/>
  <c r="D96" i="7" s="1"/>
  <c r="C91" i="7"/>
  <c r="D92" i="7" s="1"/>
  <c r="C94" i="7"/>
  <c r="D95" i="7" s="1"/>
  <c r="C93" i="7"/>
  <c r="D94" i="7" s="1"/>
  <c r="F52" i="6"/>
  <c r="P52" i="6"/>
  <c r="P39" i="6"/>
  <c r="O39" i="6"/>
  <c r="N39" i="6"/>
  <c r="M39" i="6"/>
  <c r="L39" i="6"/>
  <c r="K39" i="6"/>
  <c r="J39" i="6"/>
  <c r="I39" i="6"/>
  <c r="H39" i="6"/>
  <c r="G39" i="6"/>
  <c r="F39" i="6"/>
  <c r="Q28" i="6"/>
  <c r="Q25" i="6"/>
  <c r="Q24" i="6"/>
  <c r="Q23" i="6"/>
  <c r="Q22" i="6"/>
  <c r="Q21" i="6"/>
  <c r="Q20" i="6"/>
  <c r="Q18" i="6"/>
  <c r="Q17" i="6"/>
  <c r="Q16" i="6"/>
  <c r="Q15" i="6"/>
  <c r="Q14" i="6"/>
  <c r="Q13" i="6"/>
  <c r="Q12" i="6"/>
  <c r="Q11" i="6"/>
  <c r="Q10" i="6"/>
  <c r="Q9" i="6"/>
  <c r="Q8" i="6"/>
  <c r="D19" i="6"/>
  <c r="D26" i="6" s="1"/>
  <c r="D29" i="6" s="1"/>
  <c r="C19" i="6"/>
  <c r="C26" i="6" s="1"/>
  <c r="Q49" i="6"/>
  <c r="Q48" i="6"/>
  <c r="E48" i="6" s="1"/>
  <c r="Q47" i="6"/>
  <c r="Q46" i="6"/>
  <c r="Q45" i="6"/>
  <c r="Q44" i="6"/>
  <c r="Q42" i="6"/>
  <c r="Q41" i="6"/>
  <c r="M41" i="6" s="1"/>
  <c r="Q40" i="6"/>
  <c r="P40" i="6" s="1"/>
  <c r="Q39" i="6"/>
  <c r="E39" i="6" s="1"/>
  <c r="Q38" i="6"/>
  <c r="N38" i="6" s="1"/>
  <c r="Q37" i="6"/>
  <c r="M37" i="6" s="1"/>
  <c r="Q36" i="6"/>
  <c r="P36" i="6" s="1"/>
  <c r="Q35" i="6"/>
  <c r="O35" i="6" s="1"/>
  <c r="Q34" i="6"/>
  <c r="N34" i="6" s="1"/>
  <c r="Q33" i="6"/>
  <c r="M33" i="6" s="1"/>
  <c r="Q32" i="6"/>
  <c r="P32" i="6" s="1"/>
  <c r="D43" i="6"/>
  <c r="D50" i="6" s="1"/>
  <c r="C43" i="6"/>
  <c r="C50" i="6" s="1"/>
  <c r="J117" i="7" l="1"/>
  <c r="J116" i="7"/>
  <c r="K117" i="7" s="1"/>
  <c r="J114" i="7"/>
  <c r="K115" i="7" s="1"/>
  <c r="J115" i="7"/>
  <c r="K116" i="7" s="1"/>
  <c r="J112" i="7"/>
  <c r="K113" i="7" s="1"/>
  <c r="J113" i="7"/>
  <c r="K114" i="7" s="1"/>
  <c r="K112" i="7"/>
  <c r="N42" i="6"/>
  <c r="P48" i="6"/>
  <c r="P49" i="6"/>
  <c r="O49" i="6"/>
  <c r="O48" i="6"/>
  <c r="H107" i="7"/>
  <c r="I108" i="7" s="1"/>
  <c r="H110" i="7"/>
  <c r="H106" i="7"/>
  <c r="I107" i="7" s="1"/>
  <c r="I105" i="7"/>
  <c r="H109" i="7"/>
  <c r="I110" i="7" s="1"/>
  <c r="H105" i="7"/>
  <c r="I106" i="7" s="1"/>
  <c r="H108" i="7"/>
  <c r="I109" i="7" s="1"/>
  <c r="F105" i="7"/>
  <c r="E107" i="7"/>
  <c r="F108" i="7" s="1"/>
  <c r="E110" i="7"/>
  <c r="E106" i="7"/>
  <c r="F107" i="7" s="1"/>
  <c r="E109" i="7"/>
  <c r="F110" i="7" s="1"/>
  <c r="E105" i="7"/>
  <c r="F106" i="7" s="1"/>
  <c r="E108" i="7"/>
  <c r="F109" i="7" s="1"/>
  <c r="D98" i="7"/>
  <c r="C102" i="7"/>
  <c r="D103" i="7" s="1"/>
  <c r="C98" i="7"/>
  <c r="D99" i="7" s="1"/>
  <c r="C101" i="7"/>
  <c r="D102" i="7" s="1"/>
  <c r="C100" i="7"/>
  <c r="D101" i="7" s="1"/>
  <c r="C103" i="7"/>
  <c r="C99" i="7"/>
  <c r="D100" i="7" s="1"/>
  <c r="E35" i="6"/>
  <c r="E38" i="6"/>
  <c r="I32" i="6"/>
  <c r="M32" i="6"/>
  <c r="F33" i="6"/>
  <c r="J33" i="6"/>
  <c r="N33" i="6"/>
  <c r="G34" i="6"/>
  <c r="K34" i="6"/>
  <c r="O34" i="6"/>
  <c r="H35" i="6"/>
  <c r="L35" i="6"/>
  <c r="P35" i="6"/>
  <c r="I36" i="6"/>
  <c r="M36" i="6"/>
  <c r="F37" i="6"/>
  <c r="J37" i="6"/>
  <c r="N37" i="6"/>
  <c r="G38" i="6"/>
  <c r="K38" i="6"/>
  <c r="O38" i="6"/>
  <c r="I40" i="6"/>
  <c r="M40" i="6"/>
  <c r="F41" i="6"/>
  <c r="J41" i="6"/>
  <c r="N41" i="6"/>
  <c r="G42" i="6"/>
  <c r="K42" i="6"/>
  <c r="O42" i="6"/>
  <c r="E52" i="6"/>
  <c r="Q52" i="6"/>
  <c r="E32" i="6"/>
  <c r="E36" i="6"/>
  <c r="E40" i="6"/>
  <c r="F32" i="6"/>
  <c r="J32" i="6"/>
  <c r="N32" i="6"/>
  <c r="G33" i="6"/>
  <c r="K33" i="6"/>
  <c r="O33" i="6"/>
  <c r="H34" i="6"/>
  <c r="L34" i="6"/>
  <c r="P34" i="6"/>
  <c r="I35" i="6"/>
  <c r="M35" i="6"/>
  <c r="F36" i="6"/>
  <c r="J36" i="6"/>
  <c r="N36" i="6"/>
  <c r="G37" i="6"/>
  <c r="K37" i="6"/>
  <c r="O37" i="6"/>
  <c r="H38" i="6"/>
  <c r="L38" i="6"/>
  <c r="P38" i="6"/>
  <c r="F40" i="6"/>
  <c r="J40" i="6"/>
  <c r="N40" i="6"/>
  <c r="G41" i="6"/>
  <c r="K41" i="6"/>
  <c r="O41" i="6"/>
  <c r="H42" i="6"/>
  <c r="L42" i="6"/>
  <c r="P42" i="6"/>
  <c r="E33" i="6"/>
  <c r="E37" i="6"/>
  <c r="E41" i="6"/>
  <c r="G32" i="6"/>
  <c r="K32" i="6"/>
  <c r="O32" i="6"/>
  <c r="H33" i="6"/>
  <c r="L33" i="6"/>
  <c r="P33" i="6"/>
  <c r="I34" i="6"/>
  <c r="M34" i="6"/>
  <c r="F35" i="6"/>
  <c r="J35" i="6"/>
  <c r="N35" i="6"/>
  <c r="G36" i="6"/>
  <c r="K36" i="6"/>
  <c r="O36" i="6"/>
  <c r="H37" i="6"/>
  <c r="L37" i="6"/>
  <c r="P37" i="6"/>
  <c r="I38" i="6"/>
  <c r="M38" i="6"/>
  <c r="G40" i="6"/>
  <c r="K40" i="6"/>
  <c r="O40" i="6"/>
  <c r="H41" i="6"/>
  <c r="L41" i="6"/>
  <c r="P41" i="6"/>
  <c r="I42" i="6"/>
  <c r="M42" i="6"/>
  <c r="G52" i="6"/>
  <c r="E34" i="6"/>
  <c r="E42" i="6"/>
  <c r="H32" i="6"/>
  <c r="L32" i="6"/>
  <c r="I33" i="6"/>
  <c r="F34" i="6"/>
  <c r="J34" i="6"/>
  <c r="G35" i="6"/>
  <c r="K35" i="6"/>
  <c r="H36" i="6"/>
  <c r="L36" i="6"/>
  <c r="I37" i="6"/>
  <c r="F38" i="6"/>
  <c r="J38" i="6"/>
  <c r="H40" i="6"/>
  <c r="L40" i="6"/>
  <c r="I41" i="6"/>
  <c r="F42" i="6"/>
  <c r="J42" i="6"/>
  <c r="H52" i="6"/>
  <c r="Q43" i="6"/>
  <c r="Q50" i="6" s="1"/>
  <c r="E115" i="7" l="1"/>
  <c r="F116" i="7" s="1"/>
  <c r="E112" i="7"/>
  <c r="F113" i="7" s="1"/>
  <c r="E117" i="7"/>
  <c r="E114" i="7"/>
  <c r="F115" i="7" s="1"/>
  <c r="E116" i="7"/>
  <c r="F117" i="7" s="1"/>
  <c r="E113" i="7"/>
  <c r="F114" i="7" s="1"/>
  <c r="F112" i="7"/>
  <c r="E43" i="6"/>
  <c r="E50" i="6" s="1"/>
  <c r="E54" i="6" s="1"/>
  <c r="P43" i="6"/>
  <c r="P50" i="6" s="1"/>
  <c r="P54" i="6" s="1"/>
  <c r="H112" i="7"/>
  <c r="I113" i="7" s="1"/>
  <c r="H117" i="7"/>
  <c r="H116" i="7"/>
  <c r="I117" i="7" s="1"/>
  <c r="H113" i="7"/>
  <c r="I114" i="7" s="1"/>
  <c r="H115" i="7"/>
  <c r="I116" i="7" s="1"/>
  <c r="H114" i="7"/>
  <c r="I115" i="7" s="1"/>
  <c r="I112" i="7"/>
  <c r="J122" i="7"/>
  <c r="K123" i="7" s="1"/>
  <c r="K119" i="7"/>
  <c r="J119" i="7"/>
  <c r="K120" i="7" s="1"/>
  <c r="J123" i="7"/>
  <c r="K124" i="7" s="1"/>
  <c r="J120" i="7"/>
  <c r="K121" i="7" s="1"/>
  <c r="J124" i="7"/>
  <c r="J121" i="7"/>
  <c r="K122" i="7" s="1"/>
  <c r="C110" i="7"/>
  <c r="C106" i="7"/>
  <c r="D107" i="7" s="1"/>
  <c r="C109" i="7"/>
  <c r="D110" i="7" s="1"/>
  <c r="C105" i="7"/>
  <c r="D106" i="7" s="1"/>
  <c r="D105" i="7"/>
  <c r="C108" i="7"/>
  <c r="D109" i="7" s="1"/>
  <c r="C107" i="7"/>
  <c r="D108" i="7" s="1"/>
  <c r="O43" i="6"/>
  <c r="O50" i="6" s="1"/>
  <c r="N43" i="6"/>
  <c r="N50" i="6" s="1"/>
  <c r="N54" i="6" s="1"/>
  <c r="I43" i="6"/>
  <c r="I50" i="6" s="1"/>
  <c r="I54" i="6" s="1"/>
  <c r="L43" i="6"/>
  <c r="L50" i="6" s="1"/>
  <c r="L54" i="6" s="1"/>
  <c r="K43" i="6"/>
  <c r="K50" i="6" s="1"/>
  <c r="K54" i="6" s="1"/>
  <c r="J43" i="6"/>
  <c r="J50" i="6" s="1"/>
  <c r="J54" i="6" s="1"/>
  <c r="H43" i="6"/>
  <c r="H50" i="6" s="1"/>
  <c r="H54" i="6" s="1"/>
  <c r="G43" i="6"/>
  <c r="G50" i="6" s="1"/>
  <c r="G54" i="6" s="1"/>
  <c r="F43" i="6"/>
  <c r="F50" i="6" s="1"/>
  <c r="F54" i="6" s="1"/>
  <c r="M43" i="6"/>
  <c r="M50" i="6" s="1"/>
  <c r="M54" i="6" s="1"/>
  <c r="H124" i="7" l="1"/>
  <c r="H121" i="7"/>
  <c r="I122" i="7" s="1"/>
  <c r="H123" i="7"/>
  <c r="I124" i="7" s="1"/>
  <c r="H122" i="7"/>
  <c r="I123" i="7" s="1"/>
  <c r="H120" i="7"/>
  <c r="I121" i="7" s="1"/>
  <c r="H119" i="7"/>
  <c r="I120" i="7" s="1"/>
  <c r="I119" i="7"/>
  <c r="F37" i="4" s="1"/>
  <c r="F38" i="4"/>
  <c r="E124" i="7"/>
  <c r="E123" i="7"/>
  <c r="F124" i="7" s="1"/>
  <c r="E122" i="7"/>
  <c r="F123" i="7" s="1"/>
  <c r="E120" i="7"/>
  <c r="F121" i="7" s="1"/>
  <c r="E121" i="7"/>
  <c r="F122" i="7" s="1"/>
  <c r="F119" i="7"/>
  <c r="E119" i="7"/>
  <c r="F120" i="7" s="1"/>
  <c r="C112" i="7"/>
  <c r="D113" i="7" s="1"/>
  <c r="C116" i="7"/>
  <c r="D117" i="7" s="1"/>
  <c r="C115" i="7"/>
  <c r="D116" i="7" s="1"/>
  <c r="C114" i="7"/>
  <c r="D115" i="7" s="1"/>
  <c r="C117" i="7"/>
  <c r="C113" i="7"/>
  <c r="D114" i="7" s="1"/>
  <c r="D112" i="7"/>
  <c r="O54" i="6"/>
  <c r="Q54" i="6" s="1"/>
  <c r="E6" i="6"/>
  <c r="E5" i="6"/>
  <c r="C124" i="7" l="1"/>
  <c r="D119" i="7"/>
  <c r="C119" i="7"/>
  <c r="D120" i="7" s="1"/>
  <c r="C123" i="7"/>
  <c r="D124" i="7" s="1"/>
  <c r="C122" i="7"/>
  <c r="D123" i="7" s="1"/>
  <c r="C121" i="7"/>
  <c r="D122" i="7" s="1"/>
  <c r="C120" i="7"/>
  <c r="D121" i="7" s="1"/>
  <c r="F20" i="4"/>
  <c r="F5" i="6"/>
  <c r="E7" i="6"/>
  <c r="F6" i="6"/>
  <c r="C69" i="6"/>
  <c r="D65" i="6" s="1"/>
  <c r="F19" i="4" l="1"/>
  <c r="G6" i="6"/>
  <c r="F7" i="6"/>
  <c r="D69" i="6"/>
  <c r="E63" i="6"/>
  <c r="B63" i="6"/>
  <c r="F62" i="6"/>
  <c r="G62" i="6" s="1"/>
  <c r="C62" i="6"/>
  <c r="C63" i="6" s="1"/>
  <c r="F61" i="6"/>
  <c r="C61" i="6"/>
  <c r="H5" i="6" l="1"/>
  <c r="G7" i="6"/>
  <c r="H6" i="6"/>
  <c r="H61" i="6"/>
  <c r="G63" i="6"/>
  <c r="H62" i="6"/>
  <c r="D61" i="6"/>
  <c r="D62" i="6"/>
  <c r="D63" i="6" s="1"/>
  <c r="F63" i="6"/>
  <c r="G61" i="6"/>
  <c r="H7" i="6" l="1"/>
  <c r="I5" i="6"/>
  <c r="I6" i="6"/>
  <c r="H63" i="6"/>
  <c r="I62" i="6"/>
  <c r="I61" i="6"/>
  <c r="J6" i="6" l="1"/>
  <c r="J5" i="6"/>
  <c r="I7" i="6"/>
  <c r="J62" i="6"/>
  <c r="J61" i="6"/>
  <c r="I63" i="6"/>
  <c r="F10" i="9" l="1"/>
  <c r="F11" i="11"/>
  <c r="K6" i="6"/>
  <c r="K5" i="6"/>
  <c r="J7" i="6"/>
  <c r="K62" i="6"/>
  <c r="K61" i="6"/>
  <c r="J63" i="6"/>
  <c r="L6" i="6" l="1"/>
  <c r="K7" i="6"/>
  <c r="L5" i="6"/>
  <c r="L61" i="6"/>
  <c r="K63" i="6"/>
  <c r="L62" i="6"/>
  <c r="L7" i="6" l="1"/>
  <c r="M5" i="6"/>
  <c r="M6" i="6"/>
  <c r="L63" i="6"/>
  <c r="M62" i="6"/>
  <c r="M61" i="6"/>
  <c r="N5" i="6" l="1"/>
  <c r="N6" i="6"/>
  <c r="M7" i="6"/>
  <c r="N62" i="6"/>
  <c r="N61" i="6"/>
  <c r="M63" i="6"/>
  <c r="O6" i="6" l="1"/>
  <c r="O5" i="6"/>
  <c r="N7" i="6"/>
  <c r="O62" i="6"/>
  <c r="O61" i="6"/>
  <c r="N63" i="6"/>
  <c r="P6" i="6" l="1"/>
  <c r="P5" i="6"/>
  <c r="O7" i="6"/>
  <c r="P61" i="6"/>
  <c r="O63" i="6"/>
  <c r="P62" i="6"/>
  <c r="P7" i="6" l="1"/>
  <c r="P63" i="6"/>
  <c r="Q62" i="6"/>
  <c r="Q61" i="6"/>
  <c r="F79" i="6" l="1"/>
  <c r="E79" i="6"/>
  <c r="F66" i="6"/>
  <c r="E66" i="6"/>
  <c r="E69" i="6" s="1"/>
  <c r="F65" i="6" s="1"/>
  <c r="R62" i="6"/>
  <c r="R61" i="6"/>
  <c r="Q63" i="6"/>
  <c r="E81" i="6" l="1"/>
  <c r="E11" i="9" s="1"/>
  <c r="F68" i="6"/>
  <c r="F69" i="6"/>
  <c r="G65" i="6" s="1"/>
  <c r="S62" i="6"/>
  <c r="S61" i="6"/>
  <c r="R63" i="6"/>
  <c r="E82" i="6" l="1"/>
  <c r="F78" i="6" s="1"/>
  <c r="F81" i="6" s="1"/>
  <c r="G68" i="6"/>
  <c r="T61" i="6"/>
  <c r="S63" i="6"/>
  <c r="T62" i="6"/>
  <c r="F11" i="9" l="1"/>
  <c r="F82" i="6"/>
  <c r="G78" i="6" s="1"/>
  <c r="T63" i="6"/>
  <c r="U62" i="6"/>
  <c r="U61" i="6"/>
  <c r="V62" i="6" l="1"/>
  <c r="V61" i="6"/>
  <c r="U63" i="6"/>
  <c r="W62" i="6" l="1"/>
  <c r="W61" i="6"/>
  <c r="V63" i="6"/>
  <c r="X61" i="6" l="1"/>
  <c r="W63" i="6"/>
  <c r="X62" i="6"/>
  <c r="X63" i="6" l="1"/>
  <c r="Y62" i="6"/>
  <c r="Y61" i="6"/>
  <c r="Z62" i="6" l="1"/>
  <c r="Z61" i="6"/>
  <c r="Y63" i="6"/>
  <c r="AA62" i="6" l="1"/>
  <c r="AA61" i="6"/>
  <c r="Z63" i="6"/>
  <c r="AB61" i="6" l="1"/>
  <c r="AA63" i="6"/>
  <c r="AB62" i="6"/>
  <c r="AB63" i="6" s="1"/>
  <c r="E48" i="3" l="1"/>
  <c r="F47" i="3"/>
  <c r="F48" i="3" s="1"/>
  <c r="C47" i="3"/>
  <c r="C48" i="3" s="1"/>
  <c r="F46" i="3"/>
  <c r="C46" i="3"/>
  <c r="C108" i="5"/>
  <c r="C101" i="5"/>
  <c r="C94" i="5"/>
  <c r="C89" i="5"/>
  <c r="C111" i="5" l="1"/>
  <c r="C113" i="5" s="1"/>
  <c r="D112" i="5"/>
  <c r="C51" i="5"/>
  <c r="D46" i="3"/>
  <c r="G47" i="3"/>
  <c r="G48" i="3" s="1"/>
  <c r="G46" i="3"/>
  <c r="D47" i="3"/>
  <c r="D48" i="3" s="1"/>
  <c r="H47" i="3" l="1"/>
  <c r="H48" i="3" s="1"/>
  <c r="H46" i="3"/>
  <c r="I47" i="3" l="1"/>
  <c r="J47" i="3" s="1"/>
  <c r="I46" i="3"/>
  <c r="J46" i="3" l="1"/>
  <c r="I48" i="3"/>
  <c r="K46" i="3"/>
  <c r="J48" i="3"/>
  <c r="K47" i="3"/>
  <c r="K48" i="3" l="1"/>
  <c r="L47" i="3"/>
  <c r="L46" i="3"/>
  <c r="L48" i="3" l="1"/>
  <c r="M47" i="3"/>
  <c r="M46" i="3"/>
  <c r="N47" i="3" l="1"/>
  <c r="N46" i="3"/>
  <c r="M48" i="3"/>
  <c r="O46" i="3" l="1"/>
  <c r="O47" i="3"/>
  <c r="N48" i="3"/>
  <c r="O48" i="3" l="1"/>
  <c r="P47" i="3"/>
  <c r="P46" i="3"/>
  <c r="P48" i="3" l="1"/>
  <c r="Q47" i="3"/>
  <c r="Q46" i="3"/>
  <c r="R47" i="3" l="1"/>
  <c r="R46" i="3"/>
  <c r="Q48" i="3"/>
  <c r="S46" i="3" l="1"/>
  <c r="R48" i="3"/>
  <c r="S47" i="3"/>
  <c r="S48" i="3" l="1"/>
  <c r="T46" i="3"/>
  <c r="T47" i="3"/>
  <c r="T48" i="3" l="1"/>
  <c r="U47" i="3"/>
  <c r="U46" i="3"/>
  <c r="V47" i="3" l="1"/>
  <c r="V46" i="3"/>
  <c r="U48" i="3"/>
  <c r="W46" i="3" l="1"/>
  <c r="W47" i="3"/>
  <c r="V48" i="3"/>
  <c r="W48" i="3" l="1"/>
  <c r="X47" i="3"/>
  <c r="X46" i="3"/>
  <c r="X48" i="3" l="1"/>
  <c r="Y47" i="3"/>
  <c r="Y46" i="3"/>
  <c r="Z47" i="3" l="1"/>
  <c r="Z46" i="3"/>
  <c r="Y48" i="3"/>
  <c r="AA46" i="3" l="1"/>
  <c r="Z48" i="3"/>
  <c r="AA47" i="3"/>
  <c r="AA48" i="3" l="1"/>
  <c r="AB47" i="3"/>
  <c r="AB48" i="3" s="1"/>
  <c r="AB46" i="3"/>
  <c r="BS23" i="3" l="1"/>
  <c r="C23" i="3"/>
  <c r="C52" i="5"/>
  <c r="C37" i="5"/>
  <c r="C43" i="5" s="1"/>
  <c r="C76" i="5"/>
  <c r="C69" i="5"/>
  <c r="C78" i="5" s="1"/>
  <c r="C62" i="5"/>
  <c r="F60" i="5"/>
  <c r="G60" i="5" s="1"/>
  <c r="H60" i="5" s="1"/>
  <c r="I60" i="5" s="1"/>
  <c r="J60" i="5" s="1"/>
  <c r="C80" i="5" l="1"/>
  <c r="C56" i="5"/>
  <c r="D69" i="5"/>
  <c r="K60" i="5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V60" i="5" s="1"/>
  <c r="W60" i="5" s="1"/>
  <c r="X60" i="5" s="1"/>
  <c r="Y60" i="5" s="1"/>
  <c r="Z60" i="5" s="1"/>
  <c r="AA60" i="5" s="1"/>
  <c r="AB60" i="5" s="1"/>
  <c r="B7" i="5"/>
  <c r="C11" i="5"/>
  <c r="C16" i="5" s="1"/>
  <c r="C20" i="5" s="1"/>
  <c r="C23" i="5" s="1"/>
  <c r="E7" i="5"/>
  <c r="F6" i="5"/>
  <c r="C6" i="5"/>
  <c r="C7" i="5" s="1"/>
  <c r="F5" i="5"/>
  <c r="C5" i="5"/>
  <c r="BR12" i="3"/>
  <c r="D18" i="3"/>
  <c r="D10" i="3"/>
  <c r="D6" i="3"/>
  <c r="D5" i="3"/>
  <c r="F96" i="2"/>
  <c r="G89" i="2"/>
  <c r="G74" i="2"/>
  <c r="B38" i="2"/>
  <c r="G28" i="2"/>
  <c r="H28" i="2" s="1"/>
  <c r="I28" i="2" s="1"/>
  <c r="J28" i="2" s="1"/>
  <c r="F17" i="2"/>
  <c r="F18" i="2" s="1"/>
  <c r="E7" i="2"/>
  <c r="F6" i="2"/>
  <c r="F7" i="2" s="1"/>
  <c r="C6" i="2"/>
  <c r="C7" i="2" s="1"/>
  <c r="F5" i="2"/>
  <c r="C5" i="2"/>
  <c r="G66" i="4"/>
  <c r="H66" i="4" s="1"/>
  <c r="I66" i="4" s="1"/>
  <c r="J66" i="4" s="1"/>
  <c r="K66" i="4" s="1"/>
  <c r="L66" i="4" s="1"/>
  <c r="M66" i="4" s="1"/>
  <c r="N66" i="4" s="1"/>
  <c r="O66" i="4" s="1"/>
  <c r="P66" i="4" s="1"/>
  <c r="Q66" i="4" s="1"/>
  <c r="R66" i="4" s="1"/>
  <c r="S66" i="4" s="1"/>
  <c r="T66" i="4" s="1"/>
  <c r="U66" i="4" s="1"/>
  <c r="V66" i="4" s="1"/>
  <c r="W66" i="4" s="1"/>
  <c r="X66" i="4" s="1"/>
  <c r="Y66" i="4" s="1"/>
  <c r="Z66" i="4" s="1"/>
  <c r="AA66" i="4" s="1"/>
  <c r="AB66" i="4" s="1"/>
  <c r="E130" i="1"/>
  <c r="F130" i="1" s="1"/>
  <c r="G130" i="1" s="1"/>
  <c r="H130" i="1" s="1"/>
  <c r="I130" i="1" s="1"/>
  <c r="J130" i="1" s="1"/>
  <c r="K130" i="1" s="1"/>
  <c r="L130" i="1" s="1"/>
  <c r="M130" i="1" s="1"/>
  <c r="N130" i="1" s="1"/>
  <c r="O130" i="1" s="1"/>
  <c r="P130" i="1" s="1"/>
  <c r="Q130" i="1" s="1"/>
  <c r="R130" i="1" s="1"/>
  <c r="S130" i="1" s="1"/>
  <c r="T130" i="1" s="1"/>
  <c r="U130" i="1" s="1"/>
  <c r="V130" i="1" s="1"/>
  <c r="W130" i="1" s="1"/>
  <c r="X130" i="1" s="1"/>
  <c r="Y130" i="1" s="1"/>
  <c r="Z130" i="1" s="1"/>
  <c r="AA130" i="1" s="1"/>
  <c r="AB130" i="1" s="1"/>
  <c r="E129" i="1"/>
  <c r="F129" i="1" s="1"/>
  <c r="G129" i="1" s="1"/>
  <c r="H129" i="1" s="1"/>
  <c r="I129" i="1" s="1"/>
  <c r="J129" i="1" s="1"/>
  <c r="K129" i="1" s="1"/>
  <c r="L129" i="1" s="1"/>
  <c r="M129" i="1" s="1"/>
  <c r="N129" i="1" s="1"/>
  <c r="O129" i="1" s="1"/>
  <c r="P129" i="1" s="1"/>
  <c r="Q129" i="1" s="1"/>
  <c r="R129" i="1" s="1"/>
  <c r="S129" i="1" s="1"/>
  <c r="T129" i="1" s="1"/>
  <c r="U129" i="1" s="1"/>
  <c r="V129" i="1" s="1"/>
  <c r="W129" i="1" s="1"/>
  <c r="X129" i="1" s="1"/>
  <c r="Y129" i="1" s="1"/>
  <c r="Z129" i="1" s="1"/>
  <c r="AA129" i="1" s="1"/>
  <c r="AB129" i="1" s="1"/>
  <c r="E127" i="1"/>
  <c r="F127" i="1" s="1"/>
  <c r="E95" i="1"/>
  <c r="F95" i="1" s="1"/>
  <c r="G95" i="1" s="1"/>
  <c r="G47" i="2" s="1"/>
  <c r="E98" i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W98" i="1" s="1"/>
  <c r="X98" i="1" s="1"/>
  <c r="Y98" i="1" s="1"/>
  <c r="Z98" i="1" s="1"/>
  <c r="AA98" i="1" s="1"/>
  <c r="AB98" i="1" s="1"/>
  <c r="E97" i="1"/>
  <c r="E66" i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W66" i="1" s="1"/>
  <c r="X66" i="1" s="1"/>
  <c r="Y66" i="1" s="1"/>
  <c r="Z66" i="1" s="1"/>
  <c r="AA66" i="1" s="1"/>
  <c r="AB66" i="1" s="1"/>
  <c r="E65" i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E34" i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E33" i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E31" i="1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G40" i="4"/>
  <c r="F40" i="4"/>
  <c r="G38" i="4"/>
  <c r="H38" i="4" s="1"/>
  <c r="I38" i="4" s="1"/>
  <c r="J38" i="4" s="1"/>
  <c r="K38" i="4" s="1"/>
  <c r="L38" i="4" s="1"/>
  <c r="M38" i="4" s="1"/>
  <c r="N38" i="4" s="1"/>
  <c r="O38" i="4" s="1"/>
  <c r="P38" i="4" s="1"/>
  <c r="Q38" i="4" s="1"/>
  <c r="R38" i="4" s="1"/>
  <c r="S38" i="4" s="1"/>
  <c r="T38" i="4" s="1"/>
  <c r="U38" i="4" s="1"/>
  <c r="V38" i="4" s="1"/>
  <c r="W38" i="4" s="1"/>
  <c r="X38" i="4" s="1"/>
  <c r="Y38" i="4" s="1"/>
  <c r="Z38" i="4" s="1"/>
  <c r="AA38" i="4" s="1"/>
  <c r="AB38" i="4" s="1"/>
  <c r="G37" i="4"/>
  <c r="H37" i="4" s="1"/>
  <c r="I37" i="4" s="1"/>
  <c r="J37" i="4" s="1"/>
  <c r="K37" i="4" s="1"/>
  <c r="L37" i="4" s="1"/>
  <c r="M37" i="4" s="1"/>
  <c r="N37" i="4" s="1"/>
  <c r="O37" i="4" s="1"/>
  <c r="P37" i="4" s="1"/>
  <c r="Q37" i="4" s="1"/>
  <c r="R37" i="4" s="1"/>
  <c r="S37" i="4" s="1"/>
  <c r="T37" i="4" s="1"/>
  <c r="U37" i="4" s="1"/>
  <c r="V37" i="4" s="1"/>
  <c r="W37" i="4" s="1"/>
  <c r="X37" i="4" s="1"/>
  <c r="Y37" i="4" s="1"/>
  <c r="Z37" i="4" s="1"/>
  <c r="AA37" i="4" s="1"/>
  <c r="AB37" i="4" s="1"/>
  <c r="G20" i="4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G19" i="4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W19" i="4" s="1"/>
  <c r="X19" i="4" s="1"/>
  <c r="Y19" i="4" s="1"/>
  <c r="Z19" i="4" s="1"/>
  <c r="AA19" i="4" s="1"/>
  <c r="AB19" i="4" s="1"/>
  <c r="E7" i="4"/>
  <c r="F6" i="4"/>
  <c r="F7" i="4" s="1"/>
  <c r="C6" i="4"/>
  <c r="C7" i="4" s="1"/>
  <c r="F5" i="4"/>
  <c r="C5" i="4"/>
  <c r="F26" i="4" l="1"/>
  <c r="F29" i="4" s="1"/>
  <c r="F7" i="5"/>
  <c r="D132" i="12"/>
  <c r="F75" i="4"/>
  <c r="F69" i="4"/>
  <c r="F36" i="2" s="1"/>
  <c r="F37" i="2" s="1"/>
  <c r="C27" i="5"/>
  <c r="C9" i="9"/>
  <c r="F57" i="16"/>
  <c r="G57" i="16"/>
  <c r="D73" i="5"/>
  <c r="D42" i="3"/>
  <c r="D8" i="3"/>
  <c r="E6" i="3"/>
  <c r="E8" i="3" s="1"/>
  <c r="F97" i="1"/>
  <c r="F47" i="2"/>
  <c r="D13" i="3"/>
  <c r="D7" i="3"/>
  <c r="D5" i="5"/>
  <c r="D6" i="5"/>
  <c r="D7" i="5" s="1"/>
  <c r="G5" i="5"/>
  <c r="G6" i="5"/>
  <c r="E132" i="12" s="1"/>
  <c r="D21" i="3"/>
  <c r="E20" i="3" s="1"/>
  <c r="E5" i="3"/>
  <c r="G95" i="2"/>
  <c r="H89" i="2"/>
  <c r="G67" i="2"/>
  <c r="G68" i="2" s="1"/>
  <c r="H10" i="2"/>
  <c r="H74" i="2"/>
  <c r="D5" i="2"/>
  <c r="D6" i="2"/>
  <c r="F9" i="2"/>
  <c r="K28" i="2"/>
  <c r="L28" i="2" s="1"/>
  <c r="G5" i="2"/>
  <c r="G6" i="2"/>
  <c r="G9" i="2" s="1"/>
  <c r="F9" i="4"/>
  <c r="F44" i="4"/>
  <c r="F47" i="4" s="1"/>
  <c r="G127" i="1"/>
  <c r="H95" i="1"/>
  <c r="H47" i="2" s="1"/>
  <c r="F39" i="4"/>
  <c r="F42" i="4" s="1"/>
  <c r="G5" i="4"/>
  <c r="G26" i="4" s="1"/>
  <c r="G29" i="4" s="1"/>
  <c r="H21" i="4"/>
  <c r="G6" i="4"/>
  <c r="F21" i="4"/>
  <c r="D5" i="4"/>
  <c r="G21" i="4"/>
  <c r="G14" i="4" s="1"/>
  <c r="D6" i="4"/>
  <c r="F65" i="3" l="1"/>
  <c r="F136" i="12"/>
  <c r="H17" i="2"/>
  <c r="E10" i="3"/>
  <c r="E12" i="3"/>
  <c r="C22" i="9"/>
  <c r="C12" i="9"/>
  <c r="E133" i="12"/>
  <c r="E191" i="12" s="1"/>
  <c r="F131" i="12"/>
  <c r="D133" i="12"/>
  <c r="D191" i="12" s="1"/>
  <c r="E131" i="12"/>
  <c r="G69" i="4"/>
  <c r="G36" i="2" s="1"/>
  <c r="G37" i="2" s="1"/>
  <c r="G75" i="4"/>
  <c r="E7" i="3"/>
  <c r="F46" i="4"/>
  <c r="F60" i="3" s="1"/>
  <c r="H18" i="2"/>
  <c r="F88" i="2"/>
  <c r="F90" i="2" s="1"/>
  <c r="F12" i="2"/>
  <c r="G88" i="2"/>
  <c r="G90" i="2" s="1"/>
  <c r="D76" i="5"/>
  <c r="D78" i="5" s="1"/>
  <c r="D80" i="5" s="1"/>
  <c r="E42" i="3"/>
  <c r="F6" i="3"/>
  <c r="F5" i="3"/>
  <c r="G17" i="2"/>
  <c r="G18" i="2" s="1"/>
  <c r="G97" i="1"/>
  <c r="F26" i="2"/>
  <c r="F27" i="2" s="1"/>
  <c r="F24" i="4"/>
  <c r="F28" i="4"/>
  <c r="F59" i="3" s="1"/>
  <c r="G24" i="4"/>
  <c r="E18" i="3"/>
  <c r="E21" i="3" s="1"/>
  <c r="F20" i="3" s="1"/>
  <c r="D23" i="3"/>
  <c r="G7" i="5"/>
  <c r="H6" i="5"/>
  <c r="F132" i="12" s="1"/>
  <c r="H5" i="5"/>
  <c r="H95" i="2"/>
  <c r="H96" i="2" s="1"/>
  <c r="G96" i="2"/>
  <c r="I10" i="2"/>
  <c r="G136" i="12" s="1"/>
  <c r="I89" i="2"/>
  <c r="H67" i="2"/>
  <c r="H68" i="2" s="1"/>
  <c r="I74" i="2"/>
  <c r="D7" i="2"/>
  <c r="M28" i="2"/>
  <c r="G7" i="2"/>
  <c r="H6" i="2"/>
  <c r="H9" i="2" s="1"/>
  <c r="H5" i="2"/>
  <c r="G9" i="4"/>
  <c r="G44" i="4"/>
  <c r="G47" i="4" s="1"/>
  <c r="G65" i="3" s="1"/>
  <c r="H127" i="1"/>
  <c r="I95" i="1"/>
  <c r="I47" i="2" s="1"/>
  <c r="G39" i="4"/>
  <c r="D7" i="4"/>
  <c r="I21" i="4"/>
  <c r="G7" i="4"/>
  <c r="H6" i="4"/>
  <c r="H5" i="4"/>
  <c r="C14" i="9" l="1"/>
  <c r="C15" i="9"/>
  <c r="C17" i="9" s="1"/>
  <c r="C18" i="9" s="1"/>
  <c r="E139" i="12"/>
  <c r="E138" i="12"/>
  <c r="H58" i="4"/>
  <c r="H28" i="4"/>
  <c r="I57" i="16"/>
  <c r="H75" i="4"/>
  <c r="H69" i="4"/>
  <c r="H36" i="2" s="1"/>
  <c r="H37" i="2" s="1"/>
  <c r="F133" i="12"/>
  <c r="G131" i="12"/>
  <c r="F138" i="12"/>
  <c r="F143" i="12" s="1"/>
  <c r="F139" i="12"/>
  <c r="E13" i="3"/>
  <c r="E23" i="3" s="1"/>
  <c r="G42" i="4"/>
  <c r="G46" i="4"/>
  <c r="G60" i="3" s="1"/>
  <c r="F49" i="4"/>
  <c r="F11" i="4"/>
  <c r="G55" i="3"/>
  <c r="F55" i="3"/>
  <c r="F144" i="12"/>
  <c r="F31" i="4"/>
  <c r="F72" i="2"/>
  <c r="F73" i="2" s="1"/>
  <c r="F75" i="2" s="1"/>
  <c r="I17" i="2"/>
  <c r="I18" i="2" s="1"/>
  <c r="H88" i="2"/>
  <c r="H90" i="2" s="1"/>
  <c r="H55" i="3" s="1"/>
  <c r="F42" i="3"/>
  <c r="F8" i="3"/>
  <c r="F7" i="3"/>
  <c r="G5" i="3"/>
  <c r="G6" i="3"/>
  <c r="F29" i="2"/>
  <c r="H97" i="1"/>
  <c r="G13" i="2"/>
  <c r="G28" i="4"/>
  <c r="G59" i="3" s="1"/>
  <c r="G26" i="2"/>
  <c r="G27" i="2" s="1"/>
  <c r="D25" i="3"/>
  <c r="F18" i="3"/>
  <c r="F21" i="3" s="1"/>
  <c r="G20" i="3" s="1"/>
  <c r="H7" i="5"/>
  <c r="I6" i="5"/>
  <c r="G132" i="12" s="1"/>
  <c r="I5" i="5"/>
  <c r="I95" i="2"/>
  <c r="J10" i="2"/>
  <c r="H136" i="12" s="1"/>
  <c r="J89" i="2"/>
  <c r="I67" i="2"/>
  <c r="I68" i="2" s="1"/>
  <c r="J74" i="2"/>
  <c r="N28" i="2"/>
  <c r="H7" i="2"/>
  <c r="I6" i="2"/>
  <c r="I9" i="2" s="1"/>
  <c r="I5" i="2"/>
  <c r="H9" i="4"/>
  <c r="H44" i="4"/>
  <c r="I127" i="1"/>
  <c r="J95" i="1"/>
  <c r="J47" i="2" s="1"/>
  <c r="H39" i="4"/>
  <c r="I6" i="4"/>
  <c r="I5" i="4"/>
  <c r="H7" i="4"/>
  <c r="J21" i="4"/>
  <c r="H48" i="4" l="1"/>
  <c r="H46" i="4"/>
  <c r="H15" i="4"/>
  <c r="H12" i="4" s="1"/>
  <c r="G138" i="12"/>
  <c r="E143" i="12"/>
  <c r="E155" i="12"/>
  <c r="E150" i="12"/>
  <c r="E181" i="12"/>
  <c r="E171" i="12"/>
  <c r="E161" i="12"/>
  <c r="G139" i="12"/>
  <c r="G144" i="12" s="1"/>
  <c r="G143" i="12"/>
  <c r="C16" i="9"/>
  <c r="D14" i="9" s="1"/>
  <c r="D16" i="9" s="1"/>
  <c r="H30" i="4"/>
  <c r="H29" i="4"/>
  <c r="C19" i="9"/>
  <c r="C20" i="9" s="1"/>
  <c r="C21" i="9" s="1"/>
  <c r="C23" i="9" s="1"/>
  <c r="D18" i="9"/>
  <c r="D19" i="9" s="1"/>
  <c r="D20" i="9" s="1"/>
  <c r="D21" i="9" s="1"/>
  <c r="F156" i="12"/>
  <c r="F151" i="12"/>
  <c r="F162" i="12"/>
  <c r="F172" i="12"/>
  <c r="F182" i="12"/>
  <c r="H131" i="12"/>
  <c r="G133" i="12"/>
  <c r="F155" i="12"/>
  <c r="F150" i="12"/>
  <c r="F141" i="12"/>
  <c r="F161" i="12"/>
  <c r="F171" i="12"/>
  <c r="F181" i="12"/>
  <c r="F140" i="12"/>
  <c r="I75" i="4"/>
  <c r="F12" i="3"/>
  <c r="F10" i="3"/>
  <c r="F13" i="3" s="1"/>
  <c r="G12" i="3" s="1"/>
  <c r="I69" i="4"/>
  <c r="I36" i="2" s="1"/>
  <c r="I37" i="2" s="1"/>
  <c r="E144" i="12"/>
  <c r="E151" i="12"/>
  <c r="E156" i="12"/>
  <c r="E182" i="12"/>
  <c r="E172" i="12"/>
  <c r="E162" i="12"/>
  <c r="I58" i="4"/>
  <c r="I26" i="4"/>
  <c r="I28" i="4" s="1"/>
  <c r="F83" i="4"/>
  <c r="F65" i="4"/>
  <c r="G49" i="4"/>
  <c r="H60" i="3"/>
  <c r="F145" i="12"/>
  <c r="H11" i="2" s="1"/>
  <c r="H12" i="2" s="1"/>
  <c r="H11" i="4" s="1"/>
  <c r="H83" i="4" s="1"/>
  <c r="G10" i="3"/>
  <c r="G31" i="4"/>
  <c r="J17" i="2"/>
  <c r="J18" i="2" s="1"/>
  <c r="I88" i="2"/>
  <c r="I90" i="2" s="1"/>
  <c r="I55" i="3" s="1"/>
  <c r="E25" i="3"/>
  <c r="G42" i="3"/>
  <c r="G8" i="3"/>
  <c r="G7" i="3"/>
  <c r="H5" i="3"/>
  <c r="H6" i="3"/>
  <c r="I97" i="1"/>
  <c r="H13" i="2"/>
  <c r="G29" i="2"/>
  <c r="H59" i="3"/>
  <c r="K10" i="2"/>
  <c r="I136" i="12" s="1"/>
  <c r="H26" i="2"/>
  <c r="H27" i="2" s="1"/>
  <c r="G18" i="3"/>
  <c r="G21" i="3" s="1"/>
  <c r="H20" i="3" s="1"/>
  <c r="J6" i="5"/>
  <c r="H132" i="12" s="1"/>
  <c r="J5" i="5"/>
  <c r="I7" i="5"/>
  <c r="J95" i="2"/>
  <c r="I96" i="2"/>
  <c r="K89" i="2"/>
  <c r="J67" i="2"/>
  <c r="J68" i="2" s="1"/>
  <c r="K74" i="2"/>
  <c r="O28" i="2"/>
  <c r="J6" i="2"/>
  <c r="J9" i="2" s="1"/>
  <c r="I7" i="2"/>
  <c r="J5" i="2"/>
  <c r="I9" i="4"/>
  <c r="I44" i="4"/>
  <c r="I46" i="4" s="1"/>
  <c r="J127" i="1"/>
  <c r="K95" i="1"/>
  <c r="K47" i="2" s="1"/>
  <c r="I39" i="4"/>
  <c r="J6" i="4"/>
  <c r="J75" i="4" s="1"/>
  <c r="J5" i="4"/>
  <c r="I7" i="4"/>
  <c r="K21" i="4"/>
  <c r="I15" i="4" l="1"/>
  <c r="I12" i="4" s="1"/>
  <c r="I30" i="4"/>
  <c r="I60" i="3"/>
  <c r="H31" i="4"/>
  <c r="I48" i="4"/>
  <c r="G145" i="12"/>
  <c r="I11" i="2" s="1"/>
  <c r="I12" i="2" s="1"/>
  <c r="I11" i="4" s="1"/>
  <c r="I83" i="4" s="1"/>
  <c r="F163" i="12"/>
  <c r="F167" i="12" s="1"/>
  <c r="F173" i="12"/>
  <c r="F177" i="12" s="1"/>
  <c r="F157" i="12"/>
  <c r="J58" i="4"/>
  <c r="J26" i="4"/>
  <c r="J28" i="4" s="1"/>
  <c r="G156" i="12"/>
  <c r="H156" i="12" s="1"/>
  <c r="I156" i="12" s="1"/>
  <c r="J156" i="12" s="1"/>
  <c r="K156" i="12" s="1"/>
  <c r="L156" i="12" s="1"/>
  <c r="M156" i="12" s="1"/>
  <c r="N156" i="12" s="1"/>
  <c r="O156" i="12" s="1"/>
  <c r="P156" i="12" s="1"/>
  <c r="Q156" i="12" s="1"/>
  <c r="R156" i="12" s="1"/>
  <c r="S156" i="12" s="1"/>
  <c r="T156" i="12" s="1"/>
  <c r="U156" i="12" s="1"/>
  <c r="V156" i="12" s="1"/>
  <c r="W156" i="12" s="1"/>
  <c r="X156" i="12" s="1"/>
  <c r="Y156" i="12" s="1"/>
  <c r="Z156" i="12" s="1"/>
  <c r="G151" i="12"/>
  <c r="H151" i="12" s="1"/>
  <c r="I151" i="12" s="1"/>
  <c r="J151" i="12" s="1"/>
  <c r="K151" i="12" s="1"/>
  <c r="L151" i="12" s="1"/>
  <c r="M151" i="12" s="1"/>
  <c r="N151" i="12" s="1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Y151" i="12" s="1"/>
  <c r="Z151" i="12" s="1"/>
  <c r="G162" i="12"/>
  <c r="G172" i="12"/>
  <c r="G182" i="12"/>
  <c r="D24" i="9"/>
  <c r="D23" i="9"/>
  <c r="E163" i="12"/>
  <c r="E167" i="12" s="1"/>
  <c r="I29" i="4"/>
  <c r="E173" i="12"/>
  <c r="E177" i="12" s="1"/>
  <c r="H133" i="12"/>
  <c r="I131" i="12"/>
  <c r="E183" i="12"/>
  <c r="E187" i="12" s="1"/>
  <c r="J57" i="16"/>
  <c r="F23" i="3"/>
  <c r="E152" i="12"/>
  <c r="G155" i="12"/>
  <c r="G150" i="12"/>
  <c r="G181" i="12"/>
  <c r="G161" i="12"/>
  <c r="G171" i="12"/>
  <c r="G140" i="12"/>
  <c r="H138" i="12"/>
  <c r="H139" i="12"/>
  <c r="H144" i="12" s="1"/>
  <c r="F183" i="12"/>
  <c r="F187" i="12" s="1"/>
  <c r="E157" i="12"/>
  <c r="E145" i="12"/>
  <c r="G11" i="2" s="1"/>
  <c r="G12" i="2" s="1"/>
  <c r="F152" i="12"/>
  <c r="J69" i="4"/>
  <c r="J36" i="2" s="1"/>
  <c r="J37" i="2" s="1"/>
  <c r="L10" i="2"/>
  <c r="J136" i="12" s="1"/>
  <c r="H72" i="2"/>
  <c r="H73" i="2" s="1"/>
  <c r="H75" i="2" s="1"/>
  <c r="F25" i="3"/>
  <c r="G13" i="3"/>
  <c r="G23" i="3" s="1"/>
  <c r="K17" i="2"/>
  <c r="K18" i="2" s="1"/>
  <c r="J88" i="2"/>
  <c r="J90" i="2" s="1"/>
  <c r="J55" i="3" s="1"/>
  <c r="I57" i="6"/>
  <c r="H42" i="3"/>
  <c r="H8" i="3"/>
  <c r="I6" i="3"/>
  <c r="H7" i="3"/>
  <c r="I5" i="3"/>
  <c r="J97" i="1"/>
  <c r="I13" i="2"/>
  <c r="I59" i="3"/>
  <c r="H29" i="2"/>
  <c r="I26" i="2"/>
  <c r="I27" i="2" s="1"/>
  <c r="H18" i="3"/>
  <c r="H21" i="3" s="1"/>
  <c r="I20" i="3" s="1"/>
  <c r="K5" i="5"/>
  <c r="J7" i="5"/>
  <c r="K6" i="5"/>
  <c r="I132" i="12" s="1"/>
  <c r="K95" i="2"/>
  <c r="J96" i="2"/>
  <c r="L89" i="2"/>
  <c r="K67" i="2"/>
  <c r="K68" i="2" s="1"/>
  <c r="L74" i="2"/>
  <c r="P28" i="2"/>
  <c r="J7" i="2"/>
  <c r="K6" i="2"/>
  <c r="K9" i="2" s="1"/>
  <c r="K5" i="2"/>
  <c r="J9" i="4"/>
  <c r="J44" i="4"/>
  <c r="J46" i="4" s="1"/>
  <c r="K127" i="1"/>
  <c r="L95" i="1"/>
  <c r="L47" i="2" s="1"/>
  <c r="J39" i="4"/>
  <c r="L21" i="4"/>
  <c r="K5" i="4"/>
  <c r="J7" i="4"/>
  <c r="K6" i="4"/>
  <c r="K69" i="4" s="1"/>
  <c r="K36" i="2" s="1"/>
  <c r="K37" i="2" s="1"/>
  <c r="J15" i="4" l="1"/>
  <c r="J12" i="4" s="1"/>
  <c r="K75" i="4"/>
  <c r="F238" i="12"/>
  <c r="J48" i="4"/>
  <c r="G173" i="12"/>
  <c r="G177" i="12" s="1"/>
  <c r="G163" i="12"/>
  <c r="G167" i="12" s="1"/>
  <c r="G201" i="12" s="1"/>
  <c r="F201" i="12" s="1"/>
  <c r="G183" i="12"/>
  <c r="G187" i="12" s="1"/>
  <c r="H171" i="12"/>
  <c r="H181" i="12"/>
  <c r="H161" i="12"/>
  <c r="H140" i="12"/>
  <c r="I133" i="12"/>
  <c r="J131" i="12"/>
  <c r="H150" i="12"/>
  <c r="G152" i="12"/>
  <c r="E189" i="12"/>
  <c r="G15" i="5" s="1"/>
  <c r="D29" i="9"/>
  <c r="D32" i="9" s="1"/>
  <c r="D28" i="9"/>
  <c r="M10" i="2"/>
  <c r="K136" i="12" s="1"/>
  <c r="H155" i="12"/>
  <c r="G157" i="12"/>
  <c r="I139" i="12"/>
  <c r="I138" i="12"/>
  <c r="I143" i="12" s="1"/>
  <c r="G11" i="4"/>
  <c r="G83" i="4" s="1"/>
  <c r="G72" i="2"/>
  <c r="G73" i="2" s="1"/>
  <c r="G75" i="2" s="1"/>
  <c r="H143" i="12"/>
  <c r="H145" i="12" s="1"/>
  <c r="J11" i="2" s="1"/>
  <c r="J12" i="2" s="1"/>
  <c r="J11" i="4" s="1"/>
  <c r="J83" i="4" s="1"/>
  <c r="F203" i="12"/>
  <c r="L17" i="2"/>
  <c r="L18" i="2" s="1"/>
  <c r="J30" i="4"/>
  <c r="J29" i="4"/>
  <c r="K58" i="4"/>
  <c r="K26" i="4"/>
  <c r="K28" i="4" s="1"/>
  <c r="H172" i="12"/>
  <c r="H162" i="12"/>
  <c r="H182" i="12"/>
  <c r="J60" i="3"/>
  <c r="I72" i="2"/>
  <c r="I73" i="2" s="1"/>
  <c r="I75" i="2" s="1"/>
  <c r="H10" i="3"/>
  <c r="H12" i="3"/>
  <c r="K88" i="2"/>
  <c r="K90" i="2" s="1"/>
  <c r="K55" i="3" s="1"/>
  <c r="G25" i="3"/>
  <c r="J57" i="6"/>
  <c r="I42" i="3"/>
  <c r="I8" i="3"/>
  <c r="J6" i="3"/>
  <c r="J5" i="3"/>
  <c r="I7" i="3"/>
  <c r="K97" i="1"/>
  <c r="J13" i="2"/>
  <c r="J59" i="3"/>
  <c r="I29" i="2"/>
  <c r="J26" i="2"/>
  <c r="J27" i="2" s="1"/>
  <c r="I18" i="3"/>
  <c r="I21" i="3" s="1"/>
  <c r="K7" i="5"/>
  <c r="L6" i="5"/>
  <c r="J132" i="12" s="1"/>
  <c r="L5" i="5"/>
  <c r="L95" i="2"/>
  <c r="K96" i="2"/>
  <c r="M89" i="2"/>
  <c r="L67" i="2"/>
  <c r="L68" i="2" s="1"/>
  <c r="M74" i="2"/>
  <c r="N10" i="2"/>
  <c r="L136" i="12" s="1"/>
  <c r="Q28" i="2"/>
  <c r="K7" i="2"/>
  <c r="L6" i="2"/>
  <c r="L9" i="2" s="1"/>
  <c r="L5" i="2"/>
  <c r="K9" i="4"/>
  <c r="K44" i="4"/>
  <c r="L127" i="1"/>
  <c r="M95" i="1"/>
  <c r="M47" i="2" s="1"/>
  <c r="K39" i="4"/>
  <c r="K7" i="4"/>
  <c r="L6" i="4"/>
  <c r="L69" i="4" s="1"/>
  <c r="L36" i="2" s="1"/>
  <c r="L37" i="2" s="1"/>
  <c r="L5" i="4"/>
  <c r="M21" i="4"/>
  <c r="K46" i="4" l="1"/>
  <c r="K15" i="4"/>
  <c r="K12" i="4" s="1"/>
  <c r="K48" i="4"/>
  <c r="D31" i="9"/>
  <c r="M17" i="2"/>
  <c r="M18" i="2" s="1"/>
  <c r="L75" i="4"/>
  <c r="G203" i="12"/>
  <c r="G238" i="12"/>
  <c r="J133" i="12"/>
  <c r="K131" i="12"/>
  <c r="H152" i="12"/>
  <c r="I150" i="12"/>
  <c r="L58" i="4"/>
  <c r="L26" i="4"/>
  <c r="L28" i="4" s="1"/>
  <c r="J138" i="12"/>
  <c r="J143" i="12" s="1"/>
  <c r="J139" i="12"/>
  <c r="I161" i="12"/>
  <c r="I171" i="12"/>
  <c r="I181" i="12"/>
  <c r="I140" i="12"/>
  <c r="I162" i="12"/>
  <c r="I182" i="12"/>
  <c r="I172" i="12"/>
  <c r="K30" i="4"/>
  <c r="K29" i="4"/>
  <c r="I144" i="12"/>
  <c r="I145" i="12" s="1"/>
  <c r="K11" i="2" s="1"/>
  <c r="K12" i="2" s="1"/>
  <c r="K11" i="4" s="1"/>
  <c r="K83" i="4" s="1"/>
  <c r="H163" i="12"/>
  <c r="H167" i="12" s="1"/>
  <c r="H201" i="12" s="1"/>
  <c r="I155" i="12"/>
  <c r="H157" i="12"/>
  <c r="H183" i="12"/>
  <c r="H187" i="12" s="1"/>
  <c r="H173" i="12"/>
  <c r="H177" i="12" s="1"/>
  <c r="K60" i="3"/>
  <c r="J72" i="2"/>
  <c r="J73" i="2" s="1"/>
  <c r="J75" i="2" s="1"/>
  <c r="H13" i="3"/>
  <c r="L88" i="2"/>
  <c r="L90" i="2" s="1"/>
  <c r="L55" i="3" s="1"/>
  <c r="J42" i="3"/>
  <c r="J8" i="3"/>
  <c r="K5" i="3"/>
  <c r="K6" i="3"/>
  <c r="J7" i="3"/>
  <c r="L97" i="1"/>
  <c r="K13" i="2"/>
  <c r="K59" i="3"/>
  <c r="J29" i="2"/>
  <c r="K26" i="2"/>
  <c r="K27" i="2" s="1"/>
  <c r="J18" i="3"/>
  <c r="J21" i="3" s="1"/>
  <c r="K20" i="3" s="1"/>
  <c r="L7" i="5"/>
  <c r="L105" i="5" s="1"/>
  <c r="M6" i="5"/>
  <c r="K132" i="12" s="1"/>
  <c r="M5" i="5"/>
  <c r="M95" i="2"/>
  <c r="L96" i="2"/>
  <c r="N89" i="2"/>
  <c r="M67" i="2"/>
  <c r="M68" i="2" s="1"/>
  <c r="N74" i="2"/>
  <c r="N17" i="2"/>
  <c r="N18" i="2" s="1"/>
  <c r="O10" i="2"/>
  <c r="M136" i="12" s="1"/>
  <c r="R28" i="2"/>
  <c r="L7" i="2"/>
  <c r="M6" i="2"/>
  <c r="M9" i="2" s="1"/>
  <c r="M5" i="2"/>
  <c r="L9" i="4"/>
  <c r="L44" i="4"/>
  <c r="L46" i="4" s="1"/>
  <c r="M127" i="1"/>
  <c r="N95" i="1"/>
  <c r="N47" i="2" s="1"/>
  <c r="L39" i="4"/>
  <c r="N21" i="4"/>
  <c r="L7" i="4"/>
  <c r="M6" i="4"/>
  <c r="M5" i="4"/>
  <c r="L15" i="4" l="1"/>
  <c r="L12" i="4" s="1"/>
  <c r="I173" i="12"/>
  <c r="I177" i="12" s="1"/>
  <c r="I163" i="12"/>
  <c r="I167" i="12" s="1"/>
  <c r="I201" i="12" s="1"/>
  <c r="L60" i="3"/>
  <c r="L48" i="4"/>
  <c r="H238" i="12"/>
  <c r="I157" i="12"/>
  <c r="J155" i="12"/>
  <c r="J161" i="12"/>
  <c r="J171" i="12"/>
  <c r="J181" i="12"/>
  <c r="J140" i="12"/>
  <c r="L30" i="4"/>
  <c r="L29" i="4"/>
  <c r="H203" i="12"/>
  <c r="J150" i="12"/>
  <c r="I152" i="12"/>
  <c r="J172" i="12"/>
  <c r="J162" i="12"/>
  <c r="J182" i="12"/>
  <c r="M58" i="4"/>
  <c r="M26" i="4"/>
  <c r="M28" i="4" s="1"/>
  <c r="M75" i="4"/>
  <c r="M69" i="4"/>
  <c r="M36" i="2" s="1"/>
  <c r="M37" i="2" s="1"/>
  <c r="K138" i="12"/>
  <c r="K143" i="12" s="1"/>
  <c r="K139" i="12"/>
  <c r="K144" i="12" s="1"/>
  <c r="J144" i="12"/>
  <c r="J145" i="12" s="1"/>
  <c r="L131" i="12"/>
  <c r="K133" i="12"/>
  <c r="I183" i="12"/>
  <c r="I187" i="12" s="1"/>
  <c r="K72" i="2"/>
  <c r="K73" i="2" s="1"/>
  <c r="K75" i="2" s="1"/>
  <c r="I10" i="3"/>
  <c r="I12" i="3"/>
  <c r="H23" i="3"/>
  <c r="M88" i="2"/>
  <c r="M90" i="2" s="1"/>
  <c r="M55" i="3" s="1"/>
  <c r="L57" i="6"/>
  <c r="K42" i="3"/>
  <c r="K8" i="3"/>
  <c r="L5" i="3"/>
  <c r="K7" i="3"/>
  <c r="L6" i="3"/>
  <c r="L8" i="3" s="1"/>
  <c r="M97" i="1"/>
  <c r="L13" i="2"/>
  <c r="L59" i="3"/>
  <c r="L26" i="2"/>
  <c r="L27" i="2" s="1"/>
  <c r="K29" i="2"/>
  <c r="K18" i="3"/>
  <c r="K21" i="3" s="1"/>
  <c r="N6" i="5"/>
  <c r="L132" i="12" s="1"/>
  <c r="N5" i="5"/>
  <c r="M7" i="5"/>
  <c r="M96" i="2"/>
  <c r="N95" i="2"/>
  <c r="O89" i="2"/>
  <c r="N67" i="2"/>
  <c r="N68" i="2" s="1"/>
  <c r="O74" i="2"/>
  <c r="O17" i="2"/>
  <c r="O18" i="2" s="1"/>
  <c r="P10" i="2"/>
  <c r="S28" i="2"/>
  <c r="N6" i="2"/>
  <c r="N9" i="2" s="1"/>
  <c r="N5" i="2"/>
  <c r="M7" i="2"/>
  <c r="M9" i="4"/>
  <c r="M44" i="4"/>
  <c r="M46" i="4" s="1"/>
  <c r="N127" i="1"/>
  <c r="O95" i="1"/>
  <c r="O47" i="2" s="1"/>
  <c r="M39" i="4"/>
  <c r="N5" i="4"/>
  <c r="M7" i="4"/>
  <c r="N6" i="4"/>
  <c r="N69" i="4" s="1"/>
  <c r="N36" i="2" s="1"/>
  <c r="N37" i="2" s="1"/>
  <c r="O21" i="4"/>
  <c r="M15" i="4" l="1"/>
  <c r="M12" i="4" s="1"/>
  <c r="I203" i="12"/>
  <c r="M48" i="4"/>
  <c r="I238" i="12"/>
  <c r="N58" i="4"/>
  <c r="N26" i="4"/>
  <c r="N28" i="4" s="1"/>
  <c r="J183" i="12"/>
  <c r="J187" i="12" s="1"/>
  <c r="M30" i="4"/>
  <c r="M29" i="4"/>
  <c r="J173" i="12"/>
  <c r="J177" i="12" s="1"/>
  <c r="L138" i="12"/>
  <c r="L139" i="12"/>
  <c r="N75" i="4"/>
  <c r="J163" i="12"/>
  <c r="J167" i="12" s="1"/>
  <c r="J201" i="12" s="1"/>
  <c r="L133" i="12"/>
  <c r="M131" i="12"/>
  <c r="K182" i="12"/>
  <c r="K162" i="12"/>
  <c r="K172" i="12"/>
  <c r="J157" i="12"/>
  <c r="K155" i="12"/>
  <c r="K171" i="12"/>
  <c r="K161" i="12"/>
  <c r="K181" i="12"/>
  <c r="K140" i="12"/>
  <c r="K150" i="12"/>
  <c r="J152" i="12"/>
  <c r="P17" i="2"/>
  <c r="N136" i="12"/>
  <c r="M60" i="3"/>
  <c r="K145" i="12"/>
  <c r="L11" i="2"/>
  <c r="L12" i="2" s="1"/>
  <c r="H25" i="3"/>
  <c r="I13" i="3"/>
  <c r="N88" i="2"/>
  <c r="N90" i="2" s="1"/>
  <c r="N55" i="3" s="1"/>
  <c r="M5" i="3"/>
  <c r="M6" i="3"/>
  <c r="M8" i="3" s="1"/>
  <c r="L7" i="3"/>
  <c r="N97" i="1"/>
  <c r="M13" i="2"/>
  <c r="M59" i="3"/>
  <c r="M26" i="2"/>
  <c r="M27" i="2" s="1"/>
  <c r="L29" i="2"/>
  <c r="L18" i="3"/>
  <c r="L21" i="3" s="1"/>
  <c r="O5" i="5"/>
  <c r="N7" i="5"/>
  <c r="O6" i="5"/>
  <c r="M132" i="12" s="1"/>
  <c r="N96" i="2"/>
  <c r="O95" i="2"/>
  <c r="P89" i="2"/>
  <c r="O67" i="2"/>
  <c r="O68" i="2" s="1"/>
  <c r="P74" i="2"/>
  <c r="P18" i="2"/>
  <c r="Q10" i="2"/>
  <c r="T28" i="2"/>
  <c r="N7" i="2"/>
  <c r="O6" i="2"/>
  <c r="O9" i="2" s="1"/>
  <c r="O5" i="2"/>
  <c r="N9" i="4"/>
  <c r="N44" i="4"/>
  <c r="O127" i="1"/>
  <c r="P95" i="1"/>
  <c r="P47" i="2" s="1"/>
  <c r="N39" i="4"/>
  <c r="P21" i="4"/>
  <c r="O5" i="4"/>
  <c r="N7" i="4"/>
  <c r="O6" i="4"/>
  <c r="N46" i="4" l="1"/>
  <c r="K173" i="12"/>
  <c r="K177" i="12" s="1"/>
  <c r="N48" i="4"/>
  <c r="N15" i="4"/>
  <c r="N12" i="4" s="1"/>
  <c r="N60" i="3"/>
  <c r="K183" i="12"/>
  <c r="K187" i="12" s="1"/>
  <c r="K163" i="12"/>
  <c r="K167" i="12" s="1"/>
  <c r="K201" i="12" s="1"/>
  <c r="J203" i="12"/>
  <c r="L181" i="12"/>
  <c r="L171" i="12"/>
  <c r="L161" i="12"/>
  <c r="L140" i="12"/>
  <c r="L162" i="12"/>
  <c r="L182" i="12"/>
  <c r="L172" i="12"/>
  <c r="O75" i="4"/>
  <c r="O69" i="4"/>
  <c r="O36" i="2" s="1"/>
  <c r="O37" i="2" s="1"/>
  <c r="N30" i="4"/>
  <c r="N29" i="4"/>
  <c r="O58" i="4"/>
  <c r="O26" i="4"/>
  <c r="O28" i="4" s="1"/>
  <c r="L143" i="12"/>
  <c r="L144" i="12"/>
  <c r="K152" i="12"/>
  <c r="L150" i="12"/>
  <c r="M138" i="12"/>
  <c r="M139" i="12"/>
  <c r="L155" i="12"/>
  <c r="K157" i="12"/>
  <c r="M133" i="12"/>
  <c r="N131" i="12"/>
  <c r="J238" i="12"/>
  <c r="Q17" i="2"/>
  <c r="O136" i="12"/>
  <c r="L11" i="4"/>
  <c r="L83" i="4" s="1"/>
  <c r="L72" i="2"/>
  <c r="L73" i="2" s="1"/>
  <c r="L75" i="2" s="1"/>
  <c r="M11" i="2"/>
  <c r="M12" i="2" s="1"/>
  <c r="J10" i="3"/>
  <c r="J12" i="3"/>
  <c r="I23" i="3"/>
  <c r="O88" i="2"/>
  <c r="O90" i="2" s="1"/>
  <c r="O55" i="3" s="1"/>
  <c r="N5" i="3"/>
  <c r="N6" i="3"/>
  <c r="M7" i="3"/>
  <c r="O97" i="1"/>
  <c r="N13" i="2"/>
  <c r="N59" i="3"/>
  <c r="N26" i="2"/>
  <c r="N27" i="2" s="1"/>
  <c r="M29" i="2"/>
  <c r="M18" i="3"/>
  <c r="M21" i="3" s="1"/>
  <c r="O7" i="5"/>
  <c r="P6" i="5"/>
  <c r="N132" i="12" s="1"/>
  <c r="P5" i="5"/>
  <c r="O96" i="2"/>
  <c r="P95" i="2"/>
  <c r="Q89" i="2"/>
  <c r="P67" i="2"/>
  <c r="P68" i="2" s="1"/>
  <c r="Q74" i="2"/>
  <c r="Q18" i="2"/>
  <c r="R10" i="2"/>
  <c r="U28" i="2"/>
  <c r="O7" i="2"/>
  <c r="P6" i="2"/>
  <c r="P9" i="2" s="1"/>
  <c r="P5" i="2"/>
  <c r="O9" i="4"/>
  <c r="O44" i="4"/>
  <c r="P127" i="1"/>
  <c r="Q95" i="1"/>
  <c r="Q47" i="2" s="1"/>
  <c r="O39" i="4"/>
  <c r="Q21" i="4"/>
  <c r="O7" i="4"/>
  <c r="P6" i="4"/>
  <c r="P75" i="4" s="1"/>
  <c r="P5" i="4"/>
  <c r="O46" i="4" l="1"/>
  <c r="O15" i="4"/>
  <c r="O12" i="4" s="1"/>
  <c r="K203" i="12"/>
  <c r="O48" i="4"/>
  <c r="L145" i="12"/>
  <c r="N11" i="2" s="1"/>
  <c r="N12" i="2" s="1"/>
  <c r="N11" i="4" s="1"/>
  <c r="N83" i="4" s="1"/>
  <c r="K238" i="12"/>
  <c r="M182" i="12"/>
  <c r="M162" i="12"/>
  <c r="M172" i="12"/>
  <c r="P69" i="4"/>
  <c r="P36" i="2" s="1"/>
  <c r="P37" i="2" s="1"/>
  <c r="N8" i="3"/>
  <c r="N133" i="12"/>
  <c r="O131" i="12"/>
  <c r="O30" i="4"/>
  <c r="O29" i="4"/>
  <c r="N139" i="12"/>
  <c r="N138" i="12"/>
  <c r="N143" i="12" s="1"/>
  <c r="L152" i="12"/>
  <c r="M150" i="12"/>
  <c r="L163" i="12"/>
  <c r="L167" i="12" s="1"/>
  <c r="L201" i="12" s="1"/>
  <c r="M144" i="12"/>
  <c r="L173" i="12"/>
  <c r="L177" i="12" s="1"/>
  <c r="M171" i="12"/>
  <c r="M181" i="12"/>
  <c r="M161" i="12"/>
  <c r="M140" i="12"/>
  <c r="P58" i="4"/>
  <c r="P26" i="4"/>
  <c r="P28" i="4" s="1"/>
  <c r="M143" i="12"/>
  <c r="M155" i="12"/>
  <c r="L157" i="12"/>
  <c r="L183" i="12"/>
  <c r="L187" i="12" s="1"/>
  <c r="O60" i="3"/>
  <c r="R17" i="2"/>
  <c r="R18" i="2" s="1"/>
  <c r="P136" i="12"/>
  <c r="M11" i="4"/>
  <c r="M83" i="4" s="1"/>
  <c r="M72" i="2"/>
  <c r="M73" i="2" s="1"/>
  <c r="M75" i="2" s="1"/>
  <c r="I25" i="3"/>
  <c r="J13" i="3"/>
  <c r="P88" i="2"/>
  <c r="P90" i="2" s="1"/>
  <c r="P55" i="3" s="1"/>
  <c r="O5" i="3"/>
  <c r="O6" i="3"/>
  <c r="N7" i="3"/>
  <c r="P97" i="1"/>
  <c r="O13" i="2"/>
  <c r="O59" i="3"/>
  <c r="O26" i="2"/>
  <c r="O27" i="2" s="1"/>
  <c r="N29" i="2"/>
  <c r="N18" i="3"/>
  <c r="N21" i="3" s="1"/>
  <c r="O20" i="3" s="1"/>
  <c r="P7" i="5"/>
  <c r="Q6" i="5"/>
  <c r="O132" i="12" s="1"/>
  <c r="Q5" i="5"/>
  <c r="P96" i="2"/>
  <c r="Q95" i="2"/>
  <c r="R89" i="2"/>
  <c r="Q67" i="2"/>
  <c r="Q68" i="2" s="1"/>
  <c r="R74" i="2"/>
  <c r="S10" i="2"/>
  <c r="V28" i="2"/>
  <c r="P7" i="2"/>
  <c r="Q6" i="2"/>
  <c r="Q9" i="2" s="1"/>
  <c r="Q5" i="2"/>
  <c r="P9" i="4"/>
  <c r="P44" i="4"/>
  <c r="P46" i="4" s="1"/>
  <c r="Q127" i="1"/>
  <c r="R95" i="1"/>
  <c r="R47" i="2" s="1"/>
  <c r="P39" i="4"/>
  <c r="R21" i="4"/>
  <c r="Q6" i="4"/>
  <c r="Q69" i="4" s="1"/>
  <c r="Q36" i="2" s="1"/>
  <c r="Q37" i="2" s="1"/>
  <c r="Q5" i="4"/>
  <c r="P7" i="4"/>
  <c r="P48" i="4" l="1"/>
  <c r="P15" i="4"/>
  <c r="P12" i="4" s="1"/>
  <c r="N72" i="2"/>
  <c r="N73" i="2" s="1"/>
  <c r="N75" i="2" s="1"/>
  <c r="L203" i="12"/>
  <c r="M183" i="12"/>
  <c r="M187" i="12" s="1"/>
  <c r="Q75" i="4"/>
  <c r="M145" i="12"/>
  <c r="O11" i="2" s="1"/>
  <c r="O12" i="2" s="1"/>
  <c r="N162" i="12"/>
  <c r="N182" i="12"/>
  <c r="N172" i="12"/>
  <c r="O8" i="3"/>
  <c r="M157" i="12"/>
  <c r="N155" i="12"/>
  <c r="P131" i="12"/>
  <c r="O133" i="12"/>
  <c r="N144" i="12"/>
  <c r="N145" i="12" s="1"/>
  <c r="Q58" i="4"/>
  <c r="Q26" i="4"/>
  <c r="Q28" i="4" s="1"/>
  <c r="P30" i="4"/>
  <c r="P29" i="4"/>
  <c r="N150" i="12"/>
  <c r="M152" i="12"/>
  <c r="O138" i="12"/>
  <c r="O143" i="12" s="1"/>
  <c r="O139" i="12"/>
  <c r="O144" i="12" s="1"/>
  <c r="M173" i="12"/>
  <c r="M177" i="12" s="1"/>
  <c r="L238" i="12"/>
  <c r="M163" i="12"/>
  <c r="M167" i="12" s="1"/>
  <c r="M201" i="12" s="1"/>
  <c r="N181" i="12"/>
  <c r="N161" i="12"/>
  <c r="N171" i="12"/>
  <c r="N140" i="12"/>
  <c r="S17" i="2"/>
  <c r="S18" i="2" s="1"/>
  <c r="Q136" i="12"/>
  <c r="P60" i="3"/>
  <c r="K10" i="3"/>
  <c r="K12" i="3"/>
  <c r="J23" i="3"/>
  <c r="Q88" i="2"/>
  <c r="Q90" i="2" s="1"/>
  <c r="Q55" i="3" s="1"/>
  <c r="P5" i="3"/>
  <c r="O7" i="3"/>
  <c r="P6" i="3"/>
  <c r="Q97" i="1"/>
  <c r="P13" i="2"/>
  <c r="P59" i="3"/>
  <c r="P26" i="2"/>
  <c r="P27" i="2" s="1"/>
  <c r="O29" i="2"/>
  <c r="O18" i="3"/>
  <c r="O21" i="3" s="1"/>
  <c r="P20" i="3" s="1"/>
  <c r="R6" i="5"/>
  <c r="P132" i="12" s="1"/>
  <c r="R5" i="5"/>
  <c r="Q7" i="5"/>
  <c r="Q96" i="2"/>
  <c r="R95" i="2"/>
  <c r="S89" i="2"/>
  <c r="R67" i="2"/>
  <c r="R68" i="2" s="1"/>
  <c r="S74" i="2"/>
  <c r="T10" i="2"/>
  <c r="W28" i="2"/>
  <c r="R6" i="2"/>
  <c r="R9" i="2" s="1"/>
  <c r="R5" i="2"/>
  <c r="Q7" i="2"/>
  <c r="Q9" i="4"/>
  <c r="Q44" i="4"/>
  <c r="R127" i="1"/>
  <c r="S95" i="1"/>
  <c r="S47" i="2" s="1"/>
  <c r="Q39" i="4"/>
  <c r="R6" i="4"/>
  <c r="R69" i="4" s="1"/>
  <c r="R36" i="2" s="1"/>
  <c r="R37" i="2" s="1"/>
  <c r="R5" i="4"/>
  <c r="Q7" i="4"/>
  <c r="S21" i="4"/>
  <c r="Q46" i="4" l="1"/>
  <c r="Q60" i="3" s="1"/>
  <c r="Q15" i="4"/>
  <c r="Q12" i="4" s="1"/>
  <c r="M203" i="12"/>
  <c r="Q48" i="4"/>
  <c r="N163" i="12"/>
  <c r="N167" i="12" s="1"/>
  <c r="N201" i="12" s="1"/>
  <c r="N183" i="12"/>
  <c r="N187" i="12" s="1"/>
  <c r="M238" i="12"/>
  <c r="N173" i="12"/>
  <c r="N177" i="12" s="1"/>
  <c r="O155" i="12"/>
  <c r="N157" i="12"/>
  <c r="O172" i="12"/>
  <c r="O162" i="12"/>
  <c r="O182" i="12"/>
  <c r="P8" i="3"/>
  <c r="O150" i="12"/>
  <c r="N152" i="12"/>
  <c r="R75" i="4"/>
  <c r="P138" i="12"/>
  <c r="P143" i="12" s="1"/>
  <c r="P139" i="12"/>
  <c r="P133" i="12"/>
  <c r="Q131" i="12"/>
  <c r="Q30" i="4"/>
  <c r="Q29" i="4"/>
  <c r="R58" i="4"/>
  <c r="R26" i="4"/>
  <c r="R28" i="4" s="1"/>
  <c r="O181" i="12"/>
  <c r="O171" i="12"/>
  <c r="O161" i="12"/>
  <c r="O163" i="12" s="1"/>
  <c r="O167" i="12" s="1"/>
  <c r="O201" i="12" s="1"/>
  <c r="O140" i="12"/>
  <c r="T17" i="2"/>
  <c r="T18" i="2" s="1"/>
  <c r="R136" i="12"/>
  <c r="O11" i="4"/>
  <c r="O83" i="4" s="1"/>
  <c r="O72" i="2"/>
  <c r="O73" i="2" s="1"/>
  <c r="O75" i="2" s="1"/>
  <c r="O145" i="12"/>
  <c r="P11" i="2"/>
  <c r="P12" i="2" s="1"/>
  <c r="K13" i="3"/>
  <c r="L10" i="3" s="1"/>
  <c r="J25" i="3"/>
  <c r="R88" i="2"/>
  <c r="R90" i="2" s="1"/>
  <c r="R55" i="3" s="1"/>
  <c r="Q5" i="3"/>
  <c r="Q6" i="3"/>
  <c r="P7" i="3"/>
  <c r="R97" i="1"/>
  <c r="Q13" i="2"/>
  <c r="Q59" i="3"/>
  <c r="Q26" i="2"/>
  <c r="Q27" i="2" s="1"/>
  <c r="P29" i="2"/>
  <c r="P18" i="3"/>
  <c r="P21" i="3" s="1"/>
  <c r="Q20" i="3" s="1"/>
  <c r="S5" i="5"/>
  <c r="R7" i="5"/>
  <c r="S6" i="5"/>
  <c r="Q132" i="12" s="1"/>
  <c r="R96" i="2"/>
  <c r="S95" i="2"/>
  <c r="T89" i="2"/>
  <c r="S67" i="2"/>
  <c r="S68" i="2" s="1"/>
  <c r="T74" i="2"/>
  <c r="U10" i="2"/>
  <c r="X28" i="2"/>
  <c r="R7" i="2"/>
  <c r="S6" i="2"/>
  <c r="S9" i="2" s="1"/>
  <c r="S5" i="2"/>
  <c r="R9" i="4"/>
  <c r="R44" i="4"/>
  <c r="R46" i="4" s="1"/>
  <c r="S127" i="1"/>
  <c r="T95" i="1"/>
  <c r="T47" i="2" s="1"/>
  <c r="R39" i="4"/>
  <c r="T21" i="4"/>
  <c r="S5" i="4"/>
  <c r="R7" i="4"/>
  <c r="S6" i="4"/>
  <c r="S75" i="4" s="1"/>
  <c r="R15" i="4" l="1"/>
  <c r="R12" i="4" s="1"/>
  <c r="N238" i="12"/>
  <c r="R48" i="4"/>
  <c r="O173" i="12"/>
  <c r="O177" i="12" s="1"/>
  <c r="N203" i="12"/>
  <c r="Q138" i="12"/>
  <c r="Q143" i="12" s="1"/>
  <c r="Q139" i="12"/>
  <c r="Q144" i="12" s="1"/>
  <c r="S58" i="4"/>
  <c r="S26" i="4"/>
  <c r="S28" i="4" s="1"/>
  <c r="Q8" i="3"/>
  <c r="P172" i="12"/>
  <c r="P162" i="12"/>
  <c r="P182" i="12"/>
  <c r="R30" i="4"/>
  <c r="R29" i="4"/>
  <c r="P150" i="12"/>
  <c r="O152" i="12"/>
  <c r="P161" i="12"/>
  <c r="P181" i="12"/>
  <c r="P171" i="12"/>
  <c r="P140" i="12"/>
  <c r="Q133" i="12"/>
  <c r="R131" i="12"/>
  <c r="P144" i="12"/>
  <c r="P145" i="12" s="1"/>
  <c r="R11" i="2" s="1"/>
  <c r="R12" i="2" s="1"/>
  <c r="R11" i="4" s="1"/>
  <c r="R83" i="4" s="1"/>
  <c r="O183" i="12"/>
  <c r="O187" i="12" s="1"/>
  <c r="S69" i="4"/>
  <c r="S36" i="2" s="1"/>
  <c r="S37" i="2" s="1"/>
  <c r="O157" i="12"/>
  <c r="P155" i="12"/>
  <c r="U17" i="2"/>
  <c r="U18" i="2" s="1"/>
  <c r="S136" i="12"/>
  <c r="R60" i="3"/>
  <c r="Q11" i="2"/>
  <c r="Q12" i="2" s="1"/>
  <c r="Q11" i="4" s="1"/>
  <c r="Q83" i="4" s="1"/>
  <c r="P11" i="4"/>
  <c r="P83" i="4" s="1"/>
  <c r="P72" i="2"/>
  <c r="P73" i="2" s="1"/>
  <c r="P75" i="2" s="1"/>
  <c r="K23" i="3"/>
  <c r="K25" i="3" s="1"/>
  <c r="L12" i="3"/>
  <c r="L13" i="3" s="1"/>
  <c r="S88" i="2"/>
  <c r="S90" i="2" s="1"/>
  <c r="S55" i="3" s="1"/>
  <c r="R5" i="3"/>
  <c r="R6" i="3"/>
  <c r="Q7" i="3"/>
  <c r="S97" i="1"/>
  <c r="R13" i="2"/>
  <c r="R59" i="3"/>
  <c r="R26" i="2"/>
  <c r="R27" i="2" s="1"/>
  <c r="Q29" i="2"/>
  <c r="Q18" i="3"/>
  <c r="Q21" i="3" s="1"/>
  <c r="R20" i="3" s="1"/>
  <c r="S7" i="5"/>
  <c r="T6" i="5"/>
  <c r="R132" i="12" s="1"/>
  <c r="T5" i="5"/>
  <c r="S96" i="2"/>
  <c r="T95" i="2"/>
  <c r="U89" i="2"/>
  <c r="T67" i="2"/>
  <c r="T68" i="2" s="1"/>
  <c r="U74" i="2"/>
  <c r="V10" i="2"/>
  <c r="Y28" i="2"/>
  <c r="S7" i="2"/>
  <c r="T6" i="2"/>
  <c r="T9" i="2" s="1"/>
  <c r="T5" i="2"/>
  <c r="S9" i="4"/>
  <c r="S44" i="4"/>
  <c r="T127" i="1"/>
  <c r="U95" i="1"/>
  <c r="U47" i="2" s="1"/>
  <c r="S39" i="4"/>
  <c r="U21" i="4"/>
  <c r="S7" i="4"/>
  <c r="T6" i="4"/>
  <c r="T69" i="4" s="1"/>
  <c r="T36" i="2" s="1"/>
  <c r="T37" i="2" s="1"/>
  <c r="T5" i="4"/>
  <c r="S46" i="4" l="1"/>
  <c r="S60" i="3" s="1"/>
  <c r="S15" i="4"/>
  <c r="S12" i="4" s="1"/>
  <c r="T75" i="4"/>
  <c r="S48" i="4"/>
  <c r="O238" i="12"/>
  <c r="O203" i="12"/>
  <c r="R139" i="12"/>
  <c r="R144" i="12" s="1"/>
  <c r="R138" i="12"/>
  <c r="R143" i="12" s="1"/>
  <c r="P157" i="12"/>
  <c r="Q155" i="12"/>
  <c r="P173" i="12"/>
  <c r="P177" i="12" s="1"/>
  <c r="P183" i="12"/>
  <c r="P187" i="12" s="1"/>
  <c r="S30" i="4"/>
  <c r="S29" i="4"/>
  <c r="T58" i="4"/>
  <c r="T26" i="4"/>
  <c r="T28" i="4" s="1"/>
  <c r="P163" i="12"/>
  <c r="P167" i="12" s="1"/>
  <c r="P201" i="12" s="1"/>
  <c r="R8" i="3"/>
  <c r="R26" i="3"/>
  <c r="Q172" i="12"/>
  <c r="Q162" i="12"/>
  <c r="Q182" i="12"/>
  <c r="P152" i="12"/>
  <c r="Q150" i="12"/>
  <c r="Q181" i="12"/>
  <c r="Q161" i="12"/>
  <c r="Q171" i="12"/>
  <c r="Q140" i="12"/>
  <c r="R133" i="12"/>
  <c r="S131" i="12"/>
  <c r="Q145" i="12"/>
  <c r="S11" i="2" s="1"/>
  <c r="S12" i="2" s="1"/>
  <c r="S11" i="4" s="1"/>
  <c r="S83" i="4" s="1"/>
  <c r="V17" i="2"/>
  <c r="V18" i="2" s="1"/>
  <c r="T136" i="12"/>
  <c r="R72" i="2"/>
  <c r="R73" i="2" s="1"/>
  <c r="R75" i="2" s="1"/>
  <c r="Q72" i="2"/>
  <c r="Q73" i="2" s="1"/>
  <c r="Q75" i="2" s="1"/>
  <c r="M12" i="3"/>
  <c r="L23" i="3"/>
  <c r="L25" i="3" s="1"/>
  <c r="M10" i="3"/>
  <c r="T88" i="2"/>
  <c r="T90" i="2" s="1"/>
  <c r="T55" i="3" s="1"/>
  <c r="S6" i="3"/>
  <c r="R7" i="3"/>
  <c r="S5" i="3"/>
  <c r="T97" i="1"/>
  <c r="S13" i="2"/>
  <c r="S59" i="3"/>
  <c r="R29" i="2"/>
  <c r="S26" i="2"/>
  <c r="S27" i="2" s="1"/>
  <c r="R18" i="3"/>
  <c r="R21" i="3" s="1"/>
  <c r="S20" i="3" s="1"/>
  <c r="T7" i="5"/>
  <c r="U6" i="5"/>
  <c r="S132" i="12" s="1"/>
  <c r="U5" i="5"/>
  <c r="T96" i="2"/>
  <c r="U95" i="2"/>
  <c r="V89" i="2"/>
  <c r="U67" i="2"/>
  <c r="U68" i="2" s="1"/>
  <c r="V74" i="2"/>
  <c r="W10" i="2"/>
  <c r="Z28" i="2"/>
  <c r="T7" i="2"/>
  <c r="U6" i="2"/>
  <c r="U9" i="2" s="1"/>
  <c r="U5" i="2"/>
  <c r="T9" i="4"/>
  <c r="T44" i="4"/>
  <c r="U127" i="1"/>
  <c r="V95" i="1"/>
  <c r="V47" i="2" s="1"/>
  <c r="T39" i="4"/>
  <c r="T7" i="4"/>
  <c r="U6" i="4"/>
  <c r="U75" i="4" s="1"/>
  <c r="U5" i="4"/>
  <c r="V21" i="4"/>
  <c r="T48" i="4" l="1"/>
  <c r="T46" i="4"/>
  <c r="T15" i="4"/>
  <c r="T12" i="4" s="1"/>
  <c r="Q163" i="12"/>
  <c r="Q167" i="12" s="1"/>
  <c r="Q201" i="12" s="1"/>
  <c r="Q173" i="12"/>
  <c r="Q177" i="12" s="1"/>
  <c r="Q183" i="12"/>
  <c r="Q187" i="12" s="1"/>
  <c r="P238" i="12"/>
  <c r="Q152" i="12"/>
  <c r="R150" i="12"/>
  <c r="T30" i="4"/>
  <c r="T29" i="4"/>
  <c r="P203" i="12"/>
  <c r="T131" i="12"/>
  <c r="S133" i="12"/>
  <c r="R155" i="12"/>
  <c r="Q157" i="12"/>
  <c r="S8" i="3"/>
  <c r="S26" i="3"/>
  <c r="U69" i="4"/>
  <c r="U36" i="2" s="1"/>
  <c r="U37" i="2" s="1"/>
  <c r="U58" i="4"/>
  <c r="U26" i="4"/>
  <c r="U28" i="4" s="1"/>
  <c r="S138" i="12"/>
  <c r="S143" i="12" s="1"/>
  <c r="S139" i="12"/>
  <c r="S144" i="12" s="1"/>
  <c r="R181" i="12"/>
  <c r="R171" i="12"/>
  <c r="R161" i="12"/>
  <c r="R140" i="12"/>
  <c r="R182" i="12"/>
  <c r="R172" i="12"/>
  <c r="R162" i="12"/>
  <c r="R145" i="12"/>
  <c r="T11" i="2" s="1"/>
  <c r="T12" i="2" s="1"/>
  <c r="T11" i="4" s="1"/>
  <c r="T83" i="4" s="1"/>
  <c r="W17" i="2"/>
  <c r="W18" i="2" s="1"/>
  <c r="U136" i="12"/>
  <c r="T60" i="3"/>
  <c r="S72" i="2"/>
  <c r="S73" i="2" s="1"/>
  <c r="S75" i="2" s="1"/>
  <c r="M13" i="3"/>
  <c r="U88" i="2"/>
  <c r="U90" i="2" s="1"/>
  <c r="U55" i="3" s="1"/>
  <c r="T5" i="3"/>
  <c r="S7" i="3"/>
  <c r="T6" i="3"/>
  <c r="U97" i="1"/>
  <c r="T13" i="2"/>
  <c r="T59" i="3"/>
  <c r="T26" i="2"/>
  <c r="T27" i="2" s="1"/>
  <c r="S29" i="2"/>
  <c r="S18" i="3"/>
  <c r="S21" i="3" s="1"/>
  <c r="T20" i="3" s="1"/>
  <c r="V6" i="5"/>
  <c r="T132" i="12" s="1"/>
  <c r="V5" i="5"/>
  <c r="U7" i="5"/>
  <c r="U96" i="2"/>
  <c r="V95" i="2"/>
  <c r="W89" i="2"/>
  <c r="V67" i="2"/>
  <c r="V68" i="2" s="1"/>
  <c r="W74" i="2"/>
  <c r="X10" i="2"/>
  <c r="AA28" i="2"/>
  <c r="V6" i="2"/>
  <c r="V9" i="2" s="1"/>
  <c r="V5" i="2"/>
  <c r="U7" i="2"/>
  <c r="U9" i="4"/>
  <c r="U44" i="4"/>
  <c r="U46" i="4" s="1"/>
  <c r="V127" i="1"/>
  <c r="W95" i="1"/>
  <c r="W47" i="2" s="1"/>
  <c r="U39" i="4"/>
  <c r="W21" i="4"/>
  <c r="V5" i="4"/>
  <c r="U7" i="4"/>
  <c r="V6" i="4"/>
  <c r="U15" i="4" l="1"/>
  <c r="U12" i="4" s="1"/>
  <c r="U60" i="3"/>
  <c r="Q203" i="12"/>
  <c r="U48" i="4"/>
  <c r="R183" i="12"/>
  <c r="R187" i="12" s="1"/>
  <c r="R173" i="12"/>
  <c r="R177" i="12" s="1"/>
  <c r="S145" i="12"/>
  <c r="U11" i="2" s="1"/>
  <c r="U12" i="2" s="1"/>
  <c r="U11" i="4" s="1"/>
  <c r="U83" i="4" s="1"/>
  <c r="U30" i="4"/>
  <c r="U29" i="4"/>
  <c r="T139" i="12"/>
  <c r="T144" i="12" s="1"/>
  <c r="T138" i="12"/>
  <c r="T143" i="12" s="1"/>
  <c r="R157" i="12"/>
  <c r="S155" i="12"/>
  <c r="V58" i="4"/>
  <c r="V26" i="4"/>
  <c r="V28" i="4" s="1"/>
  <c r="T8" i="3"/>
  <c r="T26" i="3"/>
  <c r="Q238" i="12"/>
  <c r="V69" i="4"/>
  <c r="V36" i="2" s="1"/>
  <c r="V37" i="2" s="1"/>
  <c r="S150" i="12"/>
  <c r="R152" i="12"/>
  <c r="S171" i="12"/>
  <c r="S161" i="12"/>
  <c r="S181" i="12"/>
  <c r="S140" i="12"/>
  <c r="V75" i="4"/>
  <c r="S182" i="12"/>
  <c r="S162" i="12"/>
  <c r="S172" i="12"/>
  <c r="T133" i="12"/>
  <c r="U131" i="12"/>
  <c r="R163" i="12"/>
  <c r="R167" i="12" s="1"/>
  <c r="R201" i="12" s="1"/>
  <c r="X17" i="2"/>
  <c r="X18" i="2" s="1"/>
  <c r="V136" i="12"/>
  <c r="T72" i="2"/>
  <c r="T73" i="2" s="1"/>
  <c r="T75" i="2" s="1"/>
  <c r="M23" i="3"/>
  <c r="M25" i="3" s="1"/>
  <c r="N10" i="3"/>
  <c r="V88" i="2"/>
  <c r="V90" i="2" s="1"/>
  <c r="V55" i="3" s="1"/>
  <c r="U5" i="3"/>
  <c r="U6" i="3"/>
  <c r="T7" i="3"/>
  <c r="V97" i="1"/>
  <c r="U13" i="2"/>
  <c r="U59" i="3"/>
  <c r="U26" i="2"/>
  <c r="U27" i="2" s="1"/>
  <c r="T29" i="2"/>
  <c r="T18" i="3"/>
  <c r="T21" i="3" s="1"/>
  <c r="U20" i="3" s="1"/>
  <c r="W5" i="5"/>
  <c r="V7" i="5"/>
  <c r="W6" i="5"/>
  <c r="U132" i="12" s="1"/>
  <c r="V96" i="2"/>
  <c r="W95" i="2"/>
  <c r="X89" i="2"/>
  <c r="W67" i="2"/>
  <c r="W68" i="2" s="1"/>
  <c r="X74" i="2"/>
  <c r="Y10" i="2"/>
  <c r="AB28" i="2"/>
  <c r="V7" i="2"/>
  <c r="W6" i="2"/>
  <c r="W9" i="2" s="1"/>
  <c r="W5" i="2"/>
  <c r="V9" i="4"/>
  <c r="V44" i="4"/>
  <c r="V46" i="4" s="1"/>
  <c r="W127" i="1"/>
  <c r="X95" i="1"/>
  <c r="X47" i="2" s="1"/>
  <c r="V39" i="4"/>
  <c r="W5" i="4"/>
  <c r="V7" i="4"/>
  <c r="W6" i="4"/>
  <c r="W75" i="4" s="1"/>
  <c r="X21" i="4"/>
  <c r="V15" i="4" l="1"/>
  <c r="V12" i="4" s="1"/>
  <c r="V48" i="4"/>
  <c r="R238" i="12"/>
  <c r="S173" i="12"/>
  <c r="S177" i="12" s="1"/>
  <c r="V60" i="3"/>
  <c r="S183" i="12"/>
  <c r="S187" i="12" s="1"/>
  <c r="S163" i="12"/>
  <c r="S167" i="12" s="1"/>
  <c r="S201" i="12" s="1"/>
  <c r="V30" i="4"/>
  <c r="V29" i="4"/>
  <c r="S157" i="12"/>
  <c r="T155" i="12"/>
  <c r="U138" i="12"/>
  <c r="U143" i="12" s="1"/>
  <c r="U139" i="12"/>
  <c r="U144" i="12" s="1"/>
  <c r="T182" i="12"/>
  <c r="T172" i="12"/>
  <c r="T162" i="12"/>
  <c r="T150" i="12"/>
  <c r="S152" i="12"/>
  <c r="R203" i="12"/>
  <c r="U133" i="12"/>
  <c r="V131" i="12"/>
  <c r="U8" i="3"/>
  <c r="U26" i="3"/>
  <c r="W58" i="4"/>
  <c r="W26" i="4"/>
  <c r="W28" i="4" s="1"/>
  <c r="T161" i="12"/>
  <c r="T171" i="12"/>
  <c r="T181" i="12"/>
  <c r="T140" i="12"/>
  <c r="W69" i="4"/>
  <c r="W36" i="2" s="1"/>
  <c r="W37" i="2" s="1"/>
  <c r="Y17" i="2"/>
  <c r="Y18" i="2" s="1"/>
  <c r="W136" i="12"/>
  <c r="U72" i="2"/>
  <c r="U73" i="2" s="1"/>
  <c r="U75" i="2" s="1"/>
  <c r="T145" i="12"/>
  <c r="N13" i="3"/>
  <c r="W88" i="2"/>
  <c r="W90" i="2" s="1"/>
  <c r="W55" i="3" s="1"/>
  <c r="V5" i="3"/>
  <c r="V6" i="3"/>
  <c r="U7" i="3"/>
  <c r="W97" i="1"/>
  <c r="V13" i="2"/>
  <c r="V59" i="3"/>
  <c r="U29" i="2"/>
  <c r="V26" i="2"/>
  <c r="V27" i="2" s="1"/>
  <c r="U18" i="3"/>
  <c r="U21" i="3" s="1"/>
  <c r="V20" i="3" s="1"/>
  <c r="W7" i="5"/>
  <c r="X6" i="5"/>
  <c r="V132" i="12" s="1"/>
  <c r="X5" i="5"/>
  <c r="W96" i="2"/>
  <c r="X95" i="2"/>
  <c r="Y89" i="2"/>
  <c r="X67" i="2"/>
  <c r="X68" i="2" s="1"/>
  <c r="Y74" i="2"/>
  <c r="Z10" i="2"/>
  <c r="W7" i="2"/>
  <c r="X6" i="2"/>
  <c r="X9" i="2" s="1"/>
  <c r="X5" i="2"/>
  <c r="W9" i="4"/>
  <c r="W44" i="4"/>
  <c r="W46" i="4" s="1"/>
  <c r="X127" i="1"/>
  <c r="Y95" i="1"/>
  <c r="Y47" i="2" s="1"/>
  <c r="W39" i="4"/>
  <c r="Y21" i="4"/>
  <c r="W7" i="4"/>
  <c r="X6" i="4"/>
  <c r="X5" i="4"/>
  <c r="W48" i="4" l="1"/>
  <c r="S203" i="12"/>
  <c r="T183" i="12"/>
  <c r="T187" i="12" s="1"/>
  <c r="T173" i="12"/>
  <c r="T177" i="12" s="1"/>
  <c r="T163" i="12"/>
  <c r="T167" i="12" s="1"/>
  <c r="T201" i="12" s="1"/>
  <c r="S238" i="12"/>
  <c r="W30" i="4"/>
  <c r="W29" i="4"/>
  <c r="V138" i="12"/>
  <c r="V143" i="12" s="1"/>
  <c r="V139" i="12"/>
  <c r="V144" i="12" s="1"/>
  <c r="U155" i="12"/>
  <c r="T157" i="12"/>
  <c r="U150" i="12"/>
  <c r="T152" i="12"/>
  <c r="X75" i="4"/>
  <c r="U172" i="12"/>
  <c r="U182" i="12"/>
  <c r="U162" i="12"/>
  <c r="V8" i="3"/>
  <c r="V26" i="3"/>
  <c r="X69" i="4"/>
  <c r="X36" i="2" s="1"/>
  <c r="X37" i="2" s="1"/>
  <c r="V133" i="12"/>
  <c r="W131" i="12"/>
  <c r="X58" i="4"/>
  <c r="X26" i="4"/>
  <c r="X28" i="4" s="1"/>
  <c r="U171" i="12"/>
  <c r="U181" i="12"/>
  <c r="U161" i="12"/>
  <c r="U140" i="12"/>
  <c r="W60" i="3"/>
  <c r="Z17" i="2"/>
  <c r="Z18" i="2" s="1"/>
  <c r="X136" i="12"/>
  <c r="V11" i="2"/>
  <c r="V12" i="2" s="1"/>
  <c r="U145" i="12"/>
  <c r="O10" i="3"/>
  <c r="O12" i="3"/>
  <c r="N23" i="3"/>
  <c r="X88" i="2"/>
  <c r="X90" i="2" s="1"/>
  <c r="X55" i="3" s="1"/>
  <c r="W5" i="3"/>
  <c r="W6" i="3"/>
  <c r="V7" i="3"/>
  <c r="X97" i="1"/>
  <c r="W13" i="2"/>
  <c r="W59" i="3"/>
  <c r="W26" i="2"/>
  <c r="W27" i="2" s="1"/>
  <c r="V29" i="2"/>
  <c r="V18" i="3"/>
  <c r="V21" i="3" s="1"/>
  <c r="W20" i="3" s="1"/>
  <c r="X7" i="5"/>
  <c r="Y6" i="5"/>
  <c r="W132" i="12" s="1"/>
  <c r="Y5" i="5"/>
  <c r="X96" i="2"/>
  <c r="Y95" i="2"/>
  <c r="Z89" i="2"/>
  <c r="Y67" i="2"/>
  <c r="Y68" i="2" s="1"/>
  <c r="Z74" i="2"/>
  <c r="AA10" i="2"/>
  <c r="X7" i="2"/>
  <c r="Y6" i="2"/>
  <c r="Y9" i="2" s="1"/>
  <c r="Y5" i="2"/>
  <c r="X9" i="4"/>
  <c r="X44" i="4"/>
  <c r="Y127" i="1"/>
  <c r="Z95" i="1"/>
  <c r="Z47" i="2" s="1"/>
  <c r="X39" i="4"/>
  <c r="Y6" i="4"/>
  <c r="Y69" i="4" s="1"/>
  <c r="Y36" i="2" s="1"/>
  <c r="Y37" i="2" s="1"/>
  <c r="Y5" i="4"/>
  <c r="X7" i="4"/>
  <c r="Z21" i="4"/>
  <c r="X48" i="4" l="1"/>
  <c r="X46" i="4"/>
  <c r="X60" i="3" s="1"/>
  <c r="U173" i="12"/>
  <c r="U177" i="12" s="1"/>
  <c r="T203" i="12"/>
  <c r="T238" i="12"/>
  <c r="U163" i="12"/>
  <c r="U167" i="12" s="1"/>
  <c r="U201" i="12" s="1"/>
  <c r="Y75" i="4"/>
  <c r="W139" i="12"/>
  <c r="W144" i="12" s="1"/>
  <c r="W138" i="12"/>
  <c r="W143" i="12" s="1"/>
  <c r="U152" i="12"/>
  <c r="V150" i="12"/>
  <c r="Y58" i="4"/>
  <c r="Y26" i="4"/>
  <c r="Y28" i="4" s="1"/>
  <c r="W8" i="3"/>
  <c r="W26" i="3"/>
  <c r="U157" i="12"/>
  <c r="V155" i="12"/>
  <c r="V182" i="12"/>
  <c r="V172" i="12"/>
  <c r="V162" i="12"/>
  <c r="X30" i="4"/>
  <c r="X29" i="4"/>
  <c r="V171" i="12"/>
  <c r="V173" i="12" s="1"/>
  <c r="V177" i="12" s="1"/>
  <c r="V161" i="12"/>
  <c r="V181" i="12"/>
  <c r="V140" i="12"/>
  <c r="X131" i="12"/>
  <c r="W133" i="12"/>
  <c r="U183" i="12"/>
  <c r="U187" i="12" s="1"/>
  <c r="AA17" i="2"/>
  <c r="Y136" i="12"/>
  <c r="V11" i="4"/>
  <c r="V83" i="4" s="1"/>
  <c r="V72" i="2"/>
  <c r="V73" i="2" s="1"/>
  <c r="V75" i="2" s="1"/>
  <c r="W11" i="2"/>
  <c r="W12" i="2" s="1"/>
  <c r="V145" i="12"/>
  <c r="N25" i="3"/>
  <c r="O13" i="3"/>
  <c r="Y88" i="2"/>
  <c r="Y90" i="2" s="1"/>
  <c r="Y55" i="3" s="1"/>
  <c r="X5" i="3"/>
  <c r="W7" i="3"/>
  <c r="X6" i="3"/>
  <c r="X8" i="3" s="1"/>
  <c r="Y97" i="1"/>
  <c r="X13" i="2"/>
  <c r="X59" i="3"/>
  <c r="X26" i="2"/>
  <c r="X27" i="2" s="1"/>
  <c r="W29" i="2"/>
  <c r="W18" i="3"/>
  <c r="W21" i="3" s="1"/>
  <c r="X20" i="3" s="1"/>
  <c r="Z6" i="5"/>
  <c r="X132" i="12" s="1"/>
  <c r="Z5" i="5"/>
  <c r="Y7" i="5"/>
  <c r="Y96" i="2"/>
  <c r="Z95" i="2"/>
  <c r="AA89" i="2"/>
  <c r="Z67" i="2"/>
  <c r="Z68" i="2" s="1"/>
  <c r="AA74" i="2"/>
  <c r="AA18" i="2"/>
  <c r="AB10" i="2"/>
  <c r="Z6" i="2"/>
  <c r="Z9" i="2" s="1"/>
  <c r="Z5" i="2"/>
  <c r="Y7" i="2"/>
  <c r="Y9" i="4"/>
  <c r="Y44" i="4"/>
  <c r="Y46" i="4" s="1"/>
  <c r="Z127" i="1"/>
  <c r="AA95" i="1"/>
  <c r="AA47" i="2" s="1"/>
  <c r="Y39" i="4"/>
  <c r="AA21" i="4"/>
  <c r="Z6" i="4"/>
  <c r="Z5" i="4"/>
  <c r="Y7" i="4"/>
  <c r="V163" i="12" l="1"/>
  <c r="V167" i="12" s="1"/>
  <c r="V201" i="12" s="1"/>
  <c r="V183" i="12"/>
  <c r="V187" i="12" s="1"/>
  <c r="Y48" i="4"/>
  <c r="U203" i="12"/>
  <c r="U238" i="12"/>
  <c r="Y30" i="4"/>
  <c r="Y29" i="4"/>
  <c r="V152" i="12"/>
  <c r="W150" i="12"/>
  <c r="X133" i="12"/>
  <c r="Y131" i="12"/>
  <c r="Z75" i="4"/>
  <c r="W161" i="12"/>
  <c r="W171" i="12"/>
  <c r="W181" i="12"/>
  <c r="W140" i="12"/>
  <c r="X139" i="12"/>
  <c r="X144" i="12" s="1"/>
  <c r="X138" i="12"/>
  <c r="X143" i="12" s="1"/>
  <c r="Z69" i="4"/>
  <c r="Z36" i="2" s="1"/>
  <c r="Z37" i="2" s="1"/>
  <c r="W182" i="12"/>
  <c r="W172" i="12"/>
  <c r="W162" i="12"/>
  <c r="Z58" i="4"/>
  <c r="Z26" i="4"/>
  <c r="Z28" i="4" s="1"/>
  <c r="V157" i="12"/>
  <c r="W155" i="12"/>
  <c r="Y60" i="3"/>
  <c r="AB17" i="2"/>
  <c r="AB18" i="2" s="1"/>
  <c r="Z136" i="12"/>
  <c r="W145" i="12"/>
  <c r="Y11" i="2" s="1"/>
  <c r="Y12" i="2" s="1"/>
  <c r="Y11" i="4" s="1"/>
  <c r="Y83" i="4" s="1"/>
  <c r="W11" i="4"/>
  <c r="W83" i="4" s="1"/>
  <c r="W72" i="2"/>
  <c r="W73" i="2" s="1"/>
  <c r="W75" i="2" s="1"/>
  <c r="X11" i="2"/>
  <c r="X12" i="2" s="1"/>
  <c r="P12" i="3"/>
  <c r="P10" i="3"/>
  <c r="O23" i="3"/>
  <c r="O25" i="3" s="1"/>
  <c r="Z88" i="2"/>
  <c r="Z90" i="2" s="1"/>
  <c r="Z55" i="3" s="1"/>
  <c r="Y6" i="3"/>
  <c r="Y8" i="3" s="1"/>
  <c r="X7" i="3"/>
  <c r="Y5" i="3"/>
  <c r="Z97" i="1"/>
  <c r="Y13" i="2"/>
  <c r="Y59" i="3"/>
  <c r="X29" i="2"/>
  <c r="Y26" i="2"/>
  <c r="Y27" i="2" s="1"/>
  <c r="X18" i="3"/>
  <c r="X21" i="3" s="1"/>
  <c r="Y20" i="3" s="1"/>
  <c r="AA5" i="5"/>
  <c r="Z7" i="5"/>
  <c r="AA6" i="5"/>
  <c r="Y132" i="12" s="1"/>
  <c r="Z96" i="2"/>
  <c r="AA95" i="2"/>
  <c r="AB89" i="2"/>
  <c r="AA67" i="2"/>
  <c r="AA68" i="2" s="1"/>
  <c r="AB74" i="2"/>
  <c r="Z7" i="2"/>
  <c r="AA6" i="2"/>
  <c r="AA9" i="2" s="1"/>
  <c r="AA5" i="2"/>
  <c r="Z9" i="4"/>
  <c r="Z44" i="4"/>
  <c r="AA127" i="1"/>
  <c r="AB95" i="1"/>
  <c r="AB47" i="2" s="1"/>
  <c r="Z39" i="4"/>
  <c r="AB21" i="4"/>
  <c r="AA5" i="4"/>
  <c r="Z7" i="4"/>
  <c r="AA6" i="4"/>
  <c r="AA69" i="4" s="1"/>
  <c r="AA36" i="2" s="1"/>
  <c r="AA37" i="2" s="1"/>
  <c r="Z46" i="4" l="1"/>
  <c r="V203" i="12"/>
  <c r="Z48" i="4"/>
  <c r="X145" i="12"/>
  <c r="Z11" i="2" s="1"/>
  <c r="Z12" i="2" s="1"/>
  <c r="Z11" i="4" s="1"/>
  <c r="Z83" i="4" s="1"/>
  <c r="Y138" i="12"/>
  <c r="Y143" i="12" s="1"/>
  <c r="Y139" i="12"/>
  <c r="Y144" i="12" s="1"/>
  <c r="X150" i="12"/>
  <c r="W152" i="12"/>
  <c r="Z30" i="4"/>
  <c r="Z29" i="4"/>
  <c r="X161" i="12"/>
  <c r="X181" i="12"/>
  <c r="X171" i="12"/>
  <c r="X140" i="12"/>
  <c r="AA75" i="4"/>
  <c r="X182" i="12"/>
  <c r="X162" i="12"/>
  <c r="X172" i="12"/>
  <c r="AA58" i="4"/>
  <c r="AA26" i="4"/>
  <c r="AA28" i="4" s="1"/>
  <c r="X155" i="12"/>
  <c r="W157" i="12"/>
  <c r="W183" i="12"/>
  <c r="W187" i="12" s="1"/>
  <c r="Y133" i="12"/>
  <c r="Z131" i="12"/>
  <c r="W173" i="12"/>
  <c r="W177" i="12" s="1"/>
  <c r="V238" i="12"/>
  <c r="W163" i="12"/>
  <c r="W167" i="12" s="1"/>
  <c r="W201" i="12" s="1"/>
  <c r="Z241" i="12"/>
  <c r="Z60" i="3"/>
  <c r="X11" i="4"/>
  <c r="X83" i="4" s="1"/>
  <c r="X72" i="2"/>
  <c r="X73" i="2" s="1"/>
  <c r="X75" i="2" s="1"/>
  <c r="Y72" i="2"/>
  <c r="Y73" i="2" s="1"/>
  <c r="Y75" i="2" s="1"/>
  <c r="P13" i="3"/>
  <c r="AA88" i="2"/>
  <c r="AA90" i="2" s="1"/>
  <c r="AA55" i="3" s="1"/>
  <c r="Z5" i="3"/>
  <c r="Z6" i="3"/>
  <c r="Z8" i="3" s="1"/>
  <c r="Y7" i="3"/>
  <c r="AA97" i="1"/>
  <c r="Z13" i="2"/>
  <c r="Z59" i="3"/>
  <c r="Y29" i="2"/>
  <c r="Z26" i="2"/>
  <c r="Z27" i="2" s="1"/>
  <c r="Y18" i="3"/>
  <c r="Y21" i="3" s="1"/>
  <c r="Z20" i="3" s="1"/>
  <c r="AA7" i="5"/>
  <c r="AB6" i="5"/>
  <c r="AB5" i="5"/>
  <c r="AA96" i="2"/>
  <c r="AB95" i="2"/>
  <c r="AB96" i="2" s="1"/>
  <c r="AB67" i="2"/>
  <c r="AB68" i="2" s="1"/>
  <c r="AA7" i="2"/>
  <c r="AB6" i="2"/>
  <c r="AB5" i="2"/>
  <c r="AA9" i="4"/>
  <c r="AA44" i="4"/>
  <c r="AB127" i="1"/>
  <c r="AA39" i="4"/>
  <c r="AB39" i="4"/>
  <c r="AA7" i="4"/>
  <c r="AB6" i="4"/>
  <c r="AB9" i="4" s="1"/>
  <c r="AB5" i="4"/>
  <c r="AA46" i="4" l="1"/>
  <c r="AA60" i="3"/>
  <c r="AA48" i="4"/>
  <c r="X183" i="12"/>
  <c r="X187" i="12" s="1"/>
  <c r="X163" i="12"/>
  <c r="X167" i="12" s="1"/>
  <c r="X201" i="12" s="1"/>
  <c r="W238" i="12"/>
  <c r="AB58" i="4"/>
  <c r="AB26" i="4"/>
  <c r="AB28" i="4" s="1"/>
  <c r="X157" i="12"/>
  <c r="Y155" i="12"/>
  <c r="AA30" i="4"/>
  <c r="AA29" i="4"/>
  <c r="AB75" i="4"/>
  <c r="AB69" i="4"/>
  <c r="AB36" i="2" s="1"/>
  <c r="AB37" i="2" s="1"/>
  <c r="W203" i="12"/>
  <c r="Y191" i="12"/>
  <c r="X152" i="12"/>
  <c r="Y150" i="12"/>
  <c r="Y182" i="12"/>
  <c r="Y172" i="12"/>
  <c r="Y162" i="12"/>
  <c r="AB7" i="5"/>
  <c r="Z132" i="12"/>
  <c r="Z133" i="12" s="1"/>
  <c r="Y181" i="12"/>
  <c r="Y171" i="12"/>
  <c r="Y161" i="12"/>
  <c r="Y140" i="12"/>
  <c r="X173" i="12"/>
  <c r="X177" i="12" s="1"/>
  <c r="Y145" i="12"/>
  <c r="AA11" i="2" s="1"/>
  <c r="AA12" i="2" s="1"/>
  <c r="AA11" i="4" s="1"/>
  <c r="AA83" i="4" s="1"/>
  <c r="Z72" i="2"/>
  <c r="Z73" i="2" s="1"/>
  <c r="Z75" i="2" s="1"/>
  <c r="P23" i="3"/>
  <c r="P25" i="3" s="1"/>
  <c r="Q12" i="3"/>
  <c r="Q10" i="3"/>
  <c r="AA5" i="3"/>
  <c r="AA6" i="3"/>
  <c r="AA8" i="3" s="1"/>
  <c r="Z7" i="3"/>
  <c r="AB97" i="1"/>
  <c r="AB13" i="2" s="1"/>
  <c r="AA13" i="2"/>
  <c r="AA59" i="3"/>
  <c r="AA26" i="2"/>
  <c r="AA27" i="2" s="1"/>
  <c r="Z29" i="2"/>
  <c r="Z18" i="3"/>
  <c r="Z21" i="3" s="1"/>
  <c r="AA20" i="3" s="1"/>
  <c r="AB7" i="2"/>
  <c r="AB9" i="2"/>
  <c r="AB44" i="4"/>
  <c r="AB46" i="4" s="1"/>
  <c r="AB7" i="4"/>
  <c r="Y183" i="12" l="1"/>
  <c r="Y187" i="12" s="1"/>
  <c r="Z139" i="12"/>
  <c r="Z138" i="12"/>
  <c r="Z171" i="12" s="1"/>
  <c r="Y163" i="12"/>
  <c r="Y167" i="12" s="1"/>
  <c r="Y201" i="12" s="1"/>
  <c r="Y173" i="12"/>
  <c r="Y177" i="12" s="1"/>
  <c r="Y239" i="12"/>
  <c r="AB60" i="3"/>
  <c r="AB48" i="4"/>
  <c r="Z191" i="12"/>
  <c r="Z162" i="12"/>
  <c r="Z182" i="12"/>
  <c r="Z172" i="12"/>
  <c r="X203" i="12"/>
  <c r="X238" i="12"/>
  <c r="Y152" i="12"/>
  <c r="Z150" i="12"/>
  <c r="Z152" i="12" s="1"/>
  <c r="Y157" i="12"/>
  <c r="Z155" i="12"/>
  <c r="Z157" i="12" s="1"/>
  <c r="AB29" i="4"/>
  <c r="Z144" i="12"/>
  <c r="AA72" i="2"/>
  <c r="AA73" i="2" s="1"/>
  <c r="AA75" i="2" s="1"/>
  <c r="Q13" i="3"/>
  <c r="AB88" i="2"/>
  <c r="AB90" i="2" s="1"/>
  <c r="AB55" i="3" s="1"/>
  <c r="AB5" i="3"/>
  <c r="AB6" i="3"/>
  <c r="AB8" i="3" s="1"/>
  <c r="AA7" i="3"/>
  <c r="AB59" i="3"/>
  <c r="AB26" i="2"/>
  <c r="AB27" i="2" s="1"/>
  <c r="AB29" i="2" s="1"/>
  <c r="AA29" i="2"/>
  <c r="AA18" i="3"/>
  <c r="AA21" i="3" s="1"/>
  <c r="AB20" i="3" s="1"/>
  <c r="AB30" i="4" l="1"/>
  <c r="Z161" i="12"/>
  <c r="Z181" i="12"/>
  <c r="Z183" i="12" s="1"/>
  <c r="Z187" i="12" s="1"/>
  <c r="Z173" i="12"/>
  <c r="Z177" i="12" s="1"/>
  <c r="Z203" i="12" s="1"/>
  <c r="Z163" i="12"/>
  <c r="Z167" i="12" s="1"/>
  <c r="Z201" i="12" s="1"/>
  <c r="Z140" i="12"/>
  <c r="Z239" i="12" s="1"/>
  <c r="Z143" i="12"/>
  <c r="Z145" i="12" s="1"/>
  <c r="AB11" i="2" s="1"/>
  <c r="AB12" i="2" s="1"/>
  <c r="AB11" i="4" s="1"/>
  <c r="AB83" i="4" s="1"/>
  <c r="Y203" i="12"/>
  <c r="Y238" i="12"/>
  <c r="Q23" i="3"/>
  <c r="R10" i="3"/>
  <c r="R12" i="3"/>
  <c r="AC5" i="3"/>
  <c r="AB7" i="3"/>
  <c r="AC6" i="3"/>
  <c r="AC8" i="3" s="1"/>
  <c r="AB18" i="3"/>
  <c r="AB21" i="3" s="1"/>
  <c r="AC20" i="3" s="1"/>
  <c r="Z238" i="12" l="1"/>
  <c r="AB72" i="2"/>
  <c r="AB73" i="2" s="1"/>
  <c r="AB75" i="2" s="1"/>
  <c r="R13" i="3"/>
  <c r="Q25" i="3"/>
  <c r="AC7" i="3"/>
  <c r="AD5" i="3"/>
  <c r="AD6" i="3"/>
  <c r="AD8" i="3" s="1"/>
  <c r="AC18" i="3"/>
  <c r="AC21" i="3" s="1"/>
  <c r="AD20" i="3" s="1"/>
  <c r="S12" i="3" l="1"/>
  <c r="R23" i="3"/>
  <c r="R25" i="3" s="1"/>
  <c r="S10" i="3"/>
  <c r="AE5" i="3"/>
  <c r="AE6" i="3"/>
  <c r="AE8" i="3" s="1"/>
  <c r="AD7" i="3"/>
  <c r="AD18" i="3"/>
  <c r="AD21" i="3" s="1"/>
  <c r="AE20" i="3" s="1"/>
  <c r="S13" i="3" l="1"/>
  <c r="AF6" i="3"/>
  <c r="AF8" i="3" s="1"/>
  <c r="AE7" i="3"/>
  <c r="AF5" i="3"/>
  <c r="AE18" i="3"/>
  <c r="AE21" i="3" s="1"/>
  <c r="AF20" i="3" s="1"/>
  <c r="T12" i="3" l="1"/>
  <c r="S23" i="3"/>
  <c r="T10" i="3"/>
  <c r="AF7" i="3"/>
  <c r="AG5" i="3"/>
  <c r="AG6" i="3"/>
  <c r="AG8" i="3" s="1"/>
  <c r="AF18" i="3"/>
  <c r="AF21" i="3" s="1"/>
  <c r="AG20" i="3" s="1"/>
  <c r="T13" i="3" l="1"/>
  <c r="S25" i="3"/>
  <c r="AH5" i="3"/>
  <c r="AG7" i="3"/>
  <c r="AH6" i="3"/>
  <c r="AH8" i="3" s="1"/>
  <c r="AG18" i="3"/>
  <c r="AG21" i="3" s="1"/>
  <c r="AH20" i="3" s="1"/>
  <c r="U10" i="3" l="1"/>
  <c r="U12" i="3"/>
  <c r="T23" i="3"/>
  <c r="AH7" i="3"/>
  <c r="AI5" i="3"/>
  <c r="AI6" i="3"/>
  <c r="AI8" i="3" s="1"/>
  <c r="AH18" i="3"/>
  <c r="AH21" i="3" s="1"/>
  <c r="AI20" i="3" s="1"/>
  <c r="T25" i="3" l="1"/>
  <c r="U13" i="3"/>
  <c r="AI7" i="3"/>
  <c r="AJ6" i="3"/>
  <c r="AJ8" i="3" s="1"/>
  <c r="AJ5" i="3"/>
  <c r="AI18" i="3"/>
  <c r="AI21" i="3" s="1"/>
  <c r="AJ20" i="3" s="1"/>
  <c r="U23" i="3" l="1"/>
  <c r="U25" i="3" s="1"/>
  <c r="V10" i="3"/>
  <c r="V12" i="3"/>
  <c r="AJ7" i="3"/>
  <c r="AK6" i="3"/>
  <c r="AK8" i="3" s="1"/>
  <c r="AK5" i="3"/>
  <c r="AJ18" i="3"/>
  <c r="AJ21" i="3" s="1"/>
  <c r="AK20" i="3" s="1"/>
  <c r="V13" i="3" l="1"/>
  <c r="AL5" i="3"/>
  <c r="AK7" i="3"/>
  <c r="AL6" i="3"/>
  <c r="AL8" i="3" s="1"/>
  <c r="AK18" i="3"/>
  <c r="AK21" i="3" s="1"/>
  <c r="AL20" i="3" s="1"/>
  <c r="W12" i="3" l="1"/>
  <c r="V23" i="3"/>
  <c r="V25" i="3" s="1"/>
  <c r="W10" i="3"/>
  <c r="AM5" i="3"/>
  <c r="AM6" i="3"/>
  <c r="AM8" i="3" s="1"/>
  <c r="AL7" i="3"/>
  <c r="AL18" i="3"/>
  <c r="AL21" i="3" s="1"/>
  <c r="AM20" i="3" s="1"/>
  <c r="W13" i="3" l="1"/>
  <c r="X10" i="3" s="1"/>
  <c r="AM7" i="3"/>
  <c r="AN5" i="3"/>
  <c r="AN6" i="3"/>
  <c r="AN8" i="3" s="1"/>
  <c r="AM18" i="3"/>
  <c r="AM21" i="3" s="1"/>
  <c r="AN20" i="3" s="1"/>
  <c r="X12" i="3" l="1"/>
  <c r="X13" i="3" s="1"/>
  <c r="W23" i="3"/>
  <c r="W25" i="3" s="1"/>
  <c r="AO6" i="3"/>
  <c r="AO8" i="3" s="1"/>
  <c r="AO5" i="3"/>
  <c r="AN7" i="3"/>
  <c r="AN18" i="3"/>
  <c r="AN21" i="3" s="1"/>
  <c r="AO20" i="3" s="1"/>
  <c r="Y12" i="3" l="1"/>
  <c r="X23" i="3"/>
  <c r="Y10" i="3"/>
  <c r="AO7" i="3"/>
  <c r="AP6" i="3"/>
  <c r="AP8" i="3" s="1"/>
  <c r="AP5" i="3"/>
  <c r="AO18" i="3"/>
  <c r="AO21" i="3" s="1"/>
  <c r="AP20" i="3" s="1"/>
  <c r="Y13" i="3" l="1"/>
  <c r="Z12" i="3" s="1"/>
  <c r="X25" i="3"/>
  <c r="AP7" i="3"/>
  <c r="AQ6" i="3"/>
  <c r="AQ8" i="3" s="1"/>
  <c r="AQ5" i="3"/>
  <c r="AP18" i="3"/>
  <c r="AP21" i="3" s="1"/>
  <c r="AQ20" i="3" s="1"/>
  <c r="Z10" i="3" l="1"/>
  <c r="Z13" i="3" s="1"/>
  <c r="AA10" i="3" s="1"/>
  <c r="Y23" i="3"/>
  <c r="Y25" i="3" s="1"/>
  <c r="AR5" i="3"/>
  <c r="AR6" i="3"/>
  <c r="AR8" i="3" s="1"/>
  <c r="AQ7" i="3"/>
  <c r="AQ18" i="3"/>
  <c r="AQ21" i="3" s="1"/>
  <c r="AR20" i="3" s="1"/>
  <c r="Z23" i="3" l="1"/>
  <c r="Z25" i="3" s="1"/>
  <c r="AA12" i="3"/>
  <c r="AA13" i="3" s="1"/>
  <c r="AS6" i="3"/>
  <c r="AS8" i="3" s="1"/>
  <c r="AS5" i="3"/>
  <c r="AR7" i="3"/>
  <c r="AR18" i="3"/>
  <c r="AR21" i="3" s="1"/>
  <c r="AS20" i="3" s="1"/>
  <c r="AB12" i="3" l="1"/>
  <c r="AA23" i="3"/>
  <c r="AA25" i="3" s="1"/>
  <c r="AB10" i="3"/>
  <c r="AT5" i="3"/>
  <c r="AS7" i="3"/>
  <c r="AT6" i="3"/>
  <c r="AT8" i="3" s="1"/>
  <c r="AS18" i="3"/>
  <c r="AS21" i="3" s="1"/>
  <c r="AT20" i="3" s="1"/>
  <c r="AB13" i="3" l="1"/>
  <c r="AC12" i="3" s="1"/>
  <c r="AU5" i="3"/>
  <c r="AU6" i="3"/>
  <c r="AU8" i="3" s="1"/>
  <c r="AT7" i="3"/>
  <c r="AT18" i="3"/>
  <c r="AT21" i="3" s="1"/>
  <c r="AU20" i="3" s="1"/>
  <c r="AC10" i="3" l="1"/>
  <c r="AC13" i="3" s="1"/>
  <c r="AD12" i="3" s="1"/>
  <c r="AB23" i="3"/>
  <c r="AB25" i="3" s="1"/>
  <c r="AU7" i="3"/>
  <c r="AV6" i="3"/>
  <c r="AV8" i="3" s="1"/>
  <c r="AV5" i="3"/>
  <c r="AU18" i="3"/>
  <c r="AU21" i="3" s="1"/>
  <c r="AV20" i="3" s="1"/>
  <c r="AC23" i="3" l="1"/>
  <c r="AC25" i="3" s="1"/>
  <c r="AD10" i="3"/>
  <c r="AD13" i="3" s="1"/>
  <c r="AE12" i="3" s="1"/>
  <c r="AV7" i="3"/>
  <c r="AW6" i="3"/>
  <c r="AW8" i="3" s="1"/>
  <c r="AW5" i="3"/>
  <c r="AV18" i="3"/>
  <c r="AV21" i="3" s="1"/>
  <c r="AW20" i="3" s="1"/>
  <c r="F63" i="1"/>
  <c r="F31" i="1"/>
  <c r="B73" i="1"/>
  <c r="B47" i="2" s="1"/>
  <c r="B105" i="1"/>
  <c r="B41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G40" i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7" i="1"/>
  <c r="C5" i="1"/>
  <c r="C6" i="1"/>
  <c r="C7" i="1" s="1"/>
  <c r="AB12" i="1"/>
  <c r="AA12" i="1"/>
  <c r="Z12" i="1"/>
  <c r="Y12" i="1"/>
  <c r="X12" i="1"/>
  <c r="W12" i="1"/>
  <c r="V12" i="1"/>
  <c r="U12" i="1"/>
  <c r="T12" i="1"/>
  <c r="AB11" i="1"/>
  <c r="AA11" i="1"/>
  <c r="Z11" i="1"/>
  <c r="Y11" i="1"/>
  <c r="X11" i="1"/>
  <c r="W11" i="1"/>
  <c r="V11" i="1"/>
  <c r="U11" i="1"/>
  <c r="T11" i="1"/>
  <c r="F6" i="1"/>
  <c r="G5" i="1" s="1"/>
  <c r="S12" i="1"/>
  <c r="R12" i="1"/>
  <c r="Q12" i="1"/>
  <c r="P12" i="1"/>
  <c r="O12" i="1"/>
  <c r="N12" i="1"/>
  <c r="M12" i="1"/>
  <c r="L12" i="1"/>
  <c r="K12" i="1"/>
  <c r="J12" i="1"/>
  <c r="I12" i="1"/>
  <c r="H12" i="1"/>
  <c r="S11" i="1"/>
  <c r="R11" i="1"/>
  <c r="Q11" i="1"/>
  <c r="P11" i="1"/>
  <c r="O11" i="1"/>
  <c r="N11" i="1"/>
  <c r="M11" i="1"/>
  <c r="L11" i="1"/>
  <c r="K11" i="1"/>
  <c r="J11" i="1"/>
  <c r="I11" i="1"/>
  <c r="H11" i="1"/>
  <c r="F22" i="1"/>
  <c r="G12" i="1"/>
  <c r="F12" i="1"/>
  <c r="G11" i="1"/>
  <c r="F11" i="1"/>
  <c r="F5" i="1"/>
  <c r="AE10" i="3" l="1"/>
  <c r="AE13" i="3" s="1"/>
  <c r="AE23" i="3" s="1"/>
  <c r="AD23" i="3"/>
  <c r="AD25" i="3" s="1"/>
  <c r="G63" i="1"/>
  <c r="G38" i="2" s="1"/>
  <c r="G39" i="2" s="1"/>
  <c r="F38" i="2"/>
  <c r="F39" i="2" s="1"/>
  <c r="AX5" i="3"/>
  <c r="AX6" i="3"/>
  <c r="AX8" i="3" s="1"/>
  <c r="AW7" i="3"/>
  <c r="F41" i="1"/>
  <c r="G31" i="1"/>
  <c r="F19" i="2"/>
  <c r="F20" i="2" s="1"/>
  <c r="F46" i="2" s="1"/>
  <c r="F48" i="2" s="1"/>
  <c r="AW18" i="3"/>
  <c r="AW21" i="3" s="1"/>
  <c r="AX20" i="3" s="1"/>
  <c r="F13" i="1"/>
  <c r="F73" i="1"/>
  <c r="F105" i="1"/>
  <c r="F9" i="1"/>
  <c r="E88" i="1"/>
  <c r="E89" i="1" s="1"/>
  <c r="G73" i="1"/>
  <c r="G105" i="1"/>
  <c r="F109" i="1"/>
  <c r="F77" i="1"/>
  <c r="G77" i="1"/>
  <c r="H73" i="1"/>
  <c r="G6" i="1"/>
  <c r="H5" i="1" s="1"/>
  <c r="D5" i="1"/>
  <c r="D6" i="1"/>
  <c r="D7" i="1" s="1"/>
  <c r="F7" i="1"/>
  <c r="E59" i="1"/>
  <c r="F45" i="1"/>
  <c r="G39" i="1"/>
  <c r="G41" i="1" s="1"/>
  <c r="G26" i="1"/>
  <c r="F27" i="1"/>
  <c r="G8" i="1"/>
  <c r="G21" i="1"/>
  <c r="H21" i="1" s="1"/>
  <c r="I21" i="1" s="1"/>
  <c r="J21" i="1" s="1"/>
  <c r="F23" i="1"/>
  <c r="F16" i="1" l="1"/>
  <c r="AE25" i="3"/>
  <c r="AF10" i="3"/>
  <c r="AF12" i="3"/>
  <c r="F79" i="2"/>
  <c r="F80" i="2" s="1"/>
  <c r="F81" i="2" s="1"/>
  <c r="F83" i="2" s="1"/>
  <c r="H63" i="1"/>
  <c r="H38" i="2" s="1"/>
  <c r="H39" i="2" s="1"/>
  <c r="AY5" i="3"/>
  <c r="AY6" i="3"/>
  <c r="AY8" i="3" s="1"/>
  <c r="AX7" i="3"/>
  <c r="F48" i="1"/>
  <c r="F49" i="1" s="1"/>
  <c r="F51" i="1" s="1"/>
  <c r="F80" i="1"/>
  <c r="F81" i="1" s="1"/>
  <c r="F83" i="1" s="1"/>
  <c r="H31" i="1"/>
  <c r="G19" i="2"/>
  <c r="G20" i="2" s="1"/>
  <c r="G46" i="2" s="1"/>
  <c r="G48" i="2" s="1"/>
  <c r="G79" i="2" s="1"/>
  <c r="G80" i="2" s="1"/>
  <c r="G81" i="2" s="1"/>
  <c r="G83" i="2" s="1"/>
  <c r="G98" i="2" s="1"/>
  <c r="F112" i="1"/>
  <c r="F113" i="1" s="1"/>
  <c r="F115" i="1" s="1"/>
  <c r="G80" i="1"/>
  <c r="G81" i="1" s="1"/>
  <c r="G83" i="1" s="1"/>
  <c r="AX18" i="3"/>
  <c r="AX21" i="3" s="1"/>
  <c r="AY20" i="3" s="1"/>
  <c r="H8" i="1"/>
  <c r="H13" i="1" s="1"/>
  <c r="G9" i="1"/>
  <c r="E85" i="1"/>
  <c r="F86" i="1" s="1"/>
  <c r="E90" i="1"/>
  <c r="F88" i="1"/>
  <c r="E120" i="1"/>
  <c r="G109" i="1"/>
  <c r="G112" i="1" s="1"/>
  <c r="H105" i="1"/>
  <c r="H77" i="1"/>
  <c r="H80" i="1" s="1"/>
  <c r="I73" i="1"/>
  <c r="H6" i="1"/>
  <c r="G7" i="1"/>
  <c r="E60" i="1"/>
  <c r="E61" i="1" s="1"/>
  <c r="H39" i="1"/>
  <c r="H41" i="1" s="1"/>
  <c r="G45" i="1"/>
  <c r="G48" i="1" s="1"/>
  <c r="I22" i="1"/>
  <c r="I23" i="1" s="1"/>
  <c r="H22" i="1"/>
  <c r="H23" i="1" s="1"/>
  <c r="G27" i="1"/>
  <c r="H26" i="1"/>
  <c r="E28" i="1"/>
  <c r="E29" i="1" s="1"/>
  <c r="K21" i="1"/>
  <c r="J22" i="1"/>
  <c r="J23" i="1" s="1"/>
  <c r="F17" i="1"/>
  <c r="F19" i="1" s="1"/>
  <c r="G22" i="1"/>
  <c r="G23" i="1" s="1"/>
  <c r="G13" i="1"/>
  <c r="F28" i="1"/>
  <c r="F29" i="1" s="1"/>
  <c r="I63" i="1" l="1"/>
  <c r="I38" i="2" s="1"/>
  <c r="I39" i="2" s="1"/>
  <c r="F98" i="2"/>
  <c r="F100" i="2" s="1"/>
  <c r="F54" i="4" s="1"/>
  <c r="AF13" i="3"/>
  <c r="AG12" i="3" s="1"/>
  <c r="F30" i="1"/>
  <c r="D18" i="10" s="1"/>
  <c r="E18" i="10" s="1"/>
  <c r="F54" i="3"/>
  <c r="AY7" i="3"/>
  <c r="AZ6" i="3"/>
  <c r="AZ8" i="3" s="1"/>
  <c r="AZ5" i="3"/>
  <c r="G16" i="1"/>
  <c r="G17" i="1" s="1"/>
  <c r="G19" i="1" s="1"/>
  <c r="G100" i="2"/>
  <c r="I31" i="1"/>
  <c r="H19" i="2"/>
  <c r="H20" i="2" s="1"/>
  <c r="AY18" i="3"/>
  <c r="AY21" i="3" s="1"/>
  <c r="AZ20" i="3" s="1"/>
  <c r="I8" i="1"/>
  <c r="H9" i="1"/>
  <c r="H16" i="1" s="1"/>
  <c r="H17" i="1" s="1"/>
  <c r="H19" i="1" s="1"/>
  <c r="E30" i="1"/>
  <c r="E122" i="1"/>
  <c r="E91" i="1"/>
  <c r="E92" i="1" s="1"/>
  <c r="G58" i="1"/>
  <c r="F59" i="1"/>
  <c r="F60" i="1" s="1"/>
  <c r="F61" i="1" s="1"/>
  <c r="F120" i="1"/>
  <c r="E121" i="1"/>
  <c r="E117" i="1"/>
  <c r="E86" i="1"/>
  <c r="E87" i="1" s="1"/>
  <c r="G88" i="1"/>
  <c r="F89" i="1"/>
  <c r="G53" i="1"/>
  <c r="F54" i="1"/>
  <c r="F55" i="1" s="1"/>
  <c r="G113" i="1"/>
  <c r="G115" i="1" s="1"/>
  <c r="H109" i="1"/>
  <c r="H112" i="1" s="1"/>
  <c r="I105" i="1"/>
  <c r="H81" i="1"/>
  <c r="H83" i="1" s="1"/>
  <c r="I77" i="1"/>
  <c r="I80" i="1" s="1"/>
  <c r="J73" i="1"/>
  <c r="H7" i="1"/>
  <c r="I6" i="1"/>
  <c r="I5" i="1"/>
  <c r="E62" i="1"/>
  <c r="G49" i="1"/>
  <c r="G51" i="1" s="1"/>
  <c r="H45" i="1"/>
  <c r="I39" i="1"/>
  <c r="I41" i="1" s="1"/>
  <c r="I26" i="1"/>
  <c r="H27" i="1"/>
  <c r="K22" i="1"/>
  <c r="K23" i="1" s="1"/>
  <c r="L21" i="1"/>
  <c r="G28" i="1"/>
  <c r="G29" i="1" s="1"/>
  <c r="H46" i="2" l="1"/>
  <c r="H48" i="2" s="1"/>
  <c r="H79" i="2" s="1"/>
  <c r="H80" i="2" s="1"/>
  <c r="H81" i="2" s="1"/>
  <c r="H83" i="2" s="1"/>
  <c r="H98" i="2" s="1"/>
  <c r="G12" i="5"/>
  <c r="F30" i="2"/>
  <c r="F32" i="2" s="1"/>
  <c r="F52" i="3" s="1"/>
  <c r="J63" i="1"/>
  <c r="J38" i="2" s="1"/>
  <c r="J39" i="2" s="1"/>
  <c r="F32" i="1"/>
  <c r="F35" i="1" s="1"/>
  <c r="F21" i="2"/>
  <c r="F22" i="2" s="1"/>
  <c r="F50" i="3" s="1"/>
  <c r="AG10" i="3"/>
  <c r="AG13" i="3" s="1"/>
  <c r="AF23" i="3"/>
  <c r="AF25" i="3" s="1"/>
  <c r="G30" i="1"/>
  <c r="G21" i="2" s="1"/>
  <c r="G22" i="2" s="1"/>
  <c r="F62" i="1"/>
  <c r="E26" i="10" s="1"/>
  <c r="F26" i="10" s="1"/>
  <c r="G54" i="3"/>
  <c r="E93" i="1"/>
  <c r="E94" i="1" s="1"/>
  <c r="AZ7" i="3"/>
  <c r="BA6" i="3"/>
  <c r="BA8" i="3" s="1"/>
  <c r="BA5" i="3"/>
  <c r="G54" i="4"/>
  <c r="J31" i="1"/>
  <c r="I19" i="2"/>
  <c r="I20" i="2" s="1"/>
  <c r="I46" i="2" s="1"/>
  <c r="I48" i="2" s="1"/>
  <c r="I79" i="2" s="1"/>
  <c r="I80" i="2" s="1"/>
  <c r="I81" i="2" s="1"/>
  <c r="I83" i="2" s="1"/>
  <c r="I98" i="2" s="1"/>
  <c r="AZ18" i="3"/>
  <c r="AZ21" i="3" s="1"/>
  <c r="BA20" i="3" s="1"/>
  <c r="E64" i="1"/>
  <c r="E67" i="1" s="1"/>
  <c r="E32" i="1"/>
  <c r="E35" i="1" s="1"/>
  <c r="I9" i="1"/>
  <c r="I13" i="1"/>
  <c r="J8" i="1"/>
  <c r="K63" i="1"/>
  <c r="K38" i="2" s="1"/>
  <c r="K39" i="2" s="1"/>
  <c r="H28" i="1"/>
  <c r="H29" i="1" s="1"/>
  <c r="H30" i="1" s="1"/>
  <c r="H53" i="1"/>
  <c r="G54" i="1"/>
  <c r="G55" i="1" s="1"/>
  <c r="G120" i="1"/>
  <c r="F121" i="1"/>
  <c r="E123" i="1"/>
  <c r="E124" i="1" s="1"/>
  <c r="E118" i="1"/>
  <c r="E119" i="1" s="1"/>
  <c r="F91" i="1"/>
  <c r="F92" i="1" s="1"/>
  <c r="G89" i="1"/>
  <c r="H88" i="1"/>
  <c r="F87" i="1"/>
  <c r="H58" i="1"/>
  <c r="G59" i="1"/>
  <c r="G60" i="1" s="1"/>
  <c r="I109" i="1"/>
  <c r="I112" i="1" s="1"/>
  <c r="J105" i="1"/>
  <c r="H113" i="1"/>
  <c r="H115" i="1" s="1"/>
  <c r="I81" i="1"/>
  <c r="I83" i="1" s="1"/>
  <c r="J77" i="1"/>
  <c r="J80" i="1" s="1"/>
  <c r="K73" i="1"/>
  <c r="I7" i="1"/>
  <c r="J5" i="1"/>
  <c r="J6" i="1"/>
  <c r="H48" i="1"/>
  <c r="H49" i="1" s="1"/>
  <c r="I45" i="1"/>
  <c r="J39" i="1"/>
  <c r="J41" i="1" s="1"/>
  <c r="I27" i="1"/>
  <c r="J26" i="1"/>
  <c r="M21" i="1"/>
  <c r="L22" i="1"/>
  <c r="L23" i="1" s="1"/>
  <c r="H100" i="2" l="1"/>
  <c r="H54" i="4" s="1"/>
  <c r="H14" i="5"/>
  <c r="G50" i="3"/>
  <c r="G23" i="2"/>
  <c r="G32" i="1"/>
  <c r="G35" i="1" s="1"/>
  <c r="F93" i="1"/>
  <c r="F94" i="1" s="1"/>
  <c r="E33" i="10" s="1"/>
  <c r="G30" i="2"/>
  <c r="G32" i="2" s="1"/>
  <c r="G52" i="3" s="1"/>
  <c r="G61" i="1"/>
  <c r="G62" i="1" s="1"/>
  <c r="AG23" i="3"/>
  <c r="AG25" i="3" s="1"/>
  <c r="AH12" i="3"/>
  <c r="AH10" i="3"/>
  <c r="H32" i="1"/>
  <c r="H35" i="1" s="1"/>
  <c r="H30" i="2"/>
  <c r="H32" i="2" s="1"/>
  <c r="H52" i="3" s="1"/>
  <c r="H21" i="2"/>
  <c r="H22" i="2" s="1"/>
  <c r="H50" i="3" s="1"/>
  <c r="H54" i="3"/>
  <c r="BB6" i="3"/>
  <c r="BB8" i="3" s="1"/>
  <c r="BB5" i="3"/>
  <c r="BA7" i="3"/>
  <c r="I16" i="1"/>
  <c r="I17" i="1" s="1"/>
  <c r="I19" i="1" s="1"/>
  <c r="I14" i="5"/>
  <c r="I100" i="2"/>
  <c r="K31" i="1"/>
  <c r="J19" i="2"/>
  <c r="J20" i="2" s="1"/>
  <c r="J46" i="2" s="1"/>
  <c r="J48" i="2" s="1"/>
  <c r="J79" i="2" s="1"/>
  <c r="J80" i="2" s="1"/>
  <c r="J81" i="2" s="1"/>
  <c r="J83" i="2" s="1"/>
  <c r="J98" i="2" s="1"/>
  <c r="BA18" i="3"/>
  <c r="BA21" i="3" s="1"/>
  <c r="BB20" i="3" s="1"/>
  <c r="F64" i="1"/>
  <c r="F67" i="1" s="1"/>
  <c r="F64" i="4" s="1"/>
  <c r="F40" i="2"/>
  <c r="F42" i="2" s="1"/>
  <c r="F51" i="3" s="1"/>
  <c r="E96" i="1"/>
  <c r="E99" i="1" s="1"/>
  <c r="J9" i="1"/>
  <c r="K8" i="1"/>
  <c r="J13" i="1"/>
  <c r="H51" i="1"/>
  <c r="L63" i="1"/>
  <c r="L38" i="2" s="1"/>
  <c r="L39" i="2" s="1"/>
  <c r="E125" i="1"/>
  <c r="E126" i="1" s="1"/>
  <c r="I88" i="1"/>
  <c r="H89" i="1"/>
  <c r="G91" i="1"/>
  <c r="G92" i="1" s="1"/>
  <c r="F118" i="1"/>
  <c r="F119" i="1" s="1"/>
  <c r="H59" i="1"/>
  <c r="H60" i="1" s="1"/>
  <c r="I58" i="1"/>
  <c r="H120" i="1"/>
  <c r="G121" i="1"/>
  <c r="G86" i="1"/>
  <c r="G87" i="1" s="1"/>
  <c r="F123" i="1"/>
  <c r="F124" i="1" s="1"/>
  <c r="F125" i="1" s="1"/>
  <c r="H54" i="1"/>
  <c r="H55" i="1" s="1"/>
  <c r="I53" i="1"/>
  <c r="I113" i="1"/>
  <c r="I115" i="1" s="1"/>
  <c r="J109" i="1"/>
  <c r="J112" i="1" s="1"/>
  <c r="K105" i="1"/>
  <c r="J81" i="1"/>
  <c r="J83" i="1" s="1"/>
  <c r="K77" i="1"/>
  <c r="K80" i="1" s="1"/>
  <c r="L73" i="1"/>
  <c r="J7" i="1"/>
  <c r="K6" i="1"/>
  <c r="K5" i="1"/>
  <c r="I48" i="1"/>
  <c r="I49" i="1" s="1"/>
  <c r="I51" i="1" s="1"/>
  <c r="J45" i="1"/>
  <c r="J48" i="1" s="1"/>
  <c r="K39" i="1"/>
  <c r="K41" i="1" s="1"/>
  <c r="I28" i="1"/>
  <c r="I29" i="1" s="1"/>
  <c r="J27" i="1"/>
  <c r="K26" i="1"/>
  <c r="N21" i="1"/>
  <c r="M22" i="1"/>
  <c r="M23" i="1" s="1"/>
  <c r="F33" i="10" l="1"/>
  <c r="H61" i="1"/>
  <c r="G93" i="1"/>
  <c r="G94" i="1" s="1"/>
  <c r="AH13" i="3"/>
  <c r="AI10" i="3" s="1"/>
  <c r="I54" i="3"/>
  <c r="F126" i="1"/>
  <c r="BC6" i="3"/>
  <c r="BC8" i="3" s="1"/>
  <c r="BB7" i="3"/>
  <c r="BC5" i="3"/>
  <c r="H62" i="1"/>
  <c r="I54" i="4"/>
  <c r="I30" i="1"/>
  <c r="I32" i="1" s="1"/>
  <c r="I35" i="1" s="1"/>
  <c r="J16" i="1"/>
  <c r="J17" i="1" s="1"/>
  <c r="J19" i="1" s="1"/>
  <c r="J14" i="5"/>
  <c r="J100" i="2"/>
  <c r="L31" i="1"/>
  <c r="K19" i="2"/>
  <c r="K20" i="2" s="1"/>
  <c r="K46" i="2" s="1"/>
  <c r="K48" i="2" s="1"/>
  <c r="K79" i="2" s="1"/>
  <c r="K80" i="2" s="1"/>
  <c r="K81" i="2" s="1"/>
  <c r="K83" i="2" s="1"/>
  <c r="K98" i="2" s="1"/>
  <c r="BB18" i="3"/>
  <c r="BB21" i="3" s="1"/>
  <c r="BC20" i="3" s="1"/>
  <c r="G64" i="1"/>
  <c r="G67" i="1" s="1"/>
  <c r="G64" i="4" s="1"/>
  <c r="G40" i="2"/>
  <c r="G42" i="2" s="1"/>
  <c r="G51" i="3" s="1"/>
  <c r="F96" i="1"/>
  <c r="F99" i="1" s="1"/>
  <c r="F53" i="4" s="1"/>
  <c r="F56" i="4" s="1"/>
  <c r="F60" i="4" s="1"/>
  <c r="F62" i="3" s="1"/>
  <c r="F50" i="2"/>
  <c r="E128" i="1"/>
  <c r="E131" i="1" s="1"/>
  <c r="K9" i="1"/>
  <c r="K13" i="1"/>
  <c r="L8" i="1"/>
  <c r="M63" i="1"/>
  <c r="M38" i="2" s="1"/>
  <c r="M39" i="2" s="1"/>
  <c r="J53" i="1"/>
  <c r="I54" i="1"/>
  <c r="I55" i="1" s="1"/>
  <c r="J58" i="1"/>
  <c r="I59" i="1"/>
  <c r="I60" i="1" s="1"/>
  <c r="G118" i="1"/>
  <c r="G119" i="1" s="1"/>
  <c r="J88" i="1"/>
  <c r="I89" i="1"/>
  <c r="G123" i="1"/>
  <c r="G124" i="1" s="1"/>
  <c r="H86" i="1"/>
  <c r="H87" i="1" s="1"/>
  <c r="H121" i="1"/>
  <c r="I120" i="1"/>
  <c r="H91" i="1"/>
  <c r="H92" i="1" s="1"/>
  <c r="L105" i="1"/>
  <c r="K109" i="1"/>
  <c r="K112" i="1" s="1"/>
  <c r="J113" i="1"/>
  <c r="J115" i="1" s="1"/>
  <c r="K81" i="1"/>
  <c r="K83" i="1" s="1"/>
  <c r="L77" i="1"/>
  <c r="L80" i="1" s="1"/>
  <c r="M73" i="1"/>
  <c r="K7" i="1"/>
  <c r="L5" i="1"/>
  <c r="L6" i="1"/>
  <c r="J49" i="1"/>
  <c r="J51" i="1" s="1"/>
  <c r="K45" i="1"/>
  <c r="L39" i="1"/>
  <c r="L41" i="1" s="1"/>
  <c r="J28" i="1"/>
  <c r="J29" i="1" s="1"/>
  <c r="K27" i="1"/>
  <c r="L26" i="1"/>
  <c r="O21" i="1"/>
  <c r="N22" i="1"/>
  <c r="N23" i="1" s="1"/>
  <c r="I61" i="1" l="1"/>
  <c r="E34" i="10"/>
  <c r="F34" i="10" s="1"/>
  <c r="G125" i="1"/>
  <c r="G126" i="1" s="1"/>
  <c r="H93" i="1"/>
  <c r="H94" i="1" s="1"/>
  <c r="AI12" i="3"/>
  <c r="AI13" i="3" s="1"/>
  <c r="AJ10" i="3" s="1"/>
  <c r="AH23" i="3"/>
  <c r="AH25" i="3" s="1"/>
  <c r="I62" i="1"/>
  <c r="J54" i="3"/>
  <c r="BD6" i="3"/>
  <c r="BD8" i="3" s="1"/>
  <c r="BD5" i="3"/>
  <c r="BC7" i="3"/>
  <c r="J54" i="4"/>
  <c r="I30" i="2"/>
  <c r="I32" i="2" s="1"/>
  <c r="I52" i="3" s="1"/>
  <c r="J30" i="1"/>
  <c r="J30" i="2" s="1"/>
  <c r="J32" i="2" s="1"/>
  <c r="J52" i="3" s="1"/>
  <c r="I21" i="2"/>
  <c r="I22" i="2" s="1"/>
  <c r="I50" i="3" s="1"/>
  <c r="K14" i="5"/>
  <c r="K100" i="2"/>
  <c r="M31" i="1"/>
  <c r="L19" i="2"/>
  <c r="L20" i="2" s="1"/>
  <c r="L46" i="2" s="1"/>
  <c r="L48" i="2" s="1"/>
  <c r="L79" i="2" s="1"/>
  <c r="L80" i="2" s="1"/>
  <c r="L81" i="2" s="1"/>
  <c r="L83" i="2" s="1"/>
  <c r="L98" i="2" s="1"/>
  <c r="E57" i="2"/>
  <c r="BC18" i="3"/>
  <c r="BC21" i="3" s="1"/>
  <c r="BD20" i="3" s="1"/>
  <c r="G96" i="1"/>
  <c r="G99" i="1" s="1"/>
  <c r="G53" i="4" s="1"/>
  <c r="G56" i="4" s="1"/>
  <c r="G60" i="4" s="1"/>
  <c r="G62" i="3" s="1"/>
  <c r="G50" i="2"/>
  <c r="H64" i="1"/>
  <c r="H67" i="1" s="1"/>
  <c r="H64" i="4" s="1"/>
  <c r="H40" i="2"/>
  <c r="H42" i="2" s="1"/>
  <c r="H51" i="3" s="1"/>
  <c r="F128" i="1"/>
  <c r="F131" i="1" s="1"/>
  <c r="F51" i="2"/>
  <c r="F52" i="2" s="1"/>
  <c r="L9" i="1"/>
  <c r="M8" i="1"/>
  <c r="L13" i="1"/>
  <c r="K16" i="1"/>
  <c r="K17" i="1" s="1"/>
  <c r="K19" i="1" s="1"/>
  <c r="N63" i="1"/>
  <c r="N38" i="2" s="1"/>
  <c r="N39" i="2" s="1"/>
  <c r="H123" i="1"/>
  <c r="H124" i="1" s="1"/>
  <c r="K88" i="1"/>
  <c r="J89" i="1"/>
  <c r="K58" i="1"/>
  <c r="J59" i="1"/>
  <c r="J60" i="1" s="1"/>
  <c r="J120" i="1"/>
  <c r="I121" i="1"/>
  <c r="I86" i="1"/>
  <c r="I87" i="1" s="1"/>
  <c r="K53" i="1"/>
  <c r="J54" i="1"/>
  <c r="J55" i="1" s="1"/>
  <c r="I91" i="1"/>
  <c r="I92" i="1" s="1"/>
  <c r="H118" i="1"/>
  <c r="H119" i="1" s="1"/>
  <c r="K113" i="1"/>
  <c r="K115" i="1" s="1"/>
  <c r="M105" i="1"/>
  <c r="L109" i="1"/>
  <c r="L112" i="1" s="1"/>
  <c r="L81" i="1"/>
  <c r="L83" i="1" s="1"/>
  <c r="M77" i="1"/>
  <c r="M80" i="1" s="1"/>
  <c r="N73" i="1"/>
  <c r="L7" i="1"/>
  <c r="M5" i="1"/>
  <c r="M6" i="1"/>
  <c r="K48" i="1"/>
  <c r="K49" i="1" s="1"/>
  <c r="K51" i="1" s="1"/>
  <c r="L45" i="1"/>
  <c r="L48" i="1" s="1"/>
  <c r="M39" i="1"/>
  <c r="M41" i="1" s="1"/>
  <c r="K28" i="1"/>
  <c r="K29" i="1" s="1"/>
  <c r="L27" i="1"/>
  <c r="M26" i="1"/>
  <c r="O22" i="1"/>
  <c r="O23" i="1" s="1"/>
  <c r="P21" i="1"/>
  <c r="I93" i="1" l="1"/>
  <c r="J61" i="1"/>
  <c r="H125" i="1"/>
  <c r="H126" i="1" s="1"/>
  <c r="H128" i="1" s="1"/>
  <c r="H131" i="1" s="1"/>
  <c r="AI23" i="3"/>
  <c r="AI25" i="3" s="1"/>
  <c r="AJ12" i="3"/>
  <c r="AJ13" i="3" s="1"/>
  <c r="J62" i="1"/>
  <c r="K30" i="1"/>
  <c r="K30" i="2" s="1"/>
  <c r="K32" i="2" s="1"/>
  <c r="K52" i="3" s="1"/>
  <c r="K54" i="3"/>
  <c r="I94" i="1"/>
  <c r="BE6" i="3"/>
  <c r="BE8" i="3" s="1"/>
  <c r="BD7" i="3"/>
  <c r="BE5" i="3"/>
  <c r="K54" i="4"/>
  <c r="J32" i="1"/>
  <c r="J35" i="1" s="1"/>
  <c r="J21" i="2"/>
  <c r="J22" i="2" s="1"/>
  <c r="J50" i="3" s="1"/>
  <c r="L16" i="1"/>
  <c r="L17" i="1" s="1"/>
  <c r="L19" i="1" s="1"/>
  <c r="L14" i="5"/>
  <c r="L100" i="2"/>
  <c r="N31" i="1"/>
  <c r="M19" i="2"/>
  <c r="M20" i="2" s="1"/>
  <c r="M46" i="2" s="1"/>
  <c r="M48" i="2" s="1"/>
  <c r="M79" i="2" s="1"/>
  <c r="M80" i="2" s="1"/>
  <c r="M81" i="2" s="1"/>
  <c r="M83" i="2" s="1"/>
  <c r="M98" i="2" s="1"/>
  <c r="E59" i="2"/>
  <c r="F57" i="2"/>
  <c r="F59" i="2" s="1"/>
  <c r="H3" i="2" s="1"/>
  <c r="F54" i="2"/>
  <c r="BD18" i="3"/>
  <c r="BD21" i="3" s="1"/>
  <c r="BE20" i="3" s="1"/>
  <c r="G128" i="1"/>
  <c r="G131" i="1" s="1"/>
  <c r="G51" i="2"/>
  <c r="G52" i="2" s="1"/>
  <c r="H96" i="1"/>
  <c r="H99" i="1" s="1"/>
  <c r="H53" i="4" s="1"/>
  <c r="H56" i="4" s="1"/>
  <c r="H60" i="4" s="1"/>
  <c r="H62" i="3" s="1"/>
  <c r="H50" i="2"/>
  <c r="I64" i="1"/>
  <c r="I67" i="1" s="1"/>
  <c r="I64" i="4" s="1"/>
  <c r="I40" i="2"/>
  <c r="I42" i="2" s="1"/>
  <c r="I51" i="3" s="1"/>
  <c r="M9" i="1"/>
  <c r="N8" i="1"/>
  <c r="M13" i="1"/>
  <c r="O63" i="1"/>
  <c r="O38" i="2" s="1"/>
  <c r="O39" i="2" s="1"/>
  <c r="I123" i="1"/>
  <c r="I124" i="1" s="1"/>
  <c r="J91" i="1"/>
  <c r="J92" i="1" s="1"/>
  <c r="L58" i="1"/>
  <c r="K59" i="1"/>
  <c r="K60" i="1" s="1"/>
  <c r="I118" i="1"/>
  <c r="I119" i="1" s="1"/>
  <c r="J86" i="1"/>
  <c r="J87" i="1" s="1"/>
  <c r="K120" i="1"/>
  <c r="J121" i="1"/>
  <c r="L53" i="1"/>
  <c r="K54" i="1"/>
  <c r="K55" i="1" s="1"/>
  <c r="K89" i="1"/>
  <c r="L88" i="1"/>
  <c r="L113" i="1"/>
  <c r="L115" i="1" s="1"/>
  <c r="M109" i="1"/>
  <c r="M112" i="1" s="1"/>
  <c r="N105" i="1"/>
  <c r="M81" i="1"/>
  <c r="M83" i="1" s="1"/>
  <c r="N77" i="1"/>
  <c r="N80" i="1" s="1"/>
  <c r="O73" i="1"/>
  <c r="M7" i="1"/>
  <c r="N5" i="1"/>
  <c r="N6" i="1"/>
  <c r="L49" i="1"/>
  <c r="L51" i="1" s="1"/>
  <c r="M45" i="1"/>
  <c r="M48" i="1" s="1"/>
  <c r="N39" i="1"/>
  <c r="N41" i="1" s="1"/>
  <c r="L28" i="1"/>
  <c r="L29" i="1" s="1"/>
  <c r="N26" i="1"/>
  <c r="M27" i="1"/>
  <c r="Q21" i="1"/>
  <c r="P22" i="1"/>
  <c r="P23" i="1" s="1"/>
  <c r="J93" i="1" l="1"/>
  <c r="K61" i="1"/>
  <c r="K62" i="1" s="1"/>
  <c r="I125" i="1"/>
  <c r="I126" i="1" s="1"/>
  <c r="AK10" i="3"/>
  <c r="AK12" i="3"/>
  <c r="AJ23" i="3"/>
  <c r="AJ25" i="3" s="1"/>
  <c r="K32" i="1"/>
  <c r="K35" i="1" s="1"/>
  <c r="K21" i="2"/>
  <c r="K22" i="2" s="1"/>
  <c r="K50" i="3" s="1"/>
  <c r="L54" i="3"/>
  <c r="J94" i="1"/>
  <c r="BF5" i="3"/>
  <c r="BE7" i="3"/>
  <c r="BF6" i="3"/>
  <c r="BF8" i="3" s="1"/>
  <c r="L54" i="4"/>
  <c r="L30" i="1"/>
  <c r="L21" i="2" s="1"/>
  <c r="L22" i="2" s="1"/>
  <c r="L50" i="3" s="1"/>
  <c r="F55" i="2"/>
  <c r="H51" i="2"/>
  <c r="H52" i="2" s="1"/>
  <c r="M100" i="2"/>
  <c r="M14" i="5"/>
  <c r="O31" i="1"/>
  <c r="N19" i="2"/>
  <c r="N20" i="2" s="1"/>
  <c r="N46" i="2" s="1"/>
  <c r="N48" i="2" s="1"/>
  <c r="N79" i="2" s="1"/>
  <c r="N80" i="2" s="1"/>
  <c r="N81" i="2" s="1"/>
  <c r="N83" i="2" s="1"/>
  <c r="N98" i="2" s="1"/>
  <c r="F61" i="2"/>
  <c r="F77" i="4" s="1"/>
  <c r="F79" i="4" s="1"/>
  <c r="F53" i="3"/>
  <c r="G57" i="2"/>
  <c r="G59" i="2" s="1"/>
  <c r="G61" i="2" s="1"/>
  <c r="G77" i="4" s="1"/>
  <c r="G79" i="4" s="1"/>
  <c r="G61" i="3" s="1"/>
  <c r="G54" i="2"/>
  <c r="BE18" i="3"/>
  <c r="BE21" i="3" s="1"/>
  <c r="BF20" i="3" s="1"/>
  <c r="I96" i="1"/>
  <c r="I99" i="1" s="1"/>
  <c r="I53" i="4" s="1"/>
  <c r="I56" i="4" s="1"/>
  <c r="I60" i="4" s="1"/>
  <c r="I62" i="3" s="1"/>
  <c r="I50" i="2"/>
  <c r="J64" i="1"/>
  <c r="J67" i="1" s="1"/>
  <c r="J64" i="4" s="1"/>
  <c r="J40" i="2"/>
  <c r="J42" i="2" s="1"/>
  <c r="J51" i="3" s="1"/>
  <c r="M16" i="1"/>
  <c r="M17" i="1" s="1"/>
  <c r="M19" i="1" s="1"/>
  <c r="N9" i="1"/>
  <c r="O8" i="1"/>
  <c r="N13" i="1"/>
  <c r="P63" i="1"/>
  <c r="P38" i="2" s="1"/>
  <c r="P39" i="2" s="1"/>
  <c r="K91" i="1"/>
  <c r="K92" i="1" s="1"/>
  <c r="K86" i="1"/>
  <c r="K87" i="1" s="1"/>
  <c r="M88" i="1"/>
  <c r="L89" i="1"/>
  <c r="J118" i="1"/>
  <c r="J119" i="1" s="1"/>
  <c r="L59" i="1"/>
  <c r="L60" i="1" s="1"/>
  <c r="M58" i="1"/>
  <c r="J123" i="1"/>
  <c r="J124" i="1" s="1"/>
  <c r="M53" i="1"/>
  <c r="L54" i="1"/>
  <c r="L55" i="1" s="1"/>
  <c r="L120" i="1"/>
  <c r="K121" i="1"/>
  <c r="N109" i="1"/>
  <c r="N112" i="1" s="1"/>
  <c r="O105" i="1"/>
  <c r="M113" i="1"/>
  <c r="M115" i="1" s="1"/>
  <c r="O77" i="1"/>
  <c r="O80" i="1" s="1"/>
  <c r="P73" i="1"/>
  <c r="N81" i="1"/>
  <c r="N83" i="1" s="1"/>
  <c r="N7" i="1"/>
  <c r="O5" i="1"/>
  <c r="O6" i="1"/>
  <c r="N45" i="1"/>
  <c r="N48" i="1" s="1"/>
  <c r="O39" i="1"/>
  <c r="O41" i="1" s="1"/>
  <c r="M49" i="1"/>
  <c r="M51" i="1" s="1"/>
  <c r="M28" i="1"/>
  <c r="M29" i="1" s="1"/>
  <c r="N27" i="1"/>
  <c r="O26" i="1"/>
  <c r="R21" i="1"/>
  <c r="Q22" i="1"/>
  <c r="Q23" i="1" s="1"/>
  <c r="J125" i="1" l="1"/>
  <c r="J126" i="1" s="1"/>
  <c r="L61" i="1"/>
  <c r="L62" i="1" s="1"/>
  <c r="K93" i="1"/>
  <c r="K94" i="1" s="1"/>
  <c r="AK13" i="3"/>
  <c r="M30" i="1"/>
  <c r="M32" i="1" s="1"/>
  <c r="M35" i="1" s="1"/>
  <c r="M54" i="3"/>
  <c r="L30" i="2"/>
  <c r="L32" i="2" s="1"/>
  <c r="L52" i="3" s="1"/>
  <c r="F56" i="3"/>
  <c r="BG5" i="3"/>
  <c r="BF7" i="3"/>
  <c r="BG6" i="3"/>
  <c r="BG8" i="3" s="1"/>
  <c r="M54" i="4"/>
  <c r="L32" i="1"/>
  <c r="L35" i="1" s="1"/>
  <c r="G55" i="2"/>
  <c r="N100" i="2"/>
  <c r="N14" i="5"/>
  <c r="P31" i="1"/>
  <c r="O19" i="2"/>
  <c r="O20" i="2" s="1"/>
  <c r="O46" i="2" s="1"/>
  <c r="O48" i="2" s="1"/>
  <c r="O79" i="2" s="1"/>
  <c r="O80" i="2" s="1"/>
  <c r="O81" i="2" s="1"/>
  <c r="O83" i="2" s="1"/>
  <c r="O98" i="2" s="1"/>
  <c r="G53" i="3"/>
  <c r="G56" i="3" s="1"/>
  <c r="F61" i="3"/>
  <c r="H57" i="2"/>
  <c r="H59" i="2" s="1"/>
  <c r="H61" i="2" s="1"/>
  <c r="H77" i="4" s="1"/>
  <c r="H79" i="4" s="1"/>
  <c r="H61" i="3" s="1"/>
  <c r="H54" i="2"/>
  <c r="F147" i="12" s="1"/>
  <c r="BF18" i="3"/>
  <c r="BF21" i="3" s="1"/>
  <c r="BG20" i="3" s="1"/>
  <c r="I128" i="1"/>
  <c r="I131" i="1" s="1"/>
  <c r="I51" i="2"/>
  <c r="I52" i="2" s="1"/>
  <c r="J96" i="1"/>
  <c r="J99" i="1" s="1"/>
  <c r="J53" i="4" s="1"/>
  <c r="J56" i="4" s="1"/>
  <c r="J60" i="4" s="1"/>
  <c r="J62" i="3" s="1"/>
  <c r="J50" i="2"/>
  <c r="K64" i="1"/>
  <c r="K67" i="1" s="1"/>
  <c r="K64" i="4" s="1"/>
  <c r="K40" i="2"/>
  <c r="K42" i="2" s="1"/>
  <c r="K51" i="3" s="1"/>
  <c r="M21" i="2"/>
  <c r="M22" i="2" s="1"/>
  <c r="M50" i="3" s="1"/>
  <c r="M30" i="2"/>
  <c r="M32" i="2" s="1"/>
  <c r="M52" i="3" s="1"/>
  <c r="N16" i="1"/>
  <c r="N17" i="1" s="1"/>
  <c r="N19" i="1" s="1"/>
  <c r="O9" i="1"/>
  <c r="O13" i="1"/>
  <c r="P8" i="1"/>
  <c r="Q63" i="1"/>
  <c r="Q38" i="2" s="1"/>
  <c r="Q39" i="2" s="1"/>
  <c r="K118" i="1"/>
  <c r="K119" i="1" s="1"/>
  <c r="N53" i="1"/>
  <c r="M54" i="1"/>
  <c r="M55" i="1" s="1"/>
  <c r="L86" i="1"/>
  <c r="L87" i="1" s="1"/>
  <c r="L91" i="1"/>
  <c r="L92" i="1" s="1"/>
  <c r="K123" i="1"/>
  <c r="K124" i="1" s="1"/>
  <c r="N88" i="1"/>
  <c r="M89" i="1"/>
  <c r="L121" i="1"/>
  <c r="M120" i="1"/>
  <c r="N58" i="1"/>
  <c r="M59" i="1"/>
  <c r="M60" i="1" s="1"/>
  <c r="N113" i="1"/>
  <c r="N115" i="1" s="1"/>
  <c r="O109" i="1"/>
  <c r="O112" i="1" s="1"/>
  <c r="P105" i="1"/>
  <c r="O81" i="1"/>
  <c r="O83" i="1" s="1"/>
  <c r="P77" i="1"/>
  <c r="P80" i="1" s="1"/>
  <c r="Q73" i="1"/>
  <c r="O7" i="1"/>
  <c r="P6" i="1"/>
  <c r="P5" i="1"/>
  <c r="N28" i="1"/>
  <c r="N29" i="1" s="1"/>
  <c r="N49" i="1"/>
  <c r="N51" i="1" s="1"/>
  <c r="O45" i="1"/>
  <c r="O48" i="1" s="1"/>
  <c r="P39" i="1"/>
  <c r="P41" i="1" s="1"/>
  <c r="O27" i="1"/>
  <c r="P26" i="1"/>
  <c r="S21" i="1"/>
  <c r="T21" i="1" s="1"/>
  <c r="R22" i="1"/>
  <c r="R23" i="1" s="1"/>
  <c r="M61" i="1" l="1"/>
  <c r="G24" i="2"/>
  <c r="G25" i="2" s="1"/>
  <c r="G57" i="3"/>
  <c r="L93" i="1"/>
  <c r="L94" i="1" s="1"/>
  <c r="K125" i="1"/>
  <c r="K126" i="1" s="1"/>
  <c r="F189" i="12"/>
  <c r="H15" i="5" s="1"/>
  <c r="F235" i="12"/>
  <c r="AL10" i="3"/>
  <c r="AL12" i="3"/>
  <c r="AK23" i="3"/>
  <c r="AK25" i="3" s="1"/>
  <c r="N30" i="1"/>
  <c r="N30" i="2" s="1"/>
  <c r="N32" i="2" s="1"/>
  <c r="N52" i="3" s="1"/>
  <c r="M62" i="1"/>
  <c r="N54" i="3"/>
  <c r="BH6" i="3"/>
  <c r="BH8" i="3" s="1"/>
  <c r="BH5" i="3"/>
  <c r="BG7" i="3"/>
  <c r="N54" i="4"/>
  <c r="H55" i="2"/>
  <c r="H92" i="4" s="1"/>
  <c r="H85" i="4" s="1"/>
  <c r="O14" i="5"/>
  <c r="O100" i="2"/>
  <c r="Q31" i="1"/>
  <c r="P19" i="2"/>
  <c r="P20" i="2" s="1"/>
  <c r="P46" i="2" s="1"/>
  <c r="P48" i="2" s="1"/>
  <c r="P79" i="2" s="1"/>
  <c r="P80" i="2" s="1"/>
  <c r="P81" i="2" s="1"/>
  <c r="P83" i="2" s="1"/>
  <c r="P98" i="2" s="1"/>
  <c r="H53" i="3"/>
  <c r="H56" i="3" s="1"/>
  <c r="H13" i="5"/>
  <c r="I57" i="2"/>
  <c r="I59" i="2" s="1"/>
  <c r="I61" i="2" s="1"/>
  <c r="I77" i="4" s="1"/>
  <c r="I79" i="4" s="1"/>
  <c r="I61" i="3" s="1"/>
  <c r="I54" i="2"/>
  <c r="G147" i="12" s="1"/>
  <c r="G189" i="12" s="1"/>
  <c r="BG18" i="3"/>
  <c r="BG21" i="3" s="1"/>
  <c r="BH20" i="3" s="1"/>
  <c r="J128" i="1"/>
  <c r="J131" i="1" s="1"/>
  <c r="J51" i="2"/>
  <c r="J52" i="2" s="1"/>
  <c r="L64" i="1"/>
  <c r="L67" i="1" s="1"/>
  <c r="L64" i="4" s="1"/>
  <c r="L40" i="2"/>
  <c r="L42" i="2" s="1"/>
  <c r="L51" i="3" s="1"/>
  <c r="K96" i="1"/>
  <c r="K99" i="1" s="1"/>
  <c r="K53" i="4" s="1"/>
  <c r="K56" i="4" s="1"/>
  <c r="K60" i="4" s="1"/>
  <c r="K62" i="3" s="1"/>
  <c r="K50" i="2"/>
  <c r="O16" i="1"/>
  <c r="O17" i="1" s="1"/>
  <c r="O19" i="1" s="1"/>
  <c r="P9" i="1"/>
  <c r="Q8" i="1"/>
  <c r="P13" i="1"/>
  <c r="R63" i="1"/>
  <c r="R38" i="2" s="1"/>
  <c r="R39" i="2" s="1"/>
  <c r="L123" i="1"/>
  <c r="L124" i="1" s="1"/>
  <c r="N120" i="1"/>
  <c r="M121" i="1"/>
  <c r="N89" i="1"/>
  <c r="O88" i="1"/>
  <c r="M86" i="1"/>
  <c r="M87" i="1" s="1"/>
  <c r="L118" i="1"/>
  <c r="L119" i="1" s="1"/>
  <c r="O58" i="1"/>
  <c r="N59" i="1"/>
  <c r="N60" i="1" s="1"/>
  <c r="M91" i="1"/>
  <c r="M92" i="1" s="1"/>
  <c r="O53" i="1"/>
  <c r="N54" i="1"/>
  <c r="N55" i="1" s="1"/>
  <c r="O113" i="1"/>
  <c r="O115" i="1" s="1"/>
  <c r="P109" i="1"/>
  <c r="P112" i="1" s="1"/>
  <c r="Q105" i="1"/>
  <c r="P81" i="1"/>
  <c r="P83" i="1" s="1"/>
  <c r="Q77" i="1"/>
  <c r="Q80" i="1" s="1"/>
  <c r="R73" i="1"/>
  <c r="P7" i="1"/>
  <c r="Q6" i="1"/>
  <c r="Q5" i="1"/>
  <c r="P45" i="1"/>
  <c r="Q39" i="1"/>
  <c r="Q41" i="1" s="1"/>
  <c r="O49" i="1"/>
  <c r="O51" i="1" s="1"/>
  <c r="O28" i="1"/>
  <c r="O29" i="1" s="1"/>
  <c r="T22" i="1"/>
  <c r="T23" i="1" s="1"/>
  <c r="U21" i="1"/>
  <c r="Q26" i="1"/>
  <c r="P27" i="1"/>
  <c r="S22" i="1"/>
  <c r="S23" i="1" s="1"/>
  <c r="N32" i="1" l="1"/>
  <c r="N35" i="1" s="1"/>
  <c r="N21" i="2"/>
  <c r="N22" i="2" s="1"/>
  <c r="N50" i="3" s="1"/>
  <c r="G16" i="4"/>
  <c r="H46" i="5"/>
  <c r="H57" i="3"/>
  <c r="H12" i="5"/>
  <c r="M93" i="1"/>
  <c r="M94" i="1" s="1"/>
  <c r="L125" i="1"/>
  <c r="L126" i="1" s="1"/>
  <c r="N61" i="1"/>
  <c r="N62" i="1" s="1"/>
  <c r="I15" i="5"/>
  <c r="G235" i="12"/>
  <c r="I94" i="4" s="1"/>
  <c r="AL13" i="3"/>
  <c r="O54" i="3"/>
  <c r="BH7" i="3"/>
  <c r="BI5" i="3"/>
  <c r="BI6" i="3"/>
  <c r="BI8" i="3" s="1"/>
  <c r="O54" i="4"/>
  <c r="O30" i="1"/>
  <c r="O30" i="2" s="1"/>
  <c r="O32" i="2" s="1"/>
  <c r="O52" i="3" s="1"/>
  <c r="I55" i="2"/>
  <c r="I92" i="4" s="1"/>
  <c r="P16" i="1"/>
  <c r="P17" i="1" s="1"/>
  <c r="P19" i="1" s="1"/>
  <c r="R31" i="1"/>
  <c r="Q19" i="2"/>
  <c r="Q20" i="2" s="1"/>
  <c r="Q46" i="2" s="1"/>
  <c r="Q48" i="2" s="1"/>
  <c r="Q79" i="2" s="1"/>
  <c r="Q80" i="2" s="1"/>
  <c r="Q81" i="2" s="1"/>
  <c r="Q83" i="2" s="1"/>
  <c r="Q98" i="2" s="1"/>
  <c r="P100" i="2"/>
  <c r="P14" i="5"/>
  <c r="I53" i="3"/>
  <c r="I56" i="3" s="1"/>
  <c r="J57" i="2"/>
  <c r="J53" i="3" s="1"/>
  <c r="J56" i="3" s="1"/>
  <c r="J54" i="2"/>
  <c r="H147" i="12" s="1"/>
  <c r="I13" i="5"/>
  <c r="BH18" i="3"/>
  <c r="BH21" i="3" s="1"/>
  <c r="BI20" i="3" s="1"/>
  <c r="K128" i="1"/>
  <c r="K131" i="1" s="1"/>
  <c r="K51" i="2"/>
  <c r="K52" i="2" s="1"/>
  <c r="L96" i="1"/>
  <c r="L99" i="1" s="1"/>
  <c r="L53" i="4" s="1"/>
  <c r="L56" i="4" s="1"/>
  <c r="L60" i="4" s="1"/>
  <c r="L62" i="3" s="1"/>
  <c r="L50" i="2"/>
  <c r="M64" i="1"/>
  <c r="M67" i="1" s="1"/>
  <c r="M64" i="4" s="1"/>
  <c r="M40" i="2"/>
  <c r="M42" i="2" s="1"/>
  <c r="M51" i="3" s="1"/>
  <c r="Q9" i="1"/>
  <c r="R8" i="1"/>
  <c r="Q13" i="1"/>
  <c r="S63" i="1"/>
  <c r="S38" i="2" s="1"/>
  <c r="S39" i="2" s="1"/>
  <c r="O54" i="1"/>
  <c r="O55" i="1" s="1"/>
  <c r="P53" i="1"/>
  <c r="M118" i="1"/>
  <c r="M119" i="1" s="1"/>
  <c r="O89" i="1"/>
  <c r="P88" i="1"/>
  <c r="N91" i="1"/>
  <c r="N92" i="1" s="1"/>
  <c r="O59" i="1"/>
  <c r="O60" i="1" s="1"/>
  <c r="P58" i="1"/>
  <c r="N86" i="1"/>
  <c r="N87" i="1" s="1"/>
  <c r="M123" i="1"/>
  <c r="M124" i="1" s="1"/>
  <c r="O120" i="1"/>
  <c r="N121" i="1"/>
  <c r="Q109" i="1"/>
  <c r="Q112" i="1" s="1"/>
  <c r="R105" i="1"/>
  <c r="P113" i="1"/>
  <c r="P115" i="1" s="1"/>
  <c r="Q81" i="1"/>
  <c r="Q83" i="1" s="1"/>
  <c r="R77" i="1"/>
  <c r="R80" i="1" s="1"/>
  <c r="S73" i="1"/>
  <c r="P48" i="1"/>
  <c r="P49" i="1" s="1"/>
  <c r="Q7" i="1"/>
  <c r="R6" i="1"/>
  <c r="R5" i="1"/>
  <c r="Q45" i="1"/>
  <c r="Q48" i="1" s="1"/>
  <c r="R39" i="1"/>
  <c r="R41" i="1" s="1"/>
  <c r="P28" i="1"/>
  <c r="P29" i="1" s="1"/>
  <c r="R26" i="1"/>
  <c r="Q27" i="1"/>
  <c r="V21" i="1"/>
  <c r="U22" i="1"/>
  <c r="U23" i="1" s="1"/>
  <c r="I85" i="4" l="1"/>
  <c r="I12" i="5"/>
  <c r="J46" i="5"/>
  <c r="J57" i="3"/>
  <c r="I46" i="5"/>
  <c r="I57" i="3"/>
  <c r="O61" i="1"/>
  <c r="O62" i="1" s="1"/>
  <c r="N93" i="1"/>
  <c r="N94" i="1" s="1"/>
  <c r="M125" i="1"/>
  <c r="M126" i="1" s="1"/>
  <c r="H235" i="12"/>
  <c r="J94" i="4" s="1"/>
  <c r="H189" i="12"/>
  <c r="J15" i="5" s="1"/>
  <c r="AM10" i="3"/>
  <c r="AM12" i="3"/>
  <c r="AL23" i="3"/>
  <c r="AL25" i="3" s="1"/>
  <c r="O21" i="2"/>
  <c r="O22" i="2" s="1"/>
  <c r="O50" i="3" s="1"/>
  <c r="P54" i="3"/>
  <c r="O32" i="1"/>
  <c r="O35" i="1" s="1"/>
  <c r="BI7" i="3"/>
  <c r="BJ6" i="3"/>
  <c r="BJ8" i="3" s="1"/>
  <c r="BJ5" i="3"/>
  <c r="P54" i="4"/>
  <c r="P30" i="1"/>
  <c r="P32" i="1" s="1"/>
  <c r="P35" i="1" s="1"/>
  <c r="J55" i="2"/>
  <c r="J92" i="4" s="1"/>
  <c r="J85" i="4" s="1"/>
  <c r="Q16" i="1"/>
  <c r="Q17" i="1" s="1"/>
  <c r="Q19" i="1" s="1"/>
  <c r="Q14" i="5"/>
  <c r="Q100" i="2"/>
  <c r="S31" i="1"/>
  <c r="R19" i="2"/>
  <c r="R20" i="2" s="1"/>
  <c r="R46" i="2" s="1"/>
  <c r="R48" i="2" s="1"/>
  <c r="R79" i="2" s="1"/>
  <c r="R80" i="2" s="1"/>
  <c r="R81" i="2" s="1"/>
  <c r="R83" i="2" s="1"/>
  <c r="R98" i="2" s="1"/>
  <c r="J59" i="2"/>
  <c r="J13" i="5" s="1"/>
  <c r="K57" i="2"/>
  <c r="K53" i="3" s="1"/>
  <c r="K56" i="3" s="1"/>
  <c r="K54" i="2"/>
  <c r="I147" i="12" s="1"/>
  <c r="BI18" i="3"/>
  <c r="BI21" i="3" s="1"/>
  <c r="BJ20" i="3" s="1"/>
  <c r="L128" i="1"/>
  <c r="L131" i="1" s="1"/>
  <c r="L51" i="2"/>
  <c r="L52" i="2" s="1"/>
  <c r="N64" i="1"/>
  <c r="N67" i="1" s="1"/>
  <c r="N64" i="4" s="1"/>
  <c r="N40" i="2"/>
  <c r="N42" i="2" s="1"/>
  <c r="N51" i="3" s="1"/>
  <c r="M96" i="1"/>
  <c r="M99" i="1" s="1"/>
  <c r="M53" i="4" s="1"/>
  <c r="M56" i="4" s="1"/>
  <c r="M60" i="4" s="1"/>
  <c r="M62" i="3" s="1"/>
  <c r="M50" i="2"/>
  <c r="R9" i="1"/>
  <c r="R13" i="1"/>
  <c r="S8" i="1"/>
  <c r="T63" i="1"/>
  <c r="T38" i="2" s="1"/>
  <c r="T39" i="2" s="1"/>
  <c r="N123" i="1"/>
  <c r="N124" i="1" s="1"/>
  <c r="O121" i="1"/>
  <c r="P120" i="1"/>
  <c r="Q88" i="1"/>
  <c r="P89" i="1"/>
  <c r="Q58" i="1"/>
  <c r="P59" i="1"/>
  <c r="P60" i="1" s="1"/>
  <c r="P54" i="1"/>
  <c r="P55" i="1" s="1"/>
  <c r="Q53" i="1"/>
  <c r="O86" i="1"/>
  <c r="O87" i="1" s="1"/>
  <c r="N118" i="1"/>
  <c r="N119" i="1" s="1"/>
  <c r="O91" i="1"/>
  <c r="O92" i="1" s="1"/>
  <c r="Q113" i="1"/>
  <c r="Q115" i="1" s="1"/>
  <c r="R109" i="1"/>
  <c r="R112" i="1" s="1"/>
  <c r="S105" i="1"/>
  <c r="R81" i="1"/>
  <c r="R83" i="1" s="1"/>
  <c r="S77" i="1"/>
  <c r="S80" i="1" s="1"/>
  <c r="T73" i="1"/>
  <c r="P51" i="1"/>
  <c r="R7" i="1"/>
  <c r="S5" i="1"/>
  <c r="S6" i="1"/>
  <c r="Q49" i="1"/>
  <c r="Q51" i="1" s="1"/>
  <c r="R45" i="1"/>
  <c r="R48" i="1" s="1"/>
  <c r="S39" i="1"/>
  <c r="S41" i="1" s="1"/>
  <c r="Q28" i="1"/>
  <c r="Q29" i="1" s="1"/>
  <c r="W21" i="1"/>
  <c r="V22" i="1"/>
  <c r="V23" i="1" s="1"/>
  <c r="S26" i="1"/>
  <c r="R27" i="1"/>
  <c r="K46" i="5" l="1"/>
  <c r="K57" i="3"/>
  <c r="J12" i="5"/>
  <c r="N125" i="1"/>
  <c r="N126" i="1" s="1"/>
  <c r="O93" i="1"/>
  <c r="O94" i="1" s="1"/>
  <c r="P61" i="1"/>
  <c r="P62" i="1" s="1"/>
  <c r="I189" i="12"/>
  <c r="K15" i="5" s="1"/>
  <c r="I235" i="12"/>
  <c r="K94" i="4" s="1"/>
  <c r="AM13" i="3"/>
  <c r="Q30" i="1"/>
  <c r="Q21" i="2" s="1"/>
  <c r="Q22" i="2" s="1"/>
  <c r="Q50" i="3" s="1"/>
  <c r="Q54" i="3"/>
  <c r="BJ7" i="3"/>
  <c r="BK6" i="3"/>
  <c r="BK8" i="3" s="1"/>
  <c r="BK5" i="3"/>
  <c r="Q54" i="4"/>
  <c r="P21" i="2"/>
  <c r="P22" i="2" s="1"/>
  <c r="P30" i="2"/>
  <c r="P32" i="2" s="1"/>
  <c r="P52" i="3" s="1"/>
  <c r="K55" i="2"/>
  <c r="K92" i="4" s="1"/>
  <c r="R16" i="1"/>
  <c r="R17" i="1" s="1"/>
  <c r="R19" i="1" s="1"/>
  <c r="R14" i="5"/>
  <c r="R100" i="2"/>
  <c r="T31" i="1"/>
  <c r="S19" i="2"/>
  <c r="S20" i="2" s="1"/>
  <c r="S46" i="2" s="1"/>
  <c r="S48" i="2" s="1"/>
  <c r="S79" i="2" s="1"/>
  <c r="S80" i="2" s="1"/>
  <c r="S81" i="2" s="1"/>
  <c r="S83" i="2" s="1"/>
  <c r="S98" i="2" s="1"/>
  <c r="K59" i="2"/>
  <c r="K61" i="2" s="1"/>
  <c r="K77" i="4" s="1"/>
  <c r="K79" i="4" s="1"/>
  <c r="K61" i="3" s="1"/>
  <c r="J61" i="2"/>
  <c r="J77" i="4" s="1"/>
  <c r="J79" i="4" s="1"/>
  <c r="J61" i="3" s="1"/>
  <c r="L57" i="2"/>
  <c r="L53" i="3" s="1"/>
  <c r="L56" i="3" s="1"/>
  <c r="L54" i="2"/>
  <c r="J147" i="12" s="1"/>
  <c r="BJ18" i="3"/>
  <c r="BJ21" i="3" s="1"/>
  <c r="BK20" i="3" s="1"/>
  <c r="M128" i="1"/>
  <c r="M131" i="1" s="1"/>
  <c r="M51" i="2"/>
  <c r="M52" i="2" s="1"/>
  <c r="N96" i="1"/>
  <c r="N99" i="1" s="1"/>
  <c r="N53" i="4" s="1"/>
  <c r="N56" i="4" s="1"/>
  <c r="N60" i="4" s="1"/>
  <c r="N62" i="3" s="1"/>
  <c r="N50" i="2"/>
  <c r="O64" i="1"/>
  <c r="O67" i="1" s="1"/>
  <c r="O64" i="4" s="1"/>
  <c r="O40" i="2"/>
  <c r="O42" i="2" s="1"/>
  <c r="O51" i="3" s="1"/>
  <c r="T8" i="1"/>
  <c r="S9" i="1"/>
  <c r="S13" i="1"/>
  <c r="U63" i="1"/>
  <c r="U38" i="2" s="1"/>
  <c r="U39" i="2" s="1"/>
  <c r="R28" i="1"/>
  <c r="R29" i="1" s="1"/>
  <c r="P86" i="1"/>
  <c r="P87" i="1" s="1"/>
  <c r="R58" i="1"/>
  <c r="Q59" i="1"/>
  <c r="Q60" i="1" s="1"/>
  <c r="R88" i="1"/>
  <c r="Q89" i="1"/>
  <c r="O123" i="1"/>
  <c r="O124" i="1" s="1"/>
  <c r="O118" i="1"/>
  <c r="O119" i="1" s="1"/>
  <c r="R53" i="1"/>
  <c r="Q54" i="1"/>
  <c r="Q55" i="1" s="1"/>
  <c r="P121" i="1"/>
  <c r="Q120" i="1"/>
  <c r="P91" i="1"/>
  <c r="P92" i="1" s="1"/>
  <c r="R113" i="1"/>
  <c r="R115" i="1" s="1"/>
  <c r="S109" i="1"/>
  <c r="S112" i="1" s="1"/>
  <c r="T105" i="1"/>
  <c r="S81" i="1"/>
  <c r="S83" i="1" s="1"/>
  <c r="T77" i="1"/>
  <c r="T80" i="1" s="1"/>
  <c r="U73" i="1"/>
  <c r="S7" i="1"/>
  <c r="T6" i="1"/>
  <c r="T5" i="1"/>
  <c r="R49" i="1"/>
  <c r="R51" i="1" s="1"/>
  <c r="T39" i="1"/>
  <c r="T41" i="1" s="1"/>
  <c r="S45" i="1"/>
  <c r="S48" i="1" s="1"/>
  <c r="S27" i="1"/>
  <c r="T26" i="1"/>
  <c r="X21" i="1"/>
  <c r="W22" i="1"/>
  <c r="W23" i="1" s="1"/>
  <c r="K85" i="4" l="1"/>
  <c r="K12" i="5"/>
  <c r="L46" i="5"/>
  <c r="L57" i="3"/>
  <c r="Q32" i="1"/>
  <c r="Q35" i="1" s="1"/>
  <c r="P93" i="1"/>
  <c r="P94" i="1" s="1"/>
  <c r="O125" i="1"/>
  <c r="O126" i="1" s="1"/>
  <c r="Q30" i="2"/>
  <c r="Q32" i="2" s="1"/>
  <c r="Q52" i="3" s="1"/>
  <c r="Q61" i="1"/>
  <c r="Q62" i="1" s="1"/>
  <c r="J189" i="12"/>
  <c r="L15" i="5" s="1"/>
  <c r="J235" i="12"/>
  <c r="L94" i="4" s="1"/>
  <c r="AN10" i="3"/>
  <c r="AN12" i="3"/>
  <c r="AM23" i="3"/>
  <c r="AM25" i="3" s="1"/>
  <c r="P50" i="3"/>
  <c r="P23" i="2"/>
  <c r="R54" i="3"/>
  <c r="BK7" i="3"/>
  <c r="BL6" i="3"/>
  <c r="BL5" i="3"/>
  <c r="R54" i="4"/>
  <c r="R30" i="1"/>
  <c r="R30" i="2" s="1"/>
  <c r="R32" i="2" s="1"/>
  <c r="R52" i="3" s="1"/>
  <c r="L55" i="2"/>
  <c r="L92" i="4" s="1"/>
  <c r="L85" i="4" s="1"/>
  <c r="S100" i="2"/>
  <c r="S14" i="5"/>
  <c r="U31" i="1"/>
  <c r="T19" i="2"/>
  <c r="T20" i="2" s="1"/>
  <c r="T46" i="2" s="1"/>
  <c r="T48" i="2" s="1"/>
  <c r="T79" i="2" s="1"/>
  <c r="T80" i="2" s="1"/>
  <c r="T81" i="2" s="1"/>
  <c r="T83" i="2" s="1"/>
  <c r="T98" i="2" s="1"/>
  <c r="K13" i="5"/>
  <c r="L59" i="2"/>
  <c r="L61" i="2" s="1"/>
  <c r="L77" i="4" s="1"/>
  <c r="L79" i="4" s="1"/>
  <c r="L61" i="3" s="1"/>
  <c r="M57" i="2"/>
  <c r="M59" i="2" s="1"/>
  <c r="M54" i="2"/>
  <c r="K147" i="12" s="1"/>
  <c r="BK18" i="3"/>
  <c r="BK21" i="3" s="1"/>
  <c r="N128" i="1"/>
  <c r="N131" i="1" s="1"/>
  <c r="N51" i="2"/>
  <c r="N52" i="2" s="1"/>
  <c r="P64" i="1"/>
  <c r="P67" i="1" s="1"/>
  <c r="P64" i="4" s="1"/>
  <c r="P40" i="2"/>
  <c r="P42" i="2" s="1"/>
  <c r="P51" i="3" s="1"/>
  <c r="O96" i="1"/>
  <c r="O99" i="1" s="1"/>
  <c r="O53" i="4" s="1"/>
  <c r="O56" i="4" s="1"/>
  <c r="O60" i="4" s="1"/>
  <c r="O62" i="3" s="1"/>
  <c r="O50" i="2"/>
  <c r="S16" i="1"/>
  <c r="S17" i="1" s="1"/>
  <c r="S19" i="1" s="1"/>
  <c r="T9" i="1"/>
  <c r="U8" i="1"/>
  <c r="T13" i="1"/>
  <c r="V63" i="1"/>
  <c r="V38" i="2" s="1"/>
  <c r="V39" i="2" s="1"/>
  <c r="R120" i="1"/>
  <c r="Q121" i="1"/>
  <c r="P118" i="1"/>
  <c r="P119" i="1" s="1"/>
  <c r="S53" i="1"/>
  <c r="R54" i="1"/>
  <c r="R55" i="1" s="1"/>
  <c r="Q91" i="1"/>
  <c r="Q92" i="1" s="1"/>
  <c r="Q86" i="1"/>
  <c r="Q87" i="1" s="1"/>
  <c r="P123" i="1"/>
  <c r="P124" i="1" s="1"/>
  <c r="S58" i="1"/>
  <c r="R59" i="1"/>
  <c r="R60" i="1" s="1"/>
  <c r="R89" i="1"/>
  <c r="S88" i="1"/>
  <c r="S113" i="1"/>
  <c r="S115" i="1" s="1"/>
  <c r="T109" i="1"/>
  <c r="T112" i="1" s="1"/>
  <c r="U105" i="1"/>
  <c r="T81" i="1"/>
  <c r="T83" i="1" s="1"/>
  <c r="U77" i="1"/>
  <c r="U80" i="1" s="1"/>
  <c r="V73" i="1"/>
  <c r="U6" i="1"/>
  <c r="T7" i="1"/>
  <c r="U5" i="1"/>
  <c r="T45" i="1"/>
  <c r="T48" i="1" s="1"/>
  <c r="U39" i="1"/>
  <c r="U41" i="1" s="1"/>
  <c r="S49" i="1"/>
  <c r="S51" i="1" s="1"/>
  <c r="S28" i="1"/>
  <c r="S29" i="1" s="1"/>
  <c r="X22" i="1"/>
  <c r="X23" i="1" s="1"/>
  <c r="Y21" i="1"/>
  <c r="T27" i="1"/>
  <c r="U26" i="1"/>
  <c r="L12" i="5" l="1"/>
  <c r="Q93" i="1"/>
  <c r="Q94" i="1" s="1"/>
  <c r="R61" i="1"/>
  <c r="R62" i="1" s="1"/>
  <c r="BL8" i="3"/>
  <c r="C50" i="12"/>
  <c r="C48" i="12" s="1"/>
  <c r="C49" i="12" s="1"/>
  <c r="C59" i="12" s="1"/>
  <c r="P125" i="1"/>
  <c r="P126" i="1" s="1"/>
  <c r="K189" i="12"/>
  <c r="M15" i="5" s="1"/>
  <c r="K235" i="12"/>
  <c r="M94" i="4" s="1"/>
  <c r="AN13" i="3"/>
  <c r="S30" i="1"/>
  <c r="S32" i="1" s="1"/>
  <c r="S35" i="1" s="1"/>
  <c r="S54" i="3"/>
  <c r="R21" i="2"/>
  <c r="R22" i="2" s="1"/>
  <c r="R50" i="3" s="1"/>
  <c r="R32" i="1"/>
  <c r="R35" i="1" s="1"/>
  <c r="BL7" i="3"/>
  <c r="BM6" i="3"/>
  <c r="BM8" i="3" s="1"/>
  <c r="BM5" i="3"/>
  <c r="S54" i="4"/>
  <c r="M55" i="2"/>
  <c r="M92" i="4" s="1"/>
  <c r="T16" i="1"/>
  <c r="T17" i="1" s="1"/>
  <c r="T19" i="1" s="1"/>
  <c r="T100" i="2"/>
  <c r="T14" i="5"/>
  <c r="V31" i="1"/>
  <c r="U19" i="2"/>
  <c r="U20" i="2" s="1"/>
  <c r="U46" i="2" s="1"/>
  <c r="U48" i="2" s="1"/>
  <c r="U79" i="2" s="1"/>
  <c r="U80" i="2" s="1"/>
  <c r="U81" i="2" s="1"/>
  <c r="U83" i="2" s="1"/>
  <c r="U98" i="2" s="1"/>
  <c r="L13" i="5"/>
  <c r="M53" i="3"/>
  <c r="M56" i="3" s="1"/>
  <c r="M61" i="2"/>
  <c r="M77" i="4" s="1"/>
  <c r="M79" i="4" s="1"/>
  <c r="M61" i="3" s="1"/>
  <c r="M13" i="5"/>
  <c r="N57" i="2"/>
  <c r="N53" i="3" s="1"/>
  <c r="N56" i="3" s="1"/>
  <c r="N54" i="2"/>
  <c r="L147" i="12" s="1"/>
  <c r="BL18" i="3"/>
  <c r="BL21" i="3" s="1"/>
  <c r="BM20" i="3" s="1"/>
  <c r="O128" i="1"/>
  <c r="O131" i="1" s="1"/>
  <c r="O51" i="2"/>
  <c r="O52" i="2" s="1"/>
  <c r="P96" i="1"/>
  <c r="P99" i="1" s="1"/>
  <c r="P53" i="4" s="1"/>
  <c r="P56" i="4" s="1"/>
  <c r="P60" i="4" s="1"/>
  <c r="P62" i="3" s="1"/>
  <c r="P50" i="2"/>
  <c r="Q64" i="1"/>
  <c r="Q67" i="1" s="1"/>
  <c r="Q64" i="4" s="1"/>
  <c r="Q40" i="2"/>
  <c r="Q42" i="2" s="1"/>
  <c r="Q51" i="3" s="1"/>
  <c r="U9" i="1"/>
  <c r="U13" i="1"/>
  <c r="V8" i="1"/>
  <c r="W63" i="1"/>
  <c r="W38" i="2" s="1"/>
  <c r="W39" i="2" s="1"/>
  <c r="Q123" i="1"/>
  <c r="Q124" i="1" s="1"/>
  <c r="R86" i="1"/>
  <c r="R87" i="1" s="1"/>
  <c r="Q118" i="1"/>
  <c r="Q119" i="1" s="1"/>
  <c r="T58" i="1"/>
  <c r="S59" i="1"/>
  <c r="S60" i="1" s="1"/>
  <c r="T53" i="1"/>
  <c r="S54" i="1"/>
  <c r="S55" i="1" s="1"/>
  <c r="R121" i="1"/>
  <c r="S120" i="1"/>
  <c r="S89" i="1"/>
  <c r="T88" i="1"/>
  <c r="R91" i="1"/>
  <c r="R92" i="1" s="1"/>
  <c r="T113" i="1"/>
  <c r="T115" i="1" s="1"/>
  <c r="U109" i="1"/>
  <c r="U112" i="1" s="1"/>
  <c r="V105" i="1"/>
  <c r="U81" i="1"/>
  <c r="U83" i="1" s="1"/>
  <c r="V77" i="1"/>
  <c r="V80" i="1" s="1"/>
  <c r="W73" i="1"/>
  <c r="U7" i="1"/>
  <c r="V6" i="1"/>
  <c r="V5" i="1"/>
  <c r="U45" i="1"/>
  <c r="U48" i="1" s="1"/>
  <c r="V39" i="1"/>
  <c r="V41" i="1" s="1"/>
  <c r="T49" i="1"/>
  <c r="T51" i="1" s="1"/>
  <c r="T28" i="1"/>
  <c r="T29" i="1" s="1"/>
  <c r="Z21" i="1"/>
  <c r="Y22" i="1"/>
  <c r="Y23" i="1" s="1"/>
  <c r="U27" i="1"/>
  <c r="V26" i="1"/>
  <c r="M85" i="4" l="1"/>
  <c r="M12" i="5"/>
  <c r="N46" i="5"/>
  <c r="N57" i="3"/>
  <c r="R93" i="1"/>
  <c r="R94" i="1" s="1"/>
  <c r="M46" i="5"/>
  <c r="M57" i="3"/>
  <c r="S21" i="2"/>
  <c r="S22" i="2" s="1"/>
  <c r="S50" i="3" s="1"/>
  <c r="S30" i="2"/>
  <c r="S32" i="2" s="1"/>
  <c r="S52" i="3" s="1"/>
  <c r="Q125" i="1"/>
  <c r="Q126" i="1" s="1"/>
  <c r="S61" i="1"/>
  <c r="S62" i="1" s="1"/>
  <c r="L189" i="12"/>
  <c r="N15" i="5" s="1"/>
  <c r="L235" i="12"/>
  <c r="N94" i="4" s="1"/>
  <c r="AO10" i="3"/>
  <c r="AO12" i="3"/>
  <c r="AN23" i="3"/>
  <c r="T54" i="3"/>
  <c r="BN5" i="3"/>
  <c r="BN6" i="3"/>
  <c r="BN8" i="3" s="1"/>
  <c r="BM7" i="3"/>
  <c r="T54" i="4"/>
  <c r="T30" i="1"/>
  <c r="T21" i="2" s="1"/>
  <c r="T22" i="2" s="1"/>
  <c r="T50" i="3" s="1"/>
  <c r="N55" i="2"/>
  <c r="N92" i="4" s="1"/>
  <c r="N85" i="4" s="1"/>
  <c r="U100" i="2"/>
  <c r="U14" i="5"/>
  <c r="W31" i="1"/>
  <c r="V19" i="2"/>
  <c r="V20" i="2" s="1"/>
  <c r="V46" i="2" s="1"/>
  <c r="V48" i="2" s="1"/>
  <c r="V79" i="2" s="1"/>
  <c r="V80" i="2" s="1"/>
  <c r="V81" i="2" s="1"/>
  <c r="V83" i="2" s="1"/>
  <c r="V98" i="2" s="1"/>
  <c r="N59" i="2"/>
  <c r="N13" i="5" s="1"/>
  <c r="O57" i="2"/>
  <c r="O53" i="3" s="1"/>
  <c r="O56" i="3" s="1"/>
  <c r="O54" i="2"/>
  <c r="M147" i="12" s="1"/>
  <c r="BM18" i="3"/>
  <c r="BM21" i="3" s="1"/>
  <c r="P128" i="1"/>
  <c r="P131" i="1" s="1"/>
  <c r="P51" i="2"/>
  <c r="P52" i="2" s="1"/>
  <c r="R64" i="1"/>
  <c r="R67" i="1" s="1"/>
  <c r="R64" i="4" s="1"/>
  <c r="R40" i="2"/>
  <c r="R42" i="2" s="1"/>
  <c r="R51" i="3" s="1"/>
  <c r="Q96" i="1"/>
  <c r="Q99" i="1" s="1"/>
  <c r="Q53" i="4" s="1"/>
  <c r="Q56" i="4" s="1"/>
  <c r="Q60" i="4" s="1"/>
  <c r="Q62" i="3" s="1"/>
  <c r="Q50" i="2"/>
  <c r="U16" i="1"/>
  <c r="U17" i="1" s="1"/>
  <c r="U19" i="1" s="1"/>
  <c r="V9" i="1"/>
  <c r="V13" i="1"/>
  <c r="W8" i="1"/>
  <c r="X63" i="1"/>
  <c r="X38" i="2" s="1"/>
  <c r="X39" i="2" s="1"/>
  <c r="T54" i="1"/>
  <c r="T55" i="1" s="1"/>
  <c r="U53" i="1"/>
  <c r="S121" i="1"/>
  <c r="T120" i="1"/>
  <c r="S86" i="1"/>
  <c r="S87" i="1" s="1"/>
  <c r="T59" i="1"/>
  <c r="T60" i="1" s="1"/>
  <c r="U58" i="1"/>
  <c r="S91" i="1"/>
  <c r="S92" i="1" s="1"/>
  <c r="U28" i="1"/>
  <c r="U29" i="1" s="1"/>
  <c r="T89" i="1"/>
  <c r="U88" i="1"/>
  <c r="R118" i="1"/>
  <c r="R119" i="1" s="1"/>
  <c r="R123" i="1"/>
  <c r="R124" i="1" s="1"/>
  <c r="U113" i="1"/>
  <c r="U115" i="1" s="1"/>
  <c r="V109" i="1"/>
  <c r="V112" i="1" s="1"/>
  <c r="W105" i="1"/>
  <c r="V81" i="1"/>
  <c r="V83" i="1" s="1"/>
  <c r="W77" i="1"/>
  <c r="W80" i="1" s="1"/>
  <c r="X73" i="1"/>
  <c r="V7" i="1"/>
  <c r="W5" i="1"/>
  <c r="W6" i="1"/>
  <c r="V45" i="1"/>
  <c r="V48" i="1" s="1"/>
  <c r="W39" i="1"/>
  <c r="W41" i="1" s="1"/>
  <c r="U49" i="1"/>
  <c r="U51" i="1" s="1"/>
  <c r="V27" i="1"/>
  <c r="W26" i="1"/>
  <c r="Z22" i="1"/>
  <c r="Z23" i="1" s="1"/>
  <c r="AA21" i="1"/>
  <c r="O46" i="5" l="1"/>
  <c r="O57" i="3"/>
  <c r="R125" i="1"/>
  <c r="R126" i="1" s="1"/>
  <c r="N12" i="5"/>
  <c r="S93" i="1"/>
  <c r="S94" i="1" s="1"/>
  <c r="T61" i="1"/>
  <c r="T62" i="1" s="1"/>
  <c r="M235" i="12"/>
  <c r="O94" i="4" s="1"/>
  <c r="M189" i="12"/>
  <c r="O15" i="5" s="1"/>
  <c r="AN25" i="3"/>
  <c r="AO13" i="3"/>
  <c r="U30" i="1"/>
  <c r="U32" i="1" s="1"/>
  <c r="U35" i="1" s="1"/>
  <c r="T32" i="1"/>
  <c r="T35" i="1" s="1"/>
  <c r="U54" i="3"/>
  <c r="T30" i="2"/>
  <c r="T32" i="2" s="1"/>
  <c r="T52" i="3" s="1"/>
  <c r="BO5" i="3"/>
  <c r="BO6" i="3"/>
  <c r="BO8" i="3" s="1"/>
  <c r="BN7" i="3"/>
  <c r="U54" i="4"/>
  <c r="O55" i="2"/>
  <c r="O92" i="4" s="1"/>
  <c r="V100" i="2"/>
  <c r="V14" i="5"/>
  <c r="X31" i="1"/>
  <c r="W19" i="2"/>
  <c r="W20" i="2" s="1"/>
  <c r="W46" i="2" s="1"/>
  <c r="W48" i="2" s="1"/>
  <c r="W79" i="2" s="1"/>
  <c r="W80" i="2" s="1"/>
  <c r="W81" i="2" s="1"/>
  <c r="W83" i="2" s="1"/>
  <c r="W98" i="2" s="1"/>
  <c r="O59" i="2"/>
  <c r="O13" i="5" s="1"/>
  <c r="N61" i="2"/>
  <c r="N77" i="4" s="1"/>
  <c r="N79" i="4" s="1"/>
  <c r="N61" i="3" s="1"/>
  <c r="P57" i="2"/>
  <c r="P53" i="3" s="1"/>
  <c r="P56" i="3" s="1"/>
  <c r="P54" i="2"/>
  <c r="N147" i="12" s="1"/>
  <c r="BN18" i="3"/>
  <c r="BN21" i="3" s="1"/>
  <c r="BO20" i="3" s="1"/>
  <c r="S64" i="1"/>
  <c r="S67" i="1" s="1"/>
  <c r="S64" i="4" s="1"/>
  <c r="S40" i="2"/>
  <c r="S42" i="2" s="1"/>
  <c r="S51" i="3" s="1"/>
  <c r="Q128" i="1"/>
  <c r="Q131" i="1" s="1"/>
  <c r="Q51" i="2"/>
  <c r="Q52" i="2" s="1"/>
  <c r="R96" i="1"/>
  <c r="R99" i="1" s="1"/>
  <c r="R53" i="4" s="1"/>
  <c r="R56" i="4" s="1"/>
  <c r="R60" i="4" s="1"/>
  <c r="R62" i="3" s="1"/>
  <c r="R50" i="2"/>
  <c r="V16" i="1"/>
  <c r="V17" i="1" s="1"/>
  <c r="V19" i="1" s="1"/>
  <c r="W9" i="1"/>
  <c r="W13" i="1"/>
  <c r="X8" i="1"/>
  <c r="Y63" i="1"/>
  <c r="Y38" i="2" s="1"/>
  <c r="Y39" i="2" s="1"/>
  <c r="S123" i="1"/>
  <c r="S124" i="1" s="1"/>
  <c r="T121" i="1"/>
  <c r="U120" i="1"/>
  <c r="T91" i="1"/>
  <c r="T92" i="1" s="1"/>
  <c r="V88" i="1"/>
  <c r="U89" i="1"/>
  <c r="T86" i="1"/>
  <c r="T87" i="1" s="1"/>
  <c r="V53" i="1"/>
  <c r="U54" i="1"/>
  <c r="U55" i="1" s="1"/>
  <c r="S118" i="1"/>
  <c r="S119" i="1" s="1"/>
  <c r="U59" i="1"/>
  <c r="U60" i="1" s="1"/>
  <c r="V58" i="1"/>
  <c r="V113" i="1"/>
  <c r="V115" i="1" s="1"/>
  <c r="X105" i="1"/>
  <c r="W109" i="1"/>
  <c r="W112" i="1" s="1"/>
  <c r="W81" i="1"/>
  <c r="W83" i="1" s="1"/>
  <c r="X77" i="1"/>
  <c r="X80" i="1" s="1"/>
  <c r="Y73" i="1"/>
  <c r="W7" i="1"/>
  <c r="X5" i="1"/>
  <c r="X6" i="1"/>
  <c r="W45" i="1"/>
  <c r="W48" i="1" s="1"/>
  <c r="X39" i="1"/>
  <c r="X41" i="1" s="1"/>
  <c r="V49" i="1"/>
  <c r="V51" i="1" s="1"/>
  <c r="V28" i="1"/>
  <c r="V29" i="1" s="1"/>
  <c r="AA22" i="1"/>
  <c r="AA23" i="1" s="1"/>
  <c r="AB21" i="1"/>
  <c r="W27" i="1"/>
  <c r="X26" i="1"/>
  <c r="O85" i="4" l="1"/>
  <c r="U61" i="1"/>
  <c r="P46" i="5"/>
  <c r="P57" i="3"/>
  <c r="O12" i="5"/>
  <c r="T93" i="1"/>
  <c r="T94" i="1" s="1"/>
  <c r="U21" i="2"/>
  <c r="U22" i="2" s="1"/>
  <c r="U50" i="3" s="1"/>
  <c r="U30" i="2"/>
  <c r="U32" i="2" s="1"/>
  <c r="U52" i="3" s="1"/>
  <c r="S125" i="1"/>
  <c r="S126" i="1" s="1"/>
  <c r="N235" i="12"/>
  <c r="P94" i="4" s="1"/>
  <c r="N189" i="12"/>
  <c r="P15" i="5" s="1"/>
  <c r="AP10" i="3"/>
  <c r="AP12" i="3"/>
  <c r="AO23" i="3"/>
  <c r="AO25" i="3" s="1"/>
  <c r="V30" i="1"/>
  <c r="V32" i="1" s="1"/>
  <c r="V35" i="1" s="1"/>
  <c r="U62" i="1"/>
  <c r="V54" i="3"/>
  <c r="BP6" i="3"/>
  <c r="BP8" i="3" s="1"/>
  <c r="BO7" i="3"/>
  <c r="BP5" i="3"/>
  <c r="V54" i="4"/>
  <c r="P55" i="2"/>
  <c r="P92" i="4" s="1"/>
  <c r="P85" i="4" s="1"/>
  <c r="W16" i="1"/>
  <c r="W17" i="1" s="1"/>
  <c r="W19" i="1" s="1"/>
  <c r="W100" i="2"/>
  <c r="W14" i="5"/>
  <c r="Y31" i="1"/>
  <c r="X19" i="2"/>
  <c r="X20" i="2" s="1"/>
  <c r="X46" i="2" s="1"/>
  <c r="X48" i="2" s="1"/>
  <c r="X79" i="2" s="1"/>
  <c r="X80" i="2" s="1"/>
  <c r="X81" i="2" s="1"/>
  <c r="X83" i="2" s="1"/>
  <c r="X98" i="2" s="1"/>
  <c r="O61" i="2"/>
  <c r="O77" i="4" s="1"/>
  <c r="O79" i="4" s="1"/>
  <c r="O61" i="3" s="1"/>
  <c r="P59" i="2"/>
  <c r="P13" i="5" s="1"/>
  <c r="Q57" i="2"/>
  <c r="Q59" i="2" s="1"/>
  <c r="Q13" i="5" s="1"/>
  <c r="Q54" i="2"/>
  <c r="O147" i="12" s="1"/>
  <c r="BO18" i="3"/>
  <c r="BO21" i="3" s="1"/>
  <c r="BP20" i="3" s="1"/>
  <c r="R128" i="1"/>
  <c r="R131" i="1" s="1"/>
  <c r="R51" i="2"/>
  <c r="R52" i="2" s="1"/>
  <c r="T64" i="1"/>
  <c r="T67" i="1" s="1"/>
  <c r="T64" i="4" s="1"/>
  <c r="T40" i="2"/>
  <c r="T42" i="2" s="1"/>
  <c r="T51" i="3" s="1"/>
  <c r="S96" i="1"/>
  <c r="S99" i="1" s="1"/>
  <c r="S53" i="4" s="1"/>
  <c r="S56" i="4" s="1"/>
  <c r="S60" i="4" s="1"/>
  <c r="S62" i="3" s="1"/>
  <c r="S50" i="2"/>
  <c r="X9" i="1"/>
  <c r="Y8" i="1"/>
  <c r="X13" i="1"/>
  <c r="Z63" i="1"/>
  <c r="Z38" i="2" s="1"/>
  <c r="Z39" i="2" s="1"/>
  <c r="W28" i="1"/>
  <c r="W29" i="1" s="1"/>
  <c r="W53" i="1"/>
  <c r="V54" i="1"/>
  <c r="V55" i="1" s="1"/>
  <c r="U121" i="1"/>
  <c r="V120" i="1"/>
  <c r="W58" i="1"/>
  <c r="V59" i="1"/>
  <c r="V60" i="1" s="1"/>
  <c r="U86" i="1"/>
  <c r="U87" i="1" s="1"/>
  <c r="T123" i="1"/>
  <c r="T124" i="1" s="1"/>
  <c r="V89" i="1"/>
  <c r="W88" i="1"/>
  <c r="U91" i="1"/>
  <c r="U92" i="1" s="1"/>
  <c r="T118" i="1"/>
  <c r="T119" i="1" s="1"/>
  <c r="W113" i="1"/>
  <c r="W115" i="1" s="1"/>
  <c r="X109" i="1"/>
  <c r="X112" i="1" s="1"/>
  <c r="Y105" i="1"/>
  <c r="Y77" i="1"/>
  <c r="Y80" i="1" s="1"/>
  <c r="Z73" i="1"/>
  <c r="X81" i="1"/>
  <c r="X83" i="1" s="1"/>
  <c r="X7" i="1"/>
  <c r="Y5" i="1"/>
  <c r="Y6" i="1"/>
  <c r="X45" i="1"/>
  <c r="Y39" i="1"/>
  <c r="Y41" i="1" s="1"/>
  <c r="W49" i="1"/>
  <c r="W51" i="1" s="1"/>
  <c r="X27" i="1"/>
  <c r="Y26" i="1"/>
  <c r="AB22" i="1"/>
  <c r="AB23" i="1" s="1"/>
  <c r="P12" i="5" l="1"/>
  <c r="T125" i="1"/>
  <c r="T126" i="1" s="1"/>
  <c r="V30" i="2"/>
  <c r="V32" i="2" s="1"/>
  <c r="V52" i="3" s="1"/>
  <c r="V21" i="2"/>
  <c r="V22" i="2" s="1"/>
  <c r="V50" i="3" s="1"/>
  <c r="U93" i="1"/>
  <c r="U94" i="1" s="1"/>
  <c r="V61" i="1"/>
  <c r="V62" i="1" s="1"/>
  <c r="O189" i="12"/>
  <c r="Q15" i="5" s="1"/>
  <c r="O235" i="12"/>
  <c r="Q94" i="4" s="1"/>
  <c r="AP13" i="3"/>
  <c r="W54" i="3"/>
  <c r="BP7" i="3"/>
  <c r="BQ5" i="3"/>
  <c r="BQ6" i="3"/>
  <c r="BQ8" i="3" s="1"/>
  <c r="W54" i="4"/>
  <c r="W30" i="1"/>
  <c r="W32" i="1" s="1"/>
  <c r="W35" i="1" s="1"/>
  <c r="Q55" i="2"/>
  <c r="Q92" i="4" s="1"/>
  <c r="X16" i="1"/>
  <c r="X17" i="1" s="1"/>
  <c r="X19" i="1" s="1"/>
  <c r="X14" i="5"/>
  <c r="X100" i="2"/>
  <c r="Z31" i="1"/>
  <c r="Y19" i="2"/>
  <c r="Y20" i="2" s="1"/>
  <c r="Y46" i="2" s="1"/>
  <c r="Y48" i="2" s="1"/>
  <c r="Y79" i="2" s="1"/>
  <c r="Y80" i="2" s="1"/>
  <c r="Y81" i="2" s="1"/>
  <c r="Y83" i="2" s="1"/>
  <c r="Y98" i="2" s="1"/>
  <c r="P61" i="2"/>
  <c r="P77" i="4" s="1"/>
  <c r="P79" i="4" s="1"/>
  <c r="P61" i="3" s="1"/>
  <c r="Q53" i="3"/>
  <c r="Q56" i="3" s="1"/>
  <c r="R57" i="2"/>
  <c r="R59" i="2" s="1"/>
  <c r="R54" i="2"/>
  <c r="P147" i="12" s="1"/>
  <c r="Q61" i="2"/>
  <c r="Q77" i="4" s="1"/>
  <c r="Q79" i="4" s="1"/>
  <c r="Q61" i="3" s="1"/>
  <c r="BP18" i="3"/>
  <c r="BP21" i="3" s="1"/>
  <c r="BQ20" i="3" s="1"/>
  <c r="S128" i="1"/>
  <c r="S131" i="1" s="1"/>
  <c r="S51" i="2"/>
  <c r="S52" i="2" s="1"/>
  <c r="T96" i="1"/>
  <c r="T99" i="1" s="1"/>
  <c r="T53" i="4" s="1"/>
  <c r="T56" i="4" s="1"/>
  <c r="T60" i="4" s="1"/>
  <c r="T62" i="3" s="1"/>
  <c r="T50" i="2"/>
  <c r="U64" i="1"/>
  <c r="U67" i="1" s="1"/>
  <c r="U64" i="4" s="1"/>
  <c r="U40" i="2"/>
  <c r="U42" i="2" s="1"/>
  <c r="U51" i="3" s="1"/>
  <c r="Y9" i="1"/>
  <c r="Y13" i="1"/>
  <c r="Z8" i="1"/>
  <c r="AA63" i="1"/>
  <c r="AA38" i="2" s="1"/>
  <c r="AA39" i="2" s="1"/>
  <c r="V91" i="1"/>
  <c r="V92" i="1" s="1"/>
  <c r="X88" i="1"/>
  <c r="W89" i="1"/>
  <c r="U123" i="1"/>
  <c r="U124" i="1" s="1"/>
  <c r="X58" i="1"/>
  <c r="W59" i="1"/>
  <c r="W60" i="1" s="1"/>
  <c r="W61" i="1" s="1"/>
  <c r="U118" i="1"/>
  <c r="U119" i="1" s="1"/>
  <c r="V86" i="1"/>
  <c r="V87" i="1" s="1"/>
  <c r="W120" i="1"/>
  <c r="V121" i="1"/>
  <c r="W54" i="1"/>
  <c r="W55" i="1" s="1"/>
  <c r="X53" i="1"/>
  <c r="X113" i="1"/>
  <c r="X115" i="1" s="1"/>
  <c r="Y109" i="1"/>
  <c r="Y112" i="1" s="1"/>
  <c r="Z105" i="1"/>
  <c r="Y81" i="1"/>
  <c r="Y83" i="1" s="1"/>
  <c r="Z77" i="1"/>
  <c r="Z80" i="1" s="1"/>
  <c r="AA73" i="1"/>
  <c r="Y7" i="1"/>
  <c r="Z6" i="1"/>
  <c r="Z5" i="1"/>
  <c r="X48" i="1"/>
  <c r="X49" i="1" s="1"/>
  <c r="X51" i="1" s="1"/>
  <c r="Y45" i="1"/>
  <c r="Y48" i="1" s="1"/>
  <c r="Z39" i="1"/>
  <c r="Z41" i="1" s="1"/>
  <c r="X28" i="1"/>
  <c r="X29" i="1" s="1"/>
  <c r="Y27" i="1"/>
  <c r="Z26" i="1"/>
  <c r="Q85" i="4" l="1"/>
  <c r="Q12" i="5"/>
  <c r="Q46" i="5"/>
  <c r="Q57" i="3"/>
  <c r="U125" i="1"/>
  <c r="U126" i="1" s="1"/>
  <c r="V93" i="1"/>
  <c r="V94" i="1" s="1"/>
  <c r="P235" i="12"/>
  <c r="R94" i="4" s="1"/>
  <c r="P189" i="12"/>
  <c r="R15" i="5" s="1"/>
  <c r="AQ10" i="3"/>
  <c r="AQ12" i="3"/>
  <c r="AP23" i="3"/>
  <c r="AP25" i="3" s="1"/>
  <c r="V64" i="1"/>
  <c r="V67" i="1" s="1"/>
  <c r="V64" i="4" s="1"/>
  <c r="V40" i="2"/>
  <c r="V42" i="2" s="1"/>
  <c r="V51" i="3" s="1"/>
  <c r="W62" i="1"/>
  <c r="W21" i="2"/>
  <c r="W22" i="2" s="1"/>
  <c r="W50" i="3" s="1"/>
  <c r="X54" i="3"/>
  <c r="BR5" i="3"/>
  <c r="BR6" i="3"/>
  <c r="BR8" i="3" s="1"/>
  <c r="BQ7" i="3"/>
  <c r="X54" i="4"/>
  <c r="W30" i="2"/>
  <c r="W32" i="2" s="1"/>
  <c r="W52" i="3" s="1"/>
  <c r="X30" i="1"/>
  <c r="X21" i="2" s="1"/>
  <c r="X22" i="2" s="1"/>
  <c r="X50" i="3" s="1"/>
  <c r="R55" i="2"/>
  <c r="R92" i="4" s="1"/>
  <c r="R85" i="4" s="1"/>
  <c r="Y16" i="1"/>
  <c r="Y17" i="1" s="1"/>
  <c r="Y19" i="1" s="1"/>
  <c r="Y100" i="2"/>
  <c r="Y14" i="5"/>
  <c r="AA31" i="1"/>
  <c r="Z19" i="2"/>
  <c r="Z20" i="2" s="1"/>
  <c r="Z46" i="2" s="1"/>
  <c r="Z48" i="2" s="1"/>
  <c r="Z79" i="2" s="1"/>
  <c r="Z80" i="2" s="1"/>
  <c r="Z81" i="2" s="1"/>
  <c r="Z83" i="2" s="1"/>
  <c r="Z98" i="2" s="1"/>
  <c r="R53" i="3"/>
  <c r="R56" i="3" s="1"/>
  <c r="R13" i="5"/>
  <c r="R61" i="2"/>
  <c r="R77" i="4" s="1"/>
  <c r="R79" i="4" s="1"/>
  <c r="R61" i="3" s="1"/>
  <c r="S57" i="2"/>
  <c r="S53" i="3" s="1"/>
  <c r="S56" i="3" s="1"/>
  <c r="S54" i="2"/>
  <c r="Q147" i="12" s="1"/>
  <c r="BQ18" i="3"/>
  <c r="BQ21" i="3" s="1"/>
  <c r="BR20" i="3" s="1"/>
  <c r="U96" i="1"/>
  <c r="U99" i="1" s="1"/>
  <c r="U53" i="4" s="1"/>
  <c r="U56" i="4" s="1"/>
  <c r="U60" i="4" s="1"/>
  <c r="U62" i="3" s="1"/>
  <c r="U50" i="2"/>
  <c r="T128" i="1"/>
  <c r="T131" i="1" s="1"/>
  <c r="T51" i="2"/>
  <c r="T52" i="2" s="1"/>
  <c r="Z9" i="1"/>
  <c r="Z13" i="1"/>
  <c r="AA8" i="1"/>
  <c r="AB63" i="1"/>
  <c r="AB38" i="2" s="1"/>
  <c r="AB39" i="2" s="1"/>
  <c r="W121" i="1"/>
  <c r="X120" i="1"/>
  <c r="X59" i="1"/>
  <c r="X60" i="1" s="1"/>
  <c r="Y58" i="1"/>
  <c r="X89" i="1"/>
  <c r="Y88" i="1"/>
  <c r="X54" i="1"/>
  <c r="X55" i="1" s="1"/>
  <c r="Y53" i="1"/>
  <c r="V118" i="1"/>
  <c r="V119" i="1" s="1"/>
  <c r="W86" i="1"/>
  <c r="W87" i="1" s="1"/>
  <c r="V123" i="1"/>
  <c r="V124" i="1" s="1"/>
  <c r="W91" i="1"/>
  <c r="W92" i="1" s="1"/>
  <c r="Y113" i="1"/>
  <c r="Y115" i="1" s="1"/>
  <c r="Z109" i="1"/>
  <c r="Z112" i="1" s="1"/>
  <c r="AA105" i="1"/>
  <c r="Z81" i="1"/>
  <c r="Z83" i="1" s="1"/>
  <c r="AA77" i="1"/>
  <c r="AA80" i="1" s="1"/>
  <c r="AB73" i="1"/>
  <c r="Z7" i="1"/>
  <c r="AA6" i="1"/>
  <c r="AA5" i="1"/>
  <c r="Y49" i="1"/>
  <c r="Y51" i="1" s="1"/>
  <c r="Z45" i="1"/>
  <c r="Z48" i="1" s="1"/>
  <c r="AA39" i="1"/>
  <c r="AA41" i="1" s="1"/>
  <c r="Y28" i="1"/>
  <c r="Y29" i="1" s="1"/>
  <c r="Z27" i="1"/>
  <c r="AA26" i="1"/>
  <c r="V125" i="1" l="1"/>
  <c r="V126" i="1" s="1"/>
  <c r="S46" i="5"/>
  <c r="S57" i="3"/>
  <c r="R12" i="5"/>
  <c r="R46" i="5"/>
  <c r="R57" i="3"/>
  <c r="X61" i="1"/>
  <c r="W93" i="1"/>
  <c r="W94" i="1" s="1"/>
  <c r="Q235" i="12"/>
  <c r="S94" i="4" s="1"/>
  <c r="Q189" i="12"/>
  <c r="S15" i="5" s="1"/>
  <c r="AQ13" i="3"/>
  <c r="Y30" i="1"/>
  <c r="Y32" i="1" s="1"/>
  <c r="Y35" i="1" s="1"/>
  <c r="X62" i="1"/>
  <c r="X32" i="1"/>
  <c r="X35" i="1" s="1"/>
  <c r="Y54" i="3"/>
  <c r="BS6" i="3"/>
  <c r="BS5" i="3"/>
  <c r="BR7" i="3"/>
  <c r="Y54" i="4"/>
  <c r="X30" i="2"/>
  <c r="X32" i="2" s="1"/>
  <c r="X52" i="3" s="1"/>
  <c r="S55" i="2"/>
  <c r="S92" i="4" s="1"/>
  <c r="S85" i="4" s="1"/>
  <c r="Z100" i="2"/>
  <c r="Z14" i="5"/>
  <c r="AB31" i="1"/>
  <c r="AB19" i="2" s="1"/>
  <c r="AB20" i="2" s="1"/>
  <c r="AB46" i="2" s="1"/>
  <c r="AB48" i="2" s="1"/>
  <c r="AB79" i="2" s="1"/>
  <c r="AB80" i="2" s="1"/>
  <c r="AB81" i="2" s="1"/>
  <c r="AB83" i="2" s="1"/>
  <c r="AB98" i="2" s="1"/>
  <c r="AA19" i="2"/>
  <c r="AA20" i="2" s="1"/>
  <c r="AA46" i="2" s="1"/>
  <c r="AA48" i="2" s="1"/>
  <c r="AA79" i="2" s="1"/>
  <c r="AA80" i="2" s="1"/>
  <c r="AA81" i="2" s="1"/>
  <c r="AA83" i="2" s="1"/>
  <c r="AA98" i="2" s="1"/>
  <c r="S59" i="2"/>
  <c r="S61" i="2" s="1"/>
  <c r="S77" i="4" s="1"/>
  <c r="S79" i="4" s="1"/>
  <c r="S61" i="3" s="1"/>
  <c r="T57" i="2"/>
  <c r="T53" i="3" s="1"/>
  <c r="T56" i="3" s="1"/>
  <c r="T54" i="2"/>
  <c r="R147" i="12" s="1"/>
  <c r="BR18" i="3"/>
  <c r="BR21" i="3" s="1"/>
  <c r="BS20" i="3" s="1"/>
  <c r="V96" i="1"/>
  <c r="V99" i="1" s="1"/>
  <c r="V53" i="4" s="1"/>
  <c r="V56" i="4" s="1"/>
  <c r="V60" i="4" s="1"/>
  <c r="V62" i="3" s="1"/>
  <c r="V50" i="2"/>
  <c r="W64" i="1"/>
  <c r="W67" i="1" s="1"/>
  <c r="W64" i="4" s="1"/>
  <c r="W40" i="2"/>
  <c r="W42" i="2" s="1"/>
  <c r="W51" i="3" s="1"/>
  <c r="U128" i="1"/>
  <c r="U131" i="1" s="1"/>
  <c r="U51" i="2"/>
  <c r="U52" i="2" s="1"/>
  <c r="Z16" i="1"/>
  <c r="Z17" i="1" s="1"/>
  <c r="Z19" i="1" s="1"/>
  <c r="AA9" i="1"/>
  <c r="AA13" i="1"/>
  <c r="AB8" i="1"/>
  <c r="Y54" i="1"/>
  <c r="Y55" i="1" s="1"/>
  <c r="Z53" i="1"/>
  <c r="Z58" i="1"/>
  <c r="Y59" i="1"/>
  <c r="Y60" i="1" s="1"/>
  <c r="X91" i="1"/>
  <c r="X92" i="1" s="1"/>
  <c r="W118" i="1"/>
  <c r="W119" i="1" s="1"/>
  <c r="X86" i="1"/>
  <c r="X87" i="1" s="1"/>
  <c r="Z88" i="1"/>
  <c r="Y89" i="1"/>
  <c r="X121" i="1"/>
  <c r="Y120" i="1"/>
  <c r="W123" i="1"/>
  <c r="W124" i="1" s="1"/>
  <c r="Z113" i="1"/>
  <c r="Z115" i="1" s="1"/>
  <c r="AA109" i="1"/>
  <c r="AA112" i="1" s="1"/>
  <c r="AB105" i="1"/>
  <c r="AA81" i="1"/>
  <c r="AA83" i="1" s="1"/>
  <c r="AB77" i="1"/>
  <c r="AB80" i="1" s="1"/>
  <c r="AA7" i="1"/>
  <c r="AB6" i="1"/>
  <c r="AB7" i="1" s="1"/>
  <c r="AB5" i="1"/>
  <c r="Z49" i="1"/>
  <c r="Z51" i="1" s="1"/>
  <c r="AB39" i="1"/>
  <c r="AB41" i="1" s="1"/>
  <c r="AA45" i="1"/>
  <c r="AA48" i="1" s="1"/>
  <c r="AA27" i="1"/>
  <c r="AB26" i="1"/>
  <c r="AB27" i="1" s="1"/>
  <c r="Z28" i="1"/>
  <c r="Z29" i="1" s="1"/>
  <c r="S12" i="5" l="1"/>
  <c r="T46" i="5"/>
  <c r="T57" i="3"/>
  <c r="W125" i="1"/>
  <c r="W126" i="1" s="1"/>
  <c r="Y61" i="1"/>
  <c r="Y62" i="1" s="1"/>
  <c r="Y30" i="2"/>
  <c r="Y32" i="2" s="1"/>
  <c r="Y52" i="3" s="1"/>
  <c r="X93" i="1"/>
  <c r="X94" i="1" s="1"/>
  <c r="Y21" i="2"/>
  <c r="Y22" i="2" s="1"/>
  <c r="Y50" i="3" s="1"/>
  <c r="R189" i="12"/>
  <c r="T15" i="5" s="1"/>
  <c r="R235" i="12"/>
  <c r="T94" i="4" s="1"/>
  <c r="AR10" i="3"/>
  <c r="AR12" i="3"/>
  <c r="AQ23" i="3"/>
  <c r="AQ25" i="3" s="1"/>
  <c r="Z30" i="1"/>
  <c r="Z30" i="2" s="1"/>
  <c r="Z32" i="2" s="1"/>
  <c r="Z52" i="3" s="1"/>
  <c r="Z54" i="3"/>
  <c r="BS7" i="3"/>
  <c r="G107" i="5" s="1"/>
  <c r="BS8" i="3"/>
  <c r="F16" i="11"/>
  <c r="W74" i="5"/>
  <c r="X74" i="5"/>
  <c r="AB74" i="5"/>
  <c r="AB66" i="5" s="1"/>
  <c r="Z74" i="5"/>
  <c r="Z66" i="5" s="1"/>
  <c r="Y74" i="5"/>
  <c r="Z54" i="4"/>
  <c r="T55" i="2"/>
  <c r="T92" i="4" s="1"/>
  <c r="AA14" i="5"/>
  <c r="AA100" i="2"/>
  <c r="AB100" i="2"/>
  <c r="AB14" i="5"/>
  <c r="S13" i="5"/>
  <c r="T59" i="2"/>
  <c r="U57" i="2"/>
  <c r="U59" i="2" s="1"/>
  <c r="U54" i="2"/>
  <c r="S147" i="12" s="1"/>
  <c r="W96" i="1"/>
  <c r="W99" i="1" s="1"/>
  <c r="W53" i="4" s="1"/>
  <c r="W56" i="4" s="1"/>
  <c r="W60" i="4" s="1"/>
  <c r="W62" i="3" s="1"/>
  <c r="W50" i="2"/>
  <c r="X64" i="1"/>
  <c r="X67" i="1" s="1"/>
  <c r="X64" i="4" s="1"/>
  <c r="X40" i="2"/>
  <c r="X42" i="2" s="1"/>
  <c r="X51" i="3" s="1"/>
  <c r="Z32" i="1"/>
  <c r="Z35" i="1" s="1"/>
  <c r="V128" i="1"/>
  <c r="V131" i="1" s="1"/>
  <c r="V51" i="2"/>
  <c r="V52" i="2" s="1"/>
  <c r="AA16" i="1"/>
  <c r="AA17" i="1" s="1"/>
  <c r="AA19" i="1" s="1"/>
  <c r="AB9" i="1"/>
  <c r="AB13" i="1"/>
  <c r="AA28" i="1"/>
  <c r="AA29" i="1" s="1"/>
  <c r="Z120" i="1"/>
  <c r="Y121" i="1"/>
  <c r="AA88" i="1"/>
  <c r="Z89" i="1"/>
  <c r="Y91" i="1"/>
  <c r="Y92" i="1" s="1"/>
  <c r="AA58" i="1"/>
  <c r="Z59" i="1"/>
  <c r="Z60" i="1" s="1"/>
  <c r="Z54" i="1"/>
  <c r="Z55" i="1" s="1"/>
  <c r="AA53" i="1"/>
  <c r="X123" i="1"/>
  <c r="X124" i="1" s="1"/>
  <c r="X118" i="1"/>
  <c r="X119" i="1" s="1"/>
  <c r="Y86" i="1"/>
  <c r="Y87" i="1" s="1"/>
  <c r="AA113" i="1"/>
  <c r="AA115" i="1" s="1"/>
  <c r="AB109" i="1"/>
  <c r="AB112" i="1" s="1"/>
  <c r="AB81" i="1"/>
  <c r="AB83" i="1" s="1"/>
  <c r="AA49" i="1"/>
  <c r="AA51" i="1" s="1"/>
  <c r="AB45" i="1"/>
  <c r="AB48" i="1" s="1"/>
  <c r="AB28" i="1"/>
  <c r="AB29" i="1" s="1"/>
  <c r="T85" i="4" l="1"/>
  <c r="Z21" i="2"/>
  <c r="Z22" i="2" s="1"/>
  <c r="Z50" i="3" s="1"/>
  <c r="T12" i="5"/>
  <c r="AE55" i="12"/>
  <c r="AW55" i="12"/>
  <c r="BS55" i="12"/>
  <c r="AA55" i="12"/>
  <c r="BM55" i="12"/>
  <c r="BT55" i="12"/>
  <c r="Q55" i="12"/>
  <c r="AJ55" i="12"/>
  <c r="F55" i="12"/>
  <c r="BG55" i="12"/>
  <c r="BL55" i="12"/>
  <c r="BX55" i="12"/>
  <c r="AU55" i="12"/>
  <c r="N55" i="12"/>
  <c r="BZ55" i="12"/>
  <c r="AQ55" i="12"/>
  <c r="CF55" i="12"/>
  <c r="BB55" i="12"/>
  <c r="G55" i="12"/>
  <c r="S55" i="12"/>
  <c r="BA55" i="12"/>
  <c r="O55" i="12"/>
  <c r="BN55" i="12"/>
  <c r="CE55" i="12"/>
  <c r="Y55" i="12"/>
  <c r="W55" i="12"/>
  <c r="BI55" i="12"/>
  <c r="AZ55" i="12"/>
  <c r="CG55" i="12"/>
  <c r="K55" i="12"/>
  <c r="AX55" i="12"/>
  <c r="AV55" i="12"/>
  <c r="P55" i="12"/>
  <c r="AB55" i="12"/>
  <c r="AP55" i="12"/>
  <c r="BK55" i="12"/>
  <c r="BU55" i="12"/>
  <c r="R55" i="12"/>
  <c r="AD55" i="12"/>
  <c r="CA55" i="12"/>
  <c r="Z55" i="12"/>
  <c r="AC55" i="12"/>
  <c r="AN55" i="12"/>
  <c r="AI55" i="12"/>
  <c r="BC55" i="12"/>
  <c r="BO55" i="12"/>
  <c r="AM55" i="12"/>
  <c r="BY55" i="12"/>
  <c r="BH55" i="12"/>
  <c r="BV55" i="12"/>
  <c r="E55" i="12"/>
  <c r="AR55" i="12"/>
  <c r="I55" i="12"/>
  <c r="BR55" i="12"/>
  <c r="X55" i="12"/>
  <c r="BD55" i="12"/>
  <c r="L55" i="12"/>
  <c r="AO55" i="12"/>
  <c r="AK55" i="12"/>
  <c r="BW55" i="12"/>
  <c r="H55" i="12"/>
  <c r="AS55" i="12"/>
  <c r="AY55" i="12"/>
  <c r="AT55" i="12"/>
  <c r="BF55" i="12"/>
  <c r="AH55" i="12"/>
  <c r="AL55" i="12"/>
  <c r="J55" i="12"/>
  <c r="U55" i="12"/>
  <c r="T55" i="12"/>
  <c r="M55" i="12"/>
  <c r="AG55" i="12"/>
  <c r="CB55" i="12"/>
  <c r="BJ55" i="12"/>
  <c r="CD55" i="12"/>
  <c r="CC55" i="12"/>
  <c r="BE55" i="12"/>
  <c r="BQ55" i="12"/>
  <c r="V55" i="12"/>
  <c r="AF55" i="12"/>
  <c r="BP55" i="12"/>
  <c r="AA107" i="5"/>
  <c r="AB107" i="5"/>
  <c r="AA18" i="5"/>
  <c r="AB18" i="5"/>
  <c r="AA74" i="5"/>
  <c r="AA66" i="5" s="1"/>
  <c r="Y93" i="1"/>
  <c r="Y94" i="1" s="1"/>
  <c r="Z61" i="1"/>
  <c r="Z62" i="1" s="1"/>
  <c r="X125" i="1"/>
  <c r="X126" i="1" s="1"/>
  <c r="S235" i="12"/>
  <c r="U94" i="4" s="1"/>
  <c r="S189" i="12"/>
  <c r="U15" i="5" s="1"/>
  <c r="AR13" i="3"/>
  <c r="AA30" i="1"/>
  <c r="AA32" i="1" s="1"/>
  <c r="AA35" i="1" s="1"/>
  <c r="E58" i="6"/>
  <c r="F56" i="6" s="1"/>
  <c r="AA54" i="3"/>
  <c r="AB54" i="3"/>
  <c r="O57" i="6"/>
  <c r="M57" i="6"/>
  <c r="K57" i="6"/>
  <c r="P57" i="6"/>
  <c r="N57" i="6"/>
  <c r="E16" i="11"/>
  <c r="AA54" i="4"/>
  <c r="AB54" i="4"/>
  <c r="U55" i="2"/>
  <c r="U92" i="4" s="1"/>
  <c r="T61" i="2"/>
  <c r="T77" i="4" s="1"/>
  <c r="T79" i="4" s="1"/>
  <c r="T61" i="3" s="1"/>
  <c r="T13" i="5"/>
  <c r="U53" i="3"/>
  <c r="U56" i="3" s="1"/>
  <c r="U13" i="5"/>
  <c r="U61" i="2"/>
  <c r="U77" i="4" s="1"/>
  <c r="U79" i="4" s="1"/>
  <c r="U61" i="3" s="1"/>
  <c r="V57" i="2"/>
  <c r="V53" i="3" s="1"/>
  <c r="V56" i="3" s="1"/>
  <c r="V54" i="2"/>
  <c r="T147" i="12" s="1"/>
  <c r="W128" i="1"/>
  <c r="W131" i="1" s="1"/>
  <c r="W51" i="2"/>
  <c r="W52" i="2" s="1"/>
  <c r="Y64" i="1"/>
  <c r="Y67" i="1" s="1"/>
  <c r="Y64" i="4" s="1"/>
  <c r="Y40" i="2"/>
  <c r="Y42" i="2" s="1"/>
  <c r="Y51" i="3" s="1"/>
  <c r="X96" i="1"/>
  <c r="X99" i="1" s="1"/>
  <c r="X53" i="4" s="1"/>
  <c r="X56" i="4" s="1"/>
  <c r="X60" i="4" s="1"/>
  <c r="X62" i="3" s="1"/>
  <c r="X50" i="2"/>
  <c r="AB16" i="1"/>
  <c r="AB17" i="1" s="1"/>
  <c r="AB19" i="1" s="1"/>
  <c r="AB30" i="1" s="1"/>
  <c r="Y123" i="1"/>
  <c r="AB88" i="1"/>
  <c r="AB89" i="1" s="1"/>
  <c r="AA89" i="1"/>
  <c r="Y118" i="1"/>
  <c r="Y119" i="1" s="1"/>
  <c r="Z91" i="1"/>
  <c r="Z92" i="1" s="1"/>
  <c r="Y124" i="1"/>
  <c r="Z86" i="1"/>
  <c r="Z87" i="1" s="1"/>
  <c r="AB53" i="1"/>
  <c r="AB54" i="1" s="1"/>
  <c r="AB55" i="1" s="1"/>
  <c r="AA54" i="1"/>
  <c r="AA55" i="1" s="1"/>
  <c r="AA120" i="1"/>
  <c r="Z121" i="1"/>
  <c r="AA59" i="1"/>
  <c r="AA60" i="1" s="1"/>
  <c r="AB58" i="1"/>
  <c r="AB59" i="1" s="1"/>
  <c r="AB113" i="1"/>
  <c r="AB115" i="1" s="1"/>
  <c r="AB49" i="1"/>
  <c r="AB51" i="1" s="1"/>
  <c r="U85" i="4" l="1"/>
  <c r="AA61" i="1"/>
  <c r="AA30" i="2"/>
  <c r="AA32" i="2" s="1"/>
  <c r="AA52" i="3" s="1"/>
  <c r="U46" i="5"/>
  <c r="U57" i="3"/>
  <c r="Z93" i="1"/>
  <c r="Z94" i="1" s="1"/>
  <c r="U12" i="5"/>
  <c r="V46" i="5"/>
  <c r="V57" i="3"/>
  <c r="AF56" i="12"/>
  <c r="BD56" i="12"/>
  <c r="AA21" i="2"/>
  <c r="AA22" i="2" s="1"/>
  <c r="AA50" i="3" s="1"/>
  <c r="CA56" i="12"/>
  <c r="CA99" i="13" s="1"/>
  <c r="CA103" i="13" s="1"/>
  <c r="C55" i="12"/>
  <c r="CF56" i="12" s="1"/>
  <c r="E56" i="12"/>
  <c r="Y125" i="1"/>
  <c r="Y126" i="1" s="1"/>
  <c r="T235" i="12"/>
  <c r="V94" i="4" s="1"/>
  <c r="T189" i="12"/>
  <c r="V15" i="5" s="1"/>
  <c r="AS10" i="3"/>
  <c r="AS12" i="3"/>
  <c r="AR23" i="3"/>
  <c r="AR25" i="3" s="1"/>
  <c r="AA62" i="1"/>
  <c r="F58" i="6"/>
  <c r="G56" i="6" s="1"/>
  <c r="G58" i="6" s="1"/>
  <c r="H56" i="6" s="1"/>
  <c r="H58" i="6" s="1"/>
  <c r="I56" i="6" s="1"/>
  <c r="I58" i="6" s="1"/>
  <c r="J56" i="6" s="1"/>
  <c r="J58" i="6" s="1"/>
  <c r="K56" i="6" s="1"/>
  <c r="K58" i="6" s="1"/>
  <c r="L56" i="6" s="1"/>
  <c r="L58" i="6" s="1"/>
  <c r="M56" i="6" s="1"/>
  <c r="M58" i="6" s="1"/>
  <c r="N56" i="6" s="1"/>
  <c r="N58" i="6" s="1"/>
  <c r="O56" i="6" s="1"/>
  <c r="O58" i="6" s="1"/>
  <c r="P56" i="6" s="1"/>
  <c r="P58" i="6" s="1"/>
  <c r="V55" i="2"/>
  <c r="V92" i="4" s="1"/>
  <c r="V59" i="2"/>
  <c r="W57" i="2"/>
  <c r="W59" i="2" s="1"/>
  <c r="W61" i="2" s="1"/>
  <c r="W77" i="4" s="1"/>
  <c r="W79" i="4" s="1"/>
  <c r="W61" i="3" s="1"/>
  <c r="W54" i="2"/>
  <c r="U147" i="12" s="1"/>
  <c r="X128" i="1"/>
  <c r="X131" i="1" s="1"/>
  <c r="X51" i="2"/>
  <c r="X52" i="2" s="1"/>
  <c r="AB32" i="1"/>
  <c r="AB35" i="1" s="1"/>
  <c r="AB30" i="2"/>
  <c r="AB32" i="2" s="1"/>
  <c r="AB52" i="3" s="1"/>
  <c r="AB21" i="2"/>
  <c r="AB22" i="2" s="1"/>
  <c r="AB50" i="3" s="1"/>
  <c r="Z64" i="1"/>
  <c r="Z67" i="1" s="1"/>
  <c r="Z64" i="4" s="1"/>
  <c r="Z40" i="2"/>
  <c r="Z42" i="2" s="1"/>
  <c r="Z51" i="3" s="1"/>
  <c r="Y96" i="1"/>
  <c r="Y99" i="1" s="1"/>
  <c r="Y53" i="4" s="1"/>
  <c r="Y56" i="4" s="1"/>
  <c r="Y60" i="4" s="1"/>
  <c r="Y62" i="3" s="1"/>
  <c r="Y50" i="2"/>
  <c r="AB91" i="1"/>
  <c r="AA91" i="1"/>
  <c r="AA92" i="1" s="1"/>
  <c r="AB60" i="1"/>
  <c r="AB61" i="1" s="1"/>
  <c r="AB62" i="1" s="1"/>
  <c r="AA121" i="1"/>
  <c r="AB120" i="1"/>
  <c r="Z123" i="1"/>
  <c r="Z124" i="1" s="1"/>
  <c r="AB86" i="1"/>
  <c r="AB87" i="1" s="1"/>
  <c r="AA86" i="1"/>
  <c r="AA87" i="1" s="1"/>
  <c r="Z118" i="1"/>
  <c r="Z119" i="1" s="1"/>
  <c r="V85" i="4" l="1"/>
  <c r="AA93" i="1"/>
  <c r="J56" i="12"/>
  <c r="J99" i="13" s="1"/>
  <c r="J103" i="13" s="1"/>
  <c r="AR56" i="12"/>
  <c r="AR99" i="13" s="1"/>
  <c r="AR103" i="13" s="1"/>
  <c r="BW56" i="12"/>
  <c r="BW99" i="13" s="1"/>
  <c r="BW103" i="13" s="1"/>
  <c r="CG56" i="12"/>
  <c r="F56" i="12"/>
  <c r="F99" i="13" s="1"/>
  <c r="F103" i="13" s="1"/>
  <c r="CB56" i="12"/>
  <c r="BE56" i="12"/>
  <c r="BG56" i="12"/>
  <c r="AW56" i="12"/>
  <c r="AW99" i="13" s="1"/>
  <c r="AW103" i="13" s="1"/>
  <c r="R56" i="12"/>
  <c r="CE56" i="12"/>
  <c r="CE99" i="13" s="1"/>
  <c r="BV56" i="12"/>
  <c r="BT56" i="12"/>
  <c r="AS56" i="12"/>
  <c r="AS99" i="13" s="1"/>
  <c r="AS103" i="13" s="1"/>
  <c r="BB56" i="12"/>
  <c r="BJ56" i="12"/>
  <c r="AN56" i="12"/>
  <c r="BS56" i="12"/>
  <c r="X56" i="12"/>
  <c r="D99" i="13"/>
  <c r="D103" i="13" s="1"/>
  <c r="D85" i="13"/>
  <c r="E85" i="13"/>
  <c r="G85" i="13"/>
  <c r="F85" i="13"/>
  <c r="AN99" i="13"/>
  <c r="AN103" i="13" s="1"/>
  <c r="BB99" i="13"/>
  <c r="BB103" i="13" s="1"/>
  <c r="CF99" i="13"/>
  <c r="CJ99" i="13"/>
  <c r="AH56" i="12"/>
  <c r="O56" i="12"/>
  <c r="CI99" i="13"/>
  <c r="AA56" i="12"/>
  <c r="Q56" i="12"/>
  <c r="Q99" i="13" s="1"/>
  <c r="Q103" i="13" s="1"/>
  <c r="AB56" i="12"/>
  <c r="AB99" i="13" s="1"/>
  <c r="AB103" i="13" s="1"/>
  <c r="AU56" i="12"/>
  <c r="AQ56" i="12"/>
  <c r="G56" i="12"/>
  <c r="G99" i="13" s="1"/>
  <c r="G103" i="13" s="1"/>
  <c r="BO56" i="12"/>
  <c r="AF99" i="13"/>
  <c r="AF103" i="13" s="1"/>
  <c r="BS99" i="13"/>
  <c r="BS103" i="13" s="1"/>
  <c r="AE56" i="12"/>
  <c r="AE99" i="13" s="1"/>
  <c r="AE103" i="13" s="1"/>
  <c r="Y56" i="12"/>
  <c r="AZ56" i="12"/>
  <c r="AZ99" i="13" s="1"/>
  <c r="AZ103" i="13" s="1"/>
  <c r="AX56" i="12"/>
  <c r="AO56" i="12"/>
  <c r="BU56" i="12"/>
  <c r="BZ56" i="12"/>
  <c r="BZ99" i="13" s="1"/>
  <c r="BZ103" i="13" s="1"/>
  <c r="AT56" i="12"/>
  <c r="AT99" i="13" s="1"/>
  <c r="AT103" i="13" s="1"/>
  <c r="K56" i="12"/>
  <c r="K99" i="13" s="1"/>
  <c r="K103" i="13" s="1"/>
  <c r="AL56" i="12"/>
  <c r="AL99" i="13" s="1"/>
  <c r="AL103" i="13" s="1"/>
  <c r="BA56" i="12"/>
  <c r="BA99" i="13" s="1"/>
  <c r="BA103" i="13" s="1"/>
  <c r="T56" i="12"/>
  <c r="T99" i="13" s="1"/>
  <c r="T103" i="13" s="1"/>
  <c r="BH56" i="12"/>
  <c r="BH99" i="13" s="1"/>
  <c r="BH103" i="13" s="1"/>
  <c r="BI56" i="12"/>
  <c r="BI99" i="13" s="1"/>
  <c r="BI103" i="13" s="1"/>
  <c r="CC56" i="12"/>
  <c r="CC99" i="13" s="1"/>
  <c r="AC56" i="12"/>
  <c r="V56" i="12"/>
  <c r="V99" i="13" s="1"/>
  <c r="V103" i="13" s="1"/>
  <c r="P56" i="12"/>
  <c r="BL56" i="12"/>
  <c r="Z125" i="1"/>
  <c r="Z126" i="1" s="1"/>
  <c r="H56" i="12"/>
  <c r="H99" i="13" s="1"/>
  <c r="H103" i="13" s="1"/>
  <c r="AD56" i="12"/>
  <c r="BM56" i="12"/>
  <c r="BM99" i="13" s="1"/>
  <c r="BM103" i="13" s="1"/>
  <c r="BR56" i="12"/>
  <c r="BY56" i="12"/>
  <c r="BY99" i="13" s="1"/>
  <c r="BY103" i="13" s="1"/>
  <c r="BC56" i="12"/>
  <c r="BN56" i="12"/>
  <c r="BN99" i="13" s="1"/>
  <c r="BN103" i="13" s="1"/>
  <c r="AJ56" i="12"/>
  <c r="AJ99" i="13" s="1"/>
  <c r="AJ103" i="13" s="1"/>
  <c r="L56" i="12"/>
  <c r="AP56" i="12"/>
  <c r="Z56" i="12"/>
  <c r="Z99" i="13" s="1"/>
  <c r="Z103" i="13" s="1"/>
  <c r="BQ56" i="12"/>
  <c r="S56" i="12"/>
  <c r="S99" i="13" s="1"/>
  <c r="S103" i="13" s="1"/>
  <c r="U56" i="12"/>
  <c r="AM56" i="12"/>
  <c r="N56" i="12"/>
  <c r="N99" i="13" s="1"/>
  <c r="N103" i="13" s="1"/>
  <c r="AY56" i="12"/>
  <c r="AY99" i="13" s="1"/>
  <c r="AY103" i="13" s="1"/>
  <c r="I56" i="12"/>
  <c r="I99" i="13" s="1"/>
  <c r="I103" i="13" s="1"/>
  <c r="BK56" i="12"/>
  <c r="BK99" i="13" s="1"/>
  <c r="BK103" i="13" s="1"/>
  <c r="AV56" i="12"/>
  <c r="AV99" i="13" s="1"/>
  <c r="AV103" i="13" s="1"/>
  <c r="BP56" i="12"/>
  <c r="AK56" i="12"/>
  <c r="E99" i="13"/>
  <c r="E103" i="13" s="1"/>
  <c r="W56" i="12"/>
  <c r="W99" i="13" s="1"/>
  <c r="W103" i="13" s="1"/>
  <c r="CD56" i="12"/>
  <c r="BF56" i="12"/>
  <c r="BF99" i="13" s="1"/>
  <c r="BF103" i="13" s="1"/>
  <c r="AG56" i="12"/>
  <c r="AG99" i="13" s="1"/>
  <c r="AG103" i="13" s="1"/>
  <c r="AI56" i="12"/>
  <c r="AI99" i="13" s="1"/>
  <c r="AI103" i="13" s="1"/>
  <c r="BX56" i="12"/>
  <c r="BX99" i="13" s="1"/>
  <c r="BX103" i="13" s="1"/>
  <c r="M56" i="12"/>
  <c r="M99" i="13" s="1"/>
  <c r="M103" i="13" s="1"/>
  <c r="U235" i="12"/>
  <c r="W94" i="4" s="1"/>
  <c r="U189" i="12"/>
  <c r="W15" i="5" s="1"/>
  <c r="AS13" i="3"/>
  <c r="AA94" i="1"/>
  <c r="W55" i="2"/>
  <c r="W92" i="4" s="1"/>
  <c r="V13" i="5"/>
  <c r="V61" i="2"/>
  <c r="V77" i="4" s="1"/>
  <c r="V79" i="4" s="1"/>
  <c r="V61" i="3" s="1"/>
  <c r="W53" i="3"/>
  <c r="W56" i="3" s="1"/>
  <c r="W46" i="5" s="1"/>
  <c r="X57" i="2"/>
  <c r="X59" i="2" s="1"/>
  <c r="X61" i="2" s="1"/>
  <c r="X77" i="4" s="1"/>
  <c r="X79" i="4" s="1"/>
  <c r="X61" i="3" s="1"/>
  <c r="X54" i="2"/>
  <c r="V147" i="12" s="1"/>
  <c r="W13" i="5"/>
  <c r="AB64" i="1"/>
  <c r="AB67" i="1" s="1"/>
  <c r="AB64" i="4" s="1"/>
  <c r="AB40" i="2"/>
  <c r="AB42" i="2" s="1"/>
  <c r="AB51" i="3" s="1"/>
  <c r="Y128" i="1"/>
  <c r="Y131" i="1" s="1"/>
  <c r="Y51" i="2"/>
  <c r="Y52" i="2" s="1"/>
  <c r="Z96" i="1"/>
  <c r="Z99" i="1" s="1"/>
  <c r="Z53" i="4" s="1"/>
  <c r="Z56" i="4" s="1"/>
  <c r="Z60" i="4" s="1"/>
  <c r="Z62" i="3" s="1"/>
  <c r="Z50" i="2"/>
  <c r="AA64" i="1"/>
  <c r="AA67" i="1" s="1"/>
  <c r="AA64" i="4" s="1"/>
  <c r="AA40" i="2"/>
  <c r="AA42" i="2" s="1"/>
  <c r="AA51" i="3" s="1"/>
  <c r="AB92" i="1"/>
  <c r="AB93" i="1" s="1"/>
  <c r="AB123" i="1"/>
  <c r="AA123" i="1"/>
  <c r="AA124" i="1" s="1"/>
  <c r="AB121" i="1"/>
  <c r="AB118" i="1"/>
  <c r="AB119" i="1" s="1"/>
  <c r="AA118" i="1"/>
  <c r="AA119" i="1" s="1"/>
  <c r="W85" i="4" l="1"/>
  <c r="AA125" i="1"/>
  <c r="AA126" i="1" s="1"/>
  <c r="Z193" i="12"/>
  <c r="BC99" i="13"/>
  <c r="BC103" i="13" s="1"/>
  <c r="Y99" i="13"/>
  <c r="Y103" i="13" s="1"/>
  <c r="AA99" i="13"/>
  <c r="AA103" i="13" s="1"/>
  <c r="R99" i="13"/>
  <c r="R103" i="13" s="1"/>
  <c r="BG99" i="13"/>
  <c r="BG103" i="13" s="1"/>
  <c r="BR99" i="13"/>
  <c r="BR103" i="13" s="1"/>
  <c r="U99" i="13"/>
  <c r="U103" i="13" s="1"/>
  <c r="AD99" i="13"/>
  <c r="AD103" i="13" s="1"/>
  <c r="BD99" i="13"/>
  <c r="BD103" i="13" s="1"/>
  <c r="CD99" i="13"/>
  <c r="CH99" i="13"/>
  <c r="BO99" i="13"/>
  <c r="BO103" i="13" s="1"/>
  <c r="O99" i="13"/>
  <c r="O103" i="13" s="1"/>
  <c r="BQ99" i="13"/>
  <c r="BQ103" i="13" s="1"/>
  <c r="AH99" i="13"/>
  <c r="AH103" i="13" s="1"/>
  <c r="Y193" i="12"/>
  <c r="Y241" i="12" s="1"/>
  <c r="AQ99" i="13"/>
  <c r="AQ103" i="13" s="1"/>
  <c r="CG99" i="13"/>
  <c r="AM99" i="13"/>
  <c r="AM103" i="13" s="1"/>
  <c r="AK99" i="13"/>
  <c r="AK103" i="13" s="1"/>
  <c r="AP99" i="13"/>
  <c r="AP103" i="13" s="1"/>
  <c r="P99" i="13"/>
  <c r="P103" i="13" s="1"/>
  <c r="BU99" i="13"/>
  <c r="BU103" i="13" s="1"/>
  <c r="AU99" i="13"/>
  <c r="AU103" i="13" s="1"/>
  <c r="CB99" i="13"/>
  <c r="CB103" i="13" s="1"/>
  <c r="BL99" i="13"/>
  <c r="BL103" i="13" s="1"/>
  <c r="BP99" i="13"/>
  <c r="BP103" i="13" s="1"/>
  <c r="L99" i="13"/>
  <c r="L103" i="13" s="1"/>
  <c r="AO99" i="13"/>
  <c r="AO103" i="13" s="1"/>
  <c r="BJ99" i="13"/>
  <c r="BJ103" i="13" s="1"/>
  <c r="BT99" i="13"/>
  <c r="BT103" i="13" s="1"/>
  <c r="BE99" i="13"/>
  <c r="BE103" i="13" s="1"/>
  <c r="AC99" i="13"/>
  <c r="AC103" i="13" s="1"/>
  <c r="AX99" i="13"/>
  <c r="AX103" i="13" s="1"/>
  <c r="BV99" i="13"/>
  <c r="BV103" i="13" s="1"/>
  <c r="X99" i="13"/>
  <c r="X103" i="13" s="1"/>
  <c r="C56" i="12"/>
  <c r="V189" i="12"/>
  <c r="X15" i="5" s="1"/>
  <c r="V235" i="12"/>
  <c r="X94" i="4" s="1"/>
  <c r="AT10" i="3"/>
  <c r="AT12" i="3"/>
  <c r="AS23" i="3"/>
  <c r="AS25" i="3" s="1"/>
  <c r="AB94" i="1"/>
  <c r="X55" i="2"/>
  <c r="X92" i="4" s="1"/>
  <c r="X85" i="4" s="1"/>
  <c r="X53" i="3"/>
  <c r="X56" i="3" s="1"/>
  <c r="X46" i="5" s="1"/>
  <c r="Y57" i="2"/>
  <c r="Y59" i="2" s="1"/>
  <c r="Y54" i="2"/>
  <c r="W147" i="12" s="1"/>
  <c r="X13" i="5"/>
  <c r="AA96" i="1"/>
  <c r="AA99" i="1" s="1"/>
  <c r="AA53" i="4" s="1"/>
  <c r="AA56" i="4" s="1"/>
  <c r="AA60" i="4" s="1"/>
  <c r="AA62" i="3" s="1"/>
  <c r="AA50" i="2"/>
  <c r="Z128" i="1"/>
  <c r="Z131" i="1" s="1"/>
  <c r="Z51" i="2"/>
  <c r="Z52" i="2" s="1"/>
  <c r="AB124" i="1"/>
  <c r="AB125" i="1" s="1"/>
  <c r="W235" i="12" l="1"/>
  <c r="Y94" i="4" s="1"/>
  <c r="W189" i="12"/>
  <c r="Y15" i="5" s="1"/>
  <c r="AT13" i="3"/>
  <c r="AT23" i="3" s="1"/>
  <c r="AB50" i="2"/>
  <c r="AB96" i="1"/>
  <c r="AB99" i="1" s="1"/>
  <c r="AB53" i="4" s="1"/>
  <c r="AB56" i="4" s="1"/>
  <c r="AB60" i="4" s="1"/>
  <c r="AB62" i="3" s="1"/>
  <c r="AB126" i="1"/>
  <c r="Y55" i="2"/>
  <c r="Y92" i="4" s="1"/>
  <c r="Y85" i="4" s="1"/>
  <c r="Y53" i="3"/>
  <c r="Y56" i="3" s="1"/>
  <c r="Y46" i="5" s="1"/>
  <c r="Y61" i="2"/>
  <c r="Y77" i="4" s="1"/>
  <c r="Y79" i="4" s="1"/>
  <c r="Y61" i="3" s="1"/>
  <c r="Y13" i="5"/>
  <c r="Z57" i="2"/>
  <c r="Z59" i="2" s="1"/>
  <c r="Z54" i="2"/>
  <c r="X147" i="12" s="1"/>
  <c r="AA128" i="1"/>
  <c r="AA131" i="1" s="1"/>
  <c r="AA51" i="2"/>
  <c r="AA52" i="2" s="1"/>
  <c r="X189" i="12" l="1"/>
  <c r="Z15" i="5" s="1"/>
  <c r="X235" i="12"/>
  <c r="Z94" i="4" s="1"/>
  <c r="AU12" i="3"/>
  <c r="AU10" i="3"/>
  <c r="AT25" i="3"/>
  <c r="AB128" i="1"/>
  <c r="AB131" i="1" s="1"/>
  <c r="AB51" i="2"/>
  <c r="AB52" i="2" s="1"/>
  <c r="AB54" i="2" s="1"/>
  <c r="Z55" i="2"/>
  <c r="Z92" i="4" s="1"/>
  <c r="Z85" i="4" s="1"/>
  <c r="Z53" i="3"/>
  <c r="Z56" i="3" s="1"/>
  <c r="Z46" i="5" s="1"/>
  <c r="Z13" i="5"/>
  <c r="Z61" i="2"/>
  <c r="Z77" i="4" s="1"/>
  <c r="Z79" i="4" s="1"/>
  <c r="Z61" i="3" s="1"/>
  <c r="AA57" i="2"/>
  <c r="AA59" i="2" s="1"/>
  <c r="AA54" i="2"/>
  <c r="Y147" i="12" s="1"/>
  <c r="AB55" i="2" l="1"/>
  <c r="AB92" i="4" s="1"/>
  <c r="Z147" i="12"/>
  <c r="Y189" i="12"/>
  <c r="AA15" i="5" s="1"/>
  <c r="Y235" i="12"/>
  <c r="AA94" i="4" s="1"/>
  <c r="AU13" i="3"/>
  <c r="AV10" i="3" s="1"/>
  <c r="AB57" i="2"/>
  <c r="AB53" i="3" s="1"/>
  <c r="AB56" i="3" s="1"/>
  <c r="AB46" i="5" s="1"/>
  <c r="AA55" i="2"/>
  <c r="AA92" i="4" s="1"/>
  <c r="AA85" i="4" s="1"/>
  <c r="AA53" i="3"/>
  <c r="AA56" i="3" s="1"/>
  <c r="AA46" i="5" s="1"/>
  <c r="AA13" i="5"/>
  <c r="AA61" i="2"/>
  <c r="AA77" i="4" s="1"/>
  <c r="AA79" i="4" s="1"/>
  <c r="AA61" i="3" s="1"/>
  <c r="Z235" i="12" l="1"/>
  <c r="AB94" i="4" s="1"/>
  <c r="AB85" i="4" s="1"/>
  <c r="Z189" i="12"/>
  <c r="AB15" i="5" s="1"/>
  <c r="AU23" i="3"/>
  <c r="AU25" i="3" s="1"/>
  <c r="AV12" i="3"/>
  <c r="AV13" i="3" s="1"/>
  <c r="AB59" i="2"/>
  <c r="AB61" i="2" s="1"/>
  <c r="AB77" i="4" s="1"/>
  <c r="AB79" i="4" s="1"/>
  <c r="AB61" i="3" s="1"/>
  <c r="AW10" i="3" l="1"/>
  <c r="AV23" i="3"/>
  <c r="AV25" i="3" s="1"/>
  <c r="AW12" i="3"/>
  <c r="AB13" i="5"/>
  <c r="D49" i="7"/>
  <c r="AW13" i="3" l="1"/>
  <c r="AX10" i="3" s="1"/>
  <c r="D66" i="7"/>
  <c r="D64" i="7"/>
  <c r="D65" i="7"/>
  <c r="AX12" i="3" l="1"/>
  <c r="AX13" i="3" s="1"/>
  <c r="AY12" i="3" s="1"/>
  <c r="AW23" i="3"/>
  <c r="AW25" i="3" s="1"/>
  <c r="D68" i="7"/>
  <c r="D72" i="7"/>
  <c r="D70" i="7"/>
  <c r="D74" i="7"/>
  <c r="D71" i="7"/>
  <c r="D73" i="7"/>
  <c r="D91" i="7"/>
  <c r="AY10" i="3" l="1"/>
  <c r="AY13" i="3" s="1"/>
  <c r="AZ10" i="3" s="1"/>
  <c r="AX23" i="3"/>
  <c r="AX25" i="3" s="1"/>
  <c r="D80" i="7"/>
  <c r="D78" i="7"/>
  <c r="D81" i="7"/>
  <c r="D77" i="7"/>
  <c r="D82" i="7"/>
  <c r="D79" i="7"/>
  <c r="AY23" i="3" l="1"/>
  <c r="AY25" i="3" s="1"/>
  <c r="AZ12" i="3"/>
  <c r="AZ13" i="3" s="1"/>
  <c r="BA10" i="3" s="1"/>
  <c r="D89" i="7"/>
  <c r="D85" i="7"/>
  <c r="D86" i="7"/>
  <c r="D87" i="7"/>
  <c r="D88" i="7"/>
  <c r="AZ23" i="3" l="1"/>
  <c r="BA12" i="3"/>
  <c r="BA13" i="3" s="1"/>
  <c r="BB10" i="3" s="1"/>
  <c r="AZ25" i="3"/>
  <c r="BB12" i="3"/>
  <c r="BB13" i="3" s="1"/>
  <c r="BC10" i="3" s="1"/>
  <c r="BA23" i="3"/>
  <c r="BA25" i="3" s="1"/>
  <c r="D29" i="3"/>
  <c r="BB23" i="3" l="1"/>
  <c r="BB25" i="3" s="1"/>
  <c r="BC12" i="3"/>
  <c r="BC13" i="3" s="1"/>
  <c r="BD12" i="3" s="1"/>
  <c r="BC23" i="3" l="1"/>
  <c r="BC25" i="3" s="1"/>
  <c r="BD10" i="3"/>
  <c r="BD13" i="3" s="1"/>
  <c r="BD23" i="3" l="1"/>
  <c r="BD25" i="3" s="1"/>
  <c r="BE10" i="3"/>
  <c r="BE12" i="3"/>
  <c r="BE13" i="3" l="1"/>
  <c r="BF10" i="3" l="1"/>
  <c r="BF12" i="3"/>
  <c r="BE23" i="3"/>
  <c r="BE25" i="3" s="1"/>
  <c r="E12" i="11"/>
  <c r="BF13" i="3" l="1"/>
  <c r="BG10" i="3" s="1"/>
  <c r="BF23" i="3" l="1"/>
  <c r="BF25" i="3" s="1"/>
  <c r="BG12" i="3"/>
  <c r="BG13" i="3" s="1"/>
  <c r="BH12" i="3" s="1"/>
  <c r="BH10" i="3" l="1"/>
  <c r="BH13" i="3" s="1"/>
  <c r="BI10" i="3" s="1"/>
  <c r="BG23" i="3"/>
  <c r="BG25" i="3" s="1"/>
  <c r="BI12" i="3" l="1"/>
  <c r="BI13" i="3" s="1"/>
  <c r="BJ10" i="3" s="1"/>
  <c r="BH23" i="3"/>
  <c r="BH25" i="3" s="1"/>
  <c r="BJ12" i="3" l="1"/>
  <c r="BJ13" i="3" s="1"/>
  <c r="BJ23" i="3" s="1"/>
  <c r="BI23" i="3"/>
  <c r="BI25" i="3" s="1"/>
  <c r="BJ25" i="3" l="1"/>
  <c r="BK12" i="3"/>
  <c r="BK10" i="3"/>
  <c r="BK13" i="3" l="1"/>
  <c r="BL10" i="3" l="1"/>
  <c r="BK23" i="3"/>
  <c r="BK25" i="3" s="1"/>
  <c r="BL13" i="3" l="1"/>
  <c r="BM12" i="3" s="1"/>
  <c r="BL23" i="3" l="1"/>
  <c r="BL25" i="3" s="1"/>
  <c r="BM10" i="3"/>
  <c r="BM13" i="3" l="1"/>
  <c r="BN10" i="3" l="1"/>
  <c r="BN13" i="3" s="1"/>
  <c r="BO10" i="3" s="1"/>
  <c r="BM23" i="3"/>
  <c r="BM25" i="3" s="1"/>
  <c r="BO12" i="3" l="1"/>
  <c r="BO13" i="3" s="1"/>
  <c r="BN23" i="3"/>
  <c r="BN25" i="3" s="1"/>
  <c r="BO23" i="3" l="1"/>
  <c r="BO25" i="3" s="1"/>
  <c r="BP10" i="3"/>
  <c r="BP12" i="3"/>
  <c r="BP13" i="3" l="1"/>
  <c r="BQ12" i="3" l="1"/>
  <c r="BQ10" i="3"/>
  <c r="BP23" i="3"/>
  <c r="BP25" i="3" s="1"/>
  <c r="BQ13" i="3" l="1"/>
  <c r="BQ23" i="3" l="1"/>
  <c r="BR10" i="3"/>
  <c r="BR13" i="3" l="1"/>
  <c r="BR23" i="3" s="1"/>
  <c r="O57" i="16"/>
  <c r="M57" i="16"/>
  <c r="L57" i="16"/>
  <c r="N57" i="16"/>
  <c r="P57" i="16"/>
  <c r="K57" i="16"/>
  <c r="D31" i="3"/>
  <c r="BR25" i="3"/>
  <c r="BQ25" i="3"/>
  <c r="D32" i="3" l="1"/>
  <c r="E29" i="3" s="1"/>
  <c r="E31" i="3" s="1"/>
  <c r="E32" i="3" l="1"/>
  <c r="F29" i="3" s="1"/>
  <c r="F31" i="3" s="1"/>
  <c r="F32" i="3" l="1"/>
  <c r="G29" i="3" s="1"/>
  <c r="G31" i="3" s="1"/>
  <c r="G32" i="3" s="1"/>
  <c r="H29" i="3" s="1"/>
  <c r="H31" i="3" s="1"/>
  <c r="H32" i="3" s="1"/>
  <c r="I29" i="3" s="1"/>
  <c r="I31" i="3" s="1"/>
  <c r="I32" i="3" s="1"/>
  <c r="J29" i="3" s="1"/>
  <c r="J31" i="3" l="1"/>
  <c r="J32" i="3" s="1"/>
  <c r="K29" i="3" s="1"/>
  <c r="K31" i="3" l="1"/>
  <c r="K32" i="3" s="1"/>
  <c r="L29" i="3" s="1"/>
  <c r="L31" i="3" l="1"/>
  <c r="L32" i="3" s="1"/>
  <c r="M29" i="3" s="1"/>
  <c r="M31" i="3" l="1"/>
  <c r="M32" i="3" s="1"/>
  <c r="N29" i="3" s="1"/>
  <c r="N31" i="3" l="1"/>
  <c r="N32" i="3" s="1"/>
  <c r="O29" i="3" s="1"/>
  <c r="O31" i="3" l="1"/>
  <c r="O32" i="3" s="1"/>
  <c r="P29" i="3" s="1"/>
  <c r="P31" i="3" l="1"/>
  <c r="P32" i="3" s="1"/>
  <c r="Q29" i="3" s="1"/>
  <c r="Q31" i="3" l="1"/>
  <c r="Q32" i="3" s="1"/>
  <c r="R29" i="3" s="1"/>
  <c r="R31" i="3" l="1"/>
  <c r="R32" i="3" s="1"/>
  <c r="S29" i="3" s="1"/>
  <c r="S31" i="3" l="1"/>
  <c r="S32" i="3" s="1"/>
  <c r="T29" i="3" s="1"/>
  <c r="T31" i="3" l="1"/>
  <c r="T32" i="3" s="1"/>
  <c r="U29" i="3" s="1"/>
  <c r="U31" i="3" l="1"/>
  <c r="U32" i="3" s="1"/>
  <c r="V29" i="3" s="1"/>
  <c r="V31" i="3" l="1"/>
  <c r="V32" i="3" s="1"/>
  <c r="W29" i="3" s="1"/>
  <c r="W31" i="3" l="1"/>
  <c r="W32" i="3" s="1"/>
  <c r="X29" i="3" s="1"/>
  <c r="X31" i="3" l="1"/>
  <c r="X32" i="3" s="1"/>
  <c r="Y29" i="3" l="1"/>
  <c r="X34" i="3"/>
  <c r="Y31" i="3" l="1"/>
  <c r="Y32" i="3" s="1"/>
  <c r="Y34" i="3" l="1"/>
  <c r="Z29" i="3"/>
  <c r="Z31" i="3" l="1"/>
  <c r="Z32" i="3" s="1"/>
  <c r="AA29" i="3" l="1"/>
  <c r="Z34" i="3"/>
  <c r="AA31" i="3" l="1"/>
  <c r="AA32" i="3" s="1"/>
  <c r="AA34" i="3" l="1"/>
  <c r="AB29" i="3"/>
  <c r="AB31" i="3" l="1"/>
  <c r="AB32" i="3" s="1"/>
  <c r="AC29" i="3" l="1"/>
  <c r="AB34" i="3"/>
  <c r="AC31" i="3" l="1"/>
  <c r="AC32" i="3" s="1"/>
  <c r="AD29" i="3" l="1"/>
  <c r="AC34" i="3"/>
  <c r="AD31" i="3" l="1"/>
  <c r="AD32" i="3" s="1"/>
  <c r="AE29" i="3" l="1"/>
  <c r="AD34" i="3"/>
  <c r="AE31" i="3" l="1"/>
  <c r="AE32" i="3" s="1"/>
  <c r="AE34" i="3" l="1"/>
  <c r="AF29" i="3"/>
  <c r="AF31" i="3" l="1"/>
  <c r="AF32" i="3" s="1"/>
  <c r="AF34" i="3" l="1"/>
  <c r="AG29" i="3"/>
  <c r="AG31" i="3" l="1"/>
  <c r="AG32" i="3" s="1"/>
  <c r="AH29" i="3" l="1"/>
  <c r="AG34" i="3"/>
  <c r="AH31" i="3" l="1"/>
  <c r="AH32" i="3" s="1"/>
  <c r="AI29" i="3" l="1"/>
  <c r="AH34" i="3"/>
  <c r="AI31" i="3" l="1"/>
  <c r="AI32" i="3" s="1"/>
  <c r="AI34" i="3" l="1"/>
  <c r="AJ29" i="3"/>
  <c r="AJ31" i="3" l="1"/>
  <c r="AJ32" i="3" s="1"/>
  <c r="AK29" i="3" l="1"/>
  <c r="AJ34" i="3"/>
  <c r="AK31" i="3" l="1"/>
  <c r="AK32" i="3" s="1"/>
  <c r="AK34" i="3" l="1"/>
  <c r="AL29" i="3"/>
  <c r="AL31" i="3" l="1"/>
  <c r="AL32" i="3" s="1"/>
  <c r="AL34" i="3" l="1"/>
  <c r="AM29" i="3"/>
  <c r="AM31" i="3" l="1"/>
  <c r="AM32" i="3" s="1"/>
  <c r="AM34" i="3" l="1"/>
  <c r="AN29" i="3"/>
  <c r="AN31" i="3" l="1"/>
  <c r="AN32" i="3" s="1"/>
  <c r="AO29" i="3" l="1"/>
  <c r="AN34" i="3"/>
  <c r="AO31" i="3" l="1"/>
  <c r="AO32" i="3" s="1"/>
  <c r="AP29" i="3" l="1"/>
  <c r="AO34" i="3"/>
  <c r="AP31" i="3" l="1"/>
  <c r="AP32" i="3" s="1"/>
  <c r="AP34" i="3" l="1"/>
  <c r="AQ29" i="3"/>
  <c r="AQ31" i="3" l="1"/>
  <c r="AQ32" i="3" s="1"/>
  <c r="AQ34" i="3" l="1"/>
  <c r="AR29" i="3"/>
  <c r="AR31" i="3" l="1"/>
  <c r="AR32" i="3" s="1"/>
  <c r="AS29" i="3" l="1"/>
  <c r="AR34" i="3"/>
  <c r="AS31" i="3" l="1"/>
  <c r="AS32" i="3" s="1"/>
  <c r="AT29" i="3" l="1"/>
  <c r="AS34" i="3"/>
  <c r="AT31" i="3" l="1"/>
  <c r="AT32" i="3" s="1"/>
  <c r="AU29" i="3" l="1"/>
  <c r="AT34" i="3"/>
  <c r="AU31" i="3" l="1"/>
  <c r="AU32" i="3" s="1"/>
  <c r="AU34" i="3" l="1"/>
  <c r="AV29" i="3"/>
  <c r="AV31" i="3" l="1"/>
  <c r="AV32" i="3" s="1"/>
  <c r="AV34" i="3" l="1"/>
  <c r="AW29" i="3"/>
  <c r="AW31" i="3" l="1"/>
  <c r="AW32" i="3" s="1"/>
  <c r="AX29" i="3" l="1"/>
  <c r="AW34" i="3"/>
  <c r="AX31" i="3" l="1"/>
  <c r="AX32" i="3" s="1"/>
  <c r="E17" i="11"/>
  <c r="E18" i="11" s="1"/>
  <c r="AY29" i="3" l="1"/>
  <c r="AX34" i="3"/>
  <c r="E9" i="9"/>
  <c r="E12" i="9" s="1"/>
  <c r="E14" i="9" s="1"/>
  <c r="AY31" i="3" l="1"/>
  <c r="AY32" i="3" s="1"/>
  <c r="E15" i="9"/>
  <c r="E17" i="9" s="1"/>
  <c r="E18" i="9" s="1"/>
  <c r="E19" i="9" s="1"/>
  <c r="E20" i="9" s="1"/>
  <c r="E21" i="9" s="1"/>
  <c r="E22" i="9"/>
  <c r="AY34" i="3" l="1"/>
  <c r="AZ29" i="3"/>
  <c r="E16" i="9"/>
  <c r="E23" i="9"/>
  <c r="E24" i="9"/>
  <c r="AZ31" i="3" l="1"/>
  <c r="AZ32" i="3" s="1"/>
  <c r="E25" i="9"/>
  <c r="E28" i="9"/>
  <c r="E29" i="9"/>
  <c r="E32" i="9" s="1"/>
  <c r="BA29" i="3" l="1"/>
  <c r="AZ34" i="3"/>
  <c r="E34" i="9"/>
  <c r="E31" i="9"/>
  <c r="BA31" i="3" l="1"/>
  <c r="BA32" i="3" s="1"/>
  <c r="E9" i="11"/>
  <c r="E14" i="11" s="1"/>
  <c r="E20" i="11" s="1"/>
  <c r="BB29" i="3" l="1"/>
  <c r="BA34" i="3"/>
  <c r="E68" i="3"/>
  <c r="E70" i="3" s="1"/>
  <c r="BB31" i="3" l="1"/>
  <c r="BB32" i="3" s="1"/>
  <c r="E76" i="3"/>
  <c r="E74" i="3"/>
  <c r="BC29" i="3" l="1"/>
  <c r="BB34" i="3"/>
  <c r="F112" i="5"/>
  <c r="BC31" i="3" l="1"/>
  <c r="BC32" i="3" s="1"/>
  <c r="E34" i="13"/>
  <c r="BC34" i="3" l="1"/>
  <c r="BD29" i="3"/>
  <c r="G16" i="11"/>
  <c r="F39" i="16"/>
  <c r="F43" i="16" s="1"/>
  <c r="F50" i="16" s="1"/>
  <c r="BD31" i="3" l="1"/>
  <c r="BD32" i="3" s="1"/>
  <c r="F66" i="16"/>
  <c r="F69" i="16" s="1"/>
  <c r="F54" i="16"/>
  <c r="Q54" i="16" s="1"/>
  <c r="F58" i="16" l="1"/>
  <c r="G56" i="16" s="1"/>
  <c r="G58" i="16" s="1"/>
  <c r="H56" i="16" s="1"/>
  <c r="H58" i="16" s="1"/>
  <c r="I56" i="16" s="1"/>
  <c r="I58" i="16" s="1"/>
  <c r="J56" i="16" s="1"/>
  <c r="J58" i="16" s="1"/>
  <c r="K56" i="16" s="1"/>
  <c r="K58" i="16" s="1"/>
  <c r="L56" i="16" s="1"/>
  <c r="L58" i="16" s="1"/>
  <c r="M56" i="16" s="1"/>
  <c r="M58" i="16" s="1"/>
  <c r="N56" i="16" s="1"/>
  <c r="N58" i="16" s="1"/>
  <c r="O56" i="16" s="1"/>
  <c r="O58" i="16" s="1"/>
  <c r="P56" i="16" s="1"/>
  <c r="P58" i="16" s="1"/>
  <c r="BD34" i="3"/>
  <c r="BE29" i="3"/>
  <c r="F79" i="16"/>
  <c r="F81" i="16" s="1"/>
  <c r="G65" i="16"/>
  <c r="BE31" i="3" l="1"/>
  <c r="BE32" i="3" s="1"/>
  <c r="F82" i="16"/>
  <c r="G78" i="16" s="1"/>
  <c r="G68" i="16"/>
  <c r="BF29" i="3" l="1"/>
  <c r="BE34" i="3"/>
  <c r="G86" i="5"/>
  <c r="G11" i="11"/>
  <c r="G10" i="9"/>
  <c r="BF31" i="3" l="1"/>
  <c r="BF32" i="3" s="1"/>
  <c r="BG29" i="3" l="1"/>
  <c r="BF34" i="3"/>
  <c r="BG31" i="3" l="1"/>
  <c r="BG32" i="3" s="1"/>
  <c r="D104" i="13"/>
  <c r="E101" i="13" s="1"/>
  <c r="E104" i="13" s="1"/>
  <c r="F101" i="13" s="1"/>
  <c r="F104" i="13" s="1"/>
  <c r="G101" i="13" s="1"/>
  <c r="BG34" i="3" l="1"/>
  <c r="BH29" i="3"/>
  <c r="E106" i="13"/>
  <c r="G104" i="13"/>
  <c r="H101" i="13" s="1"/>
  <c r="F106" i="13"/>
  <c r="D106" i="13"/>
  <c r="BH31" i="3" l="1"/>
  <c r="BH32" i="3" s="1"/>
  <c r="H104" i="13"/>
  <c r="I101" i="13" s="1"/>
  <c r="G106" i="13"/>
  <c r="BI29" i="3" l="1"/>
  <c r="BH34" i="3"/>
  <c r="I104" i="13"/>
  <c r="J101" i="13" s="1"/>
  <c r="H106" i="13"/>
  <c r="BI31" i="3" l="1"/>
  <c r="BI32" i="3" s="1"/>
  <c r="J104" i="13"/>
  <c r="K101" i="13" s="1"/>
  <c r="I106" i="13"/>
  <c r="BJ29" i="3" l="1"/>
  <c r="BI34" i="3"/>
  <c r="J106" i="13"/>
  <c r="K104" i="13"/>
  <c r="L101" i="13" s="1"/>
  <c r="BJ31" i="3" l="1"/>
  <c r="BJ32" i="3" s="1"/>
  <c r="L104" i="13"/>
  <c r="M101" i="13" s="1"/>
  <c r="K106" i="13"/>
  <c r="BK29" i="3" l="1"/>
  <c r="BJ34" i="3"/>
  <c r="M104" i="13"/>
  <c r="N101" i="13" s="1"/>
  <c r="L106" i="13"/>
  <c r="BK31" i="3" l="1"/>
  <c r="BK32" i="3" s="1"/>
  <c r="BL29" i="3" s="1"/>
  <c r="M106" i="13"/>
  <c r="N104" i="13"/>
  <c r="O101" i="13" s="1"/>
  <c r="BK34" i="3" l="1"/>
  <c r="O104" i="13"/>
  <c r="P101" i="13" s="1"/>
  <c r="N106" i="13"/>
  <c r="BL31" i="3" l="1"/>
  <c r="BL32" i="3" s="1"/>
  <c r="P104" i="13"/>
  <c r="Q101" i="13" s="1"/>
  <c r="O106" i="13"/>
  <c r="BL34" i="3" l="1"/>
  <c r="BM29" i="3"/>
  <c r="Q104" i="13"/>
  <c r="R101" i="13" s="1"/>
  <c r="P106" i="13"/>
  <c r="BM31" i="3" l="1"/>
  <c r="BM32" i="3" s="1"/>
  <c r="Q106" i="13"/>
  <c r="R104" i="13"/>
  <c r="S101" i="13" s="1"/>
  <c r="BN29" i="3" l="1"/>
  <c r="BM34" i="3"/>
  <c r="R106" i="13"/>
  <c r="S104" i="13"/>
  <c r="T101" i="13" s="1"/>
  <c r="BN31" i="3" l="1"/>
  <c r="BN32" i="3" s="1"/>
  <c r="T104" i="13"/>
  <c r="U101" i="13" s="1"/>
  <c r="S106" i="13"/>
  <c r="BO29" i="3" l="1"/>
  <c r="BN34" i="3"/>
  <c r="U104" i="13"/>
  <c r="V101" i="13" s="1"/>
  <c r="T106" i="13"/>
  <c r="BO31" i="3" l="1"/>
  <c r="BO32" i="3" s="1"/>
  <c r="V104" i="13"/>
  <c r="W101" i="13" s="1"/>
  <c r="U106" i="13"/>
  <c r="BO34" i="3" l="1"/>
  <c r="BP29" i="3"/>
  <c r="W104" i="13"/>
  <c r="X101" i="13" s="1"/>
  <c r="V106" i="13"/>
  <c r="BP31" i="3" l="1"/>
  <c r="BP32" i="3" s="1"/>
  <c r="X104" i="13"/>
  <c r="Y101" i="13" s="1"/>
  <c r="W106" i="13"/>
  <c r="BQ29" i="3" l="1"/>
  <c r="BP34" i="3"/>
  <c r="Y104" i="13"/>
  <c r="Z101" i="13" s="1"/>
  <c r="X106" i="13"/>
  <c r="BQ31" i="3" l="1"/>
  <c r="BQ32" i="3" s="1"/>
  <c r="Z104" i="13"/>
  <c r="AA101" i="13" s="1"/>
  <c r="Y106" i="13"/>
  <c r="BR29" i="3" l="1"/>
  <c r="BQ34" i="3"/>
  <c r="AA104" i="13"/>
  <c r="AB101" i="13" s="1"/>
  <c r="Z106" i="13"/>
  <c r="BR31" i="3" l="1"/>
  <c r="BR32" i="3" s="1"/>
  <c r="AB104" i="13"/>
  <c r="AC101" i="13" s="1"/>
  <c r="AA106" i="13"/>
  <c r="BR34" i="3" l="1"/>
  <c r="BS29" i="3"/>
  <c r="BS31" i="3" s="1"/>
  <c r="F105" i="5" s="1"/>
  <c r="AC104" i="13"/>
  <c r="AD101" i="13" s="1"/>
  <c r="AB106" i="13"/>
  <c r="AC106" i="13" l="1"/>
  <c r="AD104" i="13"/>
  <c r="AE101" i="13" s="1"/>
  <c r="AE104" i="13" l="1"/>
  <c r="AF101" i="13" s="1"/>
  <c r="AD106" i="13"/>
  <c r="AF104" i="13" l="1"/>
  <c r="AG101" i="13" s="1"/>
  <c r="AE106" i="13"/>
  <c r="AG104" i="13" l="1"/>
  <c r="AH101" i="13" s="1"/>
  <c r="AF106" i="13"/>
  <c r="AG106" i="13" l="1"/>
  <c r="AH104" i="13"/>
  <c r="AI101" i="13" s="1"/>
  <c r="AH106" i="13" l="1"/>
  <c r="AI104" i="13"/>
  <c r="AJ101" i="13" s="1"/>
  <c r="AJ104" i="13" l="1"/>
  <c r="AK101" i="13" s="1"/>
  <c r="AI106" i="13"/>
  <c r="AK104" i="13" l="1"/>
  <c r="AL101" i="13" s="1"/>
  <c r="AJ106" i="13"/>
  <c r="AL104" i="13" l="1"/>
  <c r="AM101" i="13" s="1"/>
  <c r="AK106" i="13"/>
  <c r="AM104" i="13" l="1"/>
  <c r="AN101" i="13" s="1"/>
  <c r="AL106" i="13"/>
  <c r="AN104" i="13" l="1"/>
  <c r="AO101" i="13" s="1"/>
  <c r="AM106" i="13"/>
  <c r="AO104" i="13" l="1"/>
  <c r="AP101" i="13" s="1"/>
  <c r="AN106" i="13"/>
  <c r="AP104" i="13" l="1"/>
  <c r="AQ101" i="13" s="1"/>
  <c r="AO106" i="13"/>
  <c r="AQ104" i="13" l="1"/>
  <c r="AR101" i="13" s="1"/>
  <c r="AP106" i="13"/>
  <c r="AR104" i="13" l="1"/>
  <c r="AS101" i="13" s="1"/>
  <c r="AQ106" i="13"/>
  <c r="AS104" i="13" l="1"/>
  <c r="AT101" i="13" s="1"/>
  <c r="AR106" i="13"/>
  <c r="AS106" i="13" l="1"/>
  <c r="AT104" i="13"/>
  <c r="AU101" i="13" s="1"/>
  <c r="AU104" i="13" l="1"/>
  <c r="AV101" i="13" s="1"/>
  <c r="AT106" i="13"/>
  <c r="AV104" i="13" l="1"/>
  <c r="AW101" i="13" s="1"/>
  <c r="AU106" i="13"/>
  <c r="AW104" i="13" l="1"/>
  <c r="AX101" i="13" s="1"/>
  <c r="AV106" i="13"/>
  <c r="AW106" i="13" l="1"/>
  <c r="AX104" i="13"/>
  <c r="AY101" i="13" s="1"/>
  <c r="AX106" i="13" l="1"/>
  <c r="AY104" i="13"/>
  <c r="AZ101" i="13" s="1"/>
  <c r="AZ104" i="13" l="1"/>
  <c r="BA101" i="13" s="1"/>
  <c r="AY106" i="13"/>
  <c r="BA104" i="13" l="1"/>
  <c r="BB101" i="13" s="1"/>
  <c r="AZ106" i="13"/>
  <c r="BB104" i="13" l="1"/>
  <c r="BC101" i="13" s="1"/>
  <c r="BA106" i="13"/>
  <c r="BC104" i="13" l="1"/>
  <c r="BD101" i="13" s="1"/>
  <c r="BB106" i="13"/>
  <c r="BD104" i="13" l="1"/>
  <c r="BE101" i="13" s="1"/>
  <c r="BC106" i="13"/>
  <c r="BE104" i="13" l="1"/>
  <c r="BF101" i="13" s="1"/>
  <c r="BD106" i="13"/>
  <c r="BF104" i="13" l="1"/>
  <c r="BG101" i="13" s="1"/>
  <c r="BE106" i="13"/>
  <c r="BG104" i="13" l="1"/>
  <c r="BH101" i="13" s="1"/>
  <c r="BF106" i="13"/>
  <c r="BH104" i="13" l="1"/>
  <c r="BI101" i="13" s="1"/>
  <c r="BG106" i="13"/>
  <c r="BI104" i="13" l="1"/>
  <c r="BJ101" i="13" s="1"/>
  <c r="BH106" i="13"/>
  <c r="BI106" i="13" l="1"/>
  <c r="BJ104" i="13"/>
  <c r="BK101" i="13" s="1"/>
  <c r="BK104" i="13" l="1"/>
  <c r="BL101" i="13" s="1"/>
  <c r="BJ106" i="13"/>
  <c r="BL104" i="13" l="1"/>
  <c r="BM101" i="13" s="1"/>
  <c r="BK106" i="13"/>
  <c r="BM104" i="13" l="1"/>
  <c r="BN101" i="13" s="1"/>
  <c r="BL106" i="13"/>
  <c r="BM106" i="13" l="1"/>
  <c r="BN104" i="13"/>
  <c r="BO101" i="13" s="1"/>
  <c r="BN106" i="13" l="1"/>
  <c r="BO104" i="13"/>
  <c r="BP101" i="13" s="1"/>
  <c r="BP104" i="13" l="1"/>
  <c r="BQ101" i="13" s="1"/>
  <c r="BO106" i="13"/>
  <c r="BQ104" i="13" l="1"/>
  <c r="BR101" i="13" s="1"/>
  <c r="BP106" i="13"/>
  <c r="BR104" i="13" l="1"/>
  <c r="BR106" i="13" s="1"/>
  <c r="BQ106" i="13"/>
  <c r="F87" i="4" l="1"/>
  <c r="F64" i="3" s="1"/>
  <c r="D26" i="3" l="1"/>
  <c r="D28" i="3" s="1"/>
  <c r="AA69" i="5"/>
  <c r="Z69" i="5"/>
  <c r="AB69" i="5"/>
  <c r="F241" i="12" l="1"/>
  <c r="G241" i="12"/>
  <c r="H241" i="12"/>
  <c r="I241" i="12"/>
  <c r="J241" i="12"/>
  <c r="K241" i="12"/>
  <c r="L241" i="12"/>
  <c r="M241" i="12"/>
  <c r="N241" i="12"/>
  <c r="O241" i="12"/>
  <c r="P241" i="12"/>
  <c r="Q241" i="12"/>
  <c r="R241" i="12"/>
  <c r="S241" i="12"/>
  <c r="T241" i="12"/>
  <c r="U241" i="12"/>
  <c r="V241" i="12"/>
  <c r="W241" i="12"/>
  <c r="H42" i="4" l="1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H47" i="4"/>
  <c r="I47" i="4"/>
  <c r="I65" i="3" s="1"/>
  <c r="J47" i="4"/>
  <c r="J65" i="3" s="1"/>
  <c r="K47" i="4"/>
  <c r="K65" i="3" s="1"/>
  <c r="L47" i="4"/>
  <c r="L65" i="3" s="1"/>
  <c r="M47" i="4"/>
  <c r="M65" i="3" s="1"/>
  <c r="N47" i="4"/>
  <c r="N65" i="3" s="1"/>
  <c r="O47" i="4"/>
  <c r="O65" i="3" s="1"/>
  <c r="P47" i="4"/>
  <c r="P65" i="3" s="1"/>
  <c r="Q47" i="4"/>
  <c r="Q65" i="3" s="1"/>
  <c r="R47" i="4"/>
  <c r="R65" i="3" s="1"/>
  <c r="S47" i="4"/>
  <c r="S65" i="3" s="1"/>
  <c r="T47" i="4"/>
  <c r="T65" i="3" s="1"/>
  <c r="U47" i="4"/>
  <c r="U65" i="3" s="1"/>
  <c r="V47" i="4"/>
  <c r="V65" i="3" s="1"/>
  <c r="W47" i="4"/>
  <c r="W65" i="3" s="1"/>
  <c r="X47" i="4"/>
  <c r="X65" i="3" s="1"/>
  <c r="Y47" i="4"/>
  <c r="Y65" i="3" s="1"/>
  <c r="Z47" i="4"/>
  <c r="Z65" i="3" s="1"/>
  <c r="AA47" i="4"/>
  <c r="AA65" i="3" s="1"/>
  <c r="AB47" i="4"/>
  <c r="AB65" i="3" s="1"/>
  <c r="H65" i="3" l="1"/>
  <c r="H49" i="4"/>
  <c r="I24" i="4"/>
  <c r="K24" i="4"/>
  <c r="M24" i="4"/>
  <c r="O24" i="4"/>
  <c r="Q24" i="4"/>
  <c r="S24" i="4"/>
  <c r="U24" i="4"/>
  <c r="W24" i="4"/>
  <c r="Y24" i="4"/>
  <c r="AA24" i="4"/>
  <c r="H24" i="4"/>
  <c r="J24" i="4"/>
  <c r="L24" i="4"/>
  <c r="N24" i="4"/>
  <c r="P24" i="4"/>
  <c r="R24" i="4"/>
  <c r="T24" i="4"/>
  <c r="V24" i="4"/>
  <c r="X24" i="4"/>
  <c r="Z24" i="4"/>
  <c r="AB24" i="4"/>
  <c r="J31" i="4"/>
  <c r="L31" i="4"/>
  <c r="N31" i="4"/>
  <c r="P31" i="4"/>
  <c r="R31" i="4"/>
  <c r="T31" i="4"/>
  <c r="V31" i="4"/>
  <c r="X31" i="4"/>
  <c r="Z31" i="4"/>
  <c r="AB31" i="4"/>
  <c r="I49" i="4"/>
  <c r="J49" i="4"/>
  <c r="K49" i="4"/>
  <c r="L49" i="4"/>
  <c r="M49" i="4"/>
  <c r="N49" i="4"/>
  <c r="O49" i="4"/>
  <c r="Q49" i="4"/>
  <c r="R49" i="4"/>
  <c r="S49" i="4"/>
  <c r="T49" i="4"/>
  <c r="U49" i="4"/>
  <c r="V49" i="4"/>
  <c r="W49" i="4"/>
  <c r="X49" i="4"/>
  <c r="Y49" i="4"/>
  <c r="Z49" i="4"/>
  <c r="AA49" i="4"/>
  <c r="AB49" i="4"/>
  <c r="P49" i="4"/>
  <c r="Y31" i="4" l="1"/>
  <c r="U31" i="4"/>
  <c r="Q31" i="4"/>
  <c r="M31" i="4"/>
  <c r="I31" i="4"/>
  <c r="AA31" i="4"/>
  <c r="W31" i="4"/>
  <c r="S31" i="4"/>
  <c r="O31" i="4"/>
  <c r="K31" i="4"/>
  <c r="F8" i="5"/>
  <c r="F11" i="5" s="1"/>
  <c r="F16" i="5" s="1"/>
  <c r="F20" i="5" s="1"/>
  <c r="F23" i="5" s="1"/>
  <c r="F100" i="5"/>
  <c r="F12" i="11"/>
  <c r="F17" i="11" s="1"/>
  <c r="F18" i="11" l="1"/>
  <c r="F85" i="5"/>
  <c r="F89" i="5" s="1"/>
  <c r="F9" i="9"/>
  <c r="F22" i="9" l="1"/>
  <c r="F12" i="9"/>
  <c r="F14" i="9" l="1"/>
  <c r="F15" i="9" l="1"/>
  <c r="F17" i="9" s="1"/>
  <c r="F18" i="9" l="1"/>
  <c r="F19" i="9" s="1"/>
  <c r="F20" i="9" s="1"/>
  <c r="F21" i="9" s="1"/>
  <c r="F16" i="9"/>
  <c r="F23" i="9" l="1"/>
  <c r="F24" i="9"/>
  <c r="F25" i="9" l="1"/>
  <c r="F29" i="9"/>
  <c r="F32" i="9" s="1"/>
  <c r="F28" i="9"/>
  <c r="F31" i="9" l="1"/>
  <c r="F34" i="9"/>
  <c r="F93" i="5" l="1"/>
  <c r="F94" i="5" s="1"/>
  <c r="F67" i="4"/>
  <c r="F71" i="4" s="1"/>
  <c r="F63" i="3" s="1"/>
  <c r="F66" i="3" s="1"/>
  <c r="F27" i="5"/>
  <c r="F61" i="5" s="1"/>
  <c r="F59" i="5" s="1"/>
  <c r="F9" i="11" l="1"/>
  <c r="F14" i="11" s="1"/>
  <c r="F20" i="11" s="1"/>
  <c r="F68" i="3"/>
  <c r="F70" i="3" l="1"/>
  <c r="F72" i="3" s="1"/>
  <c r="F62" i="5"/>
  <c r="F74" i="3" l="1"/>
  <c r="F76" i="3"/>
  <c r="F76" i="5" l="1"/>
  <c r="F37" i="5"/>
  <c r="F43" i="5" s="1"/>
  <c r="F69" i="5"/>
  <c r="F108" i="5"/>
  <c r="F78" i="5" l="1"/>
  <c r="F80" i="5" s="1"/>
  <c r="F244" i="12" l="1"/>
  <c r="F246" i="12" s="1"/>
  <c r="F191" i="12"/>
  <c r="F239" i="12" s="1"/>
  <c r="F193" i="12"/>
  <c r="E26" i="3"/>
  <c r="E27" i="3" s="1"/>
  <c r="F26" i="3"/>
  <c r="F28" i="3" s="1"/>
  <c r="G26" i="3"/>
  <c r="H26" i="3"/>
  <c r="H107" i="5"/>
  <c r="D4" i="17" l="1"/>
  <c r="E28" i="3"/>
  <c r="F27" i="3"/>
  <c r="G27" i="3" s="1"/>
  <c r="H27" i="3"/>
  <c r="G28" i="3"/>
  <c r="G34" i="3" s="1"/>
  <c r="H28" i="3" l="1"/>
  <c r="H34" i="3" s="1"/>
  <c r="X241" i="12"/>
  <c r="H41" i="5"/>
  <c r="H98" i="5" s="1"/>
  <c r="H42" i="5"/>
  <c r="I42" i="5" s="1"/>
  <c r="J42" i="5" s="1"/>
  <c r="F98" i="5"/>
  <c r="F101" i="5" s="1"/>
  <c r="F111" i="5" s="1"/>
  <c r="G98" i="5"/>
  <c r="F99" i="5"/>
  <c r="G99" i="5"/>
  <c r="F113" i="5" l="1"/>
  <c r="F51" i="5" s="1"/>
  <c r="I99" i="5"/>
  <c r="H99" i="5"/>
  <c r="I41" i="5"/>
  <c r="I98" i="5" s="1"/>
  <c r="K42" i="5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J99" i="5"/>
  <c r="F52" i="5" l="1"/>
  <c r="F56" i="5" s="1"/>
  <c r="G112" i="5"/>
  <c r="J41" i="5"/>
  <c r="J98" i="5"/>
  <c r="K41" i="5" l="1"/>
  <c r="K98" i="5"/>
  <c r="L41" i="5" l="1"/>
  <c r="L98" i="5"/>
  <c r="M41" i="5" l="1"/>
  <c r="M98" i="5"/>
  <c r="N41" i="5" l="1"/>
  <c r="N98" i="5"/>
  <c r="O41" i="5" l="1"/>
  <c r="O98" i="5"/>
  <c r="P41" i="5" l="1"/>
  <c r="P98" i="5"/>
  <c r="Q41" i="5" l="1"/>
  <c r="Q98" i="5"/>
  <c r="R41" i="5" l="1"/>
  <c r="R98" i="5"/>
  <c r="S41" i="5" l="1"/>
  <c r="S98" i="5"/>
  <c r="T41" i="5" l="1"/>
  <c r="T98" i="5"/>
  <c r="U41" i="5" l="1"/>
  <c r="U98" i="5"/>
  <c r="V41" i="5" l="1"/>
  <c r="F71" i="6"/>
  <c r="G66" i="6" s="1"/>
  <c r="G69" i="6" s="1"/>
  <c r="H65" i="6" s="1"/>
  <c r="G79" i="6"/>
  <c r="G81" i="6"/>
  <c r="G82" i="6"/>
  <c r="H78" i="6" s="1"/>
  <c r="H81" i="6" s="1"/>
  <c r="H82" i="6"/>
  <c r="I78" i="6" s="1"/>
  <c r="I81" i="6" s="1"/>
  <c r="F84" i="6"/>
  <c r="F71" i="16"/>
  <c r="G11" i="9"/>
  <c r="H11" i="9"/>
  <c r="I11" i="9"/>
  <c r="W41" i="5" l="1"/>
  <c r="W98" i="5"/>
  <c r="V98" i="5"/>
  <c r="I82" i="6"/>
  <c r="J78" i="6" s="1"/>
  <c r="H69" i="6"/>
  <c r="I65" i="6" s="1"/>
  <c r="H68" i="6"/>
  <c r="F84" i="16"/>
  <c r="X41" i="5" l="1"/>
  <c r="X98" i="5"/>
  <c r="I69" i="6"/>
  <c r="J65" i="6" s="1"/>
  <c r="I68" i="6"/>
  <c r="J81" i="6"/>
  <c r="J11" i="9" s="1"/>
  <c r="Y41" i="5" l="1"/>
  <c r="Y98" i="5"/>
  <c r="J82" i="6"/>
  <c r="K78" i="6" s="1"/>
  <c r="J69" i="6"/>
  <c r="K65" i="6" s="1"/>
  <c r="J68" i="6"/>
  <c r="Z41" i="5" l="1"/>
  <c r="Z98" i="5"/>
  <c r="K69" i="6"/>
  <c r="L65" i="6" s="1"/>
  <c r="K68" i="6"/>
  <c r="K81" i="6"/>
  <c r="K11" i="9" s="1"/>
  <c r="AA41" i="5" l="1"/>
  <c r="AB41" i="5" s="1"/>
  <c r="AB98" i="5" s="1"/>
  <c r="AA98" i="5"/>
  <c r="K82" i="6"/>
  <c r="L78" i="6" s="1"/>
  <c r="L69" i="6"/>
  <c r="M65" i="6" s="1"/>
  <c r="L68" i="6"/>
  <c r="M69" i="6" l="1"/>
  <c r="N65" i="6" s="1"/>
  <c r="M68" i="6"/>
  <c r="L81" i="6"/>
  <c r="L11" i="9" s="1"/>
  <c r="L82" i="6"/>
  <c r="M78" i="6" s="1"/>
  <c r="M81" i="6" l="1"/>
  <c r="M11" i="9" s="1"/>
  <c r="N69" i="6"/>
  <c r="O65" i="6" s="1"/>
  <c r="N68" i="6"/>
  <c r="O68" i="6" l="1"/>
  <c r="O69" i="6"/>
  <c r="P65" i="6" s="1"/>
  <c r="M82" i="6"/>
  <c r="N78" i="6" s="1"/>
  <c r="N81" i="6" l="1"/>
  <c r="N11" i="9" s="1"/>
  <c r="P68" i="6"/>
  <c r="P69" i="6"/>
  <c r="Q65" i="6" s="1"/>
  <c r="Q69" i="6" l="1"/>
  <c r="R65" i="6" s="1"/>
  <c r="Q68" i="6"/>
  <c r="N82" i="6"/>
  <c r="O78" i="6" s="1"/>
  <c r="O81" i="6" l="1"/>
  <c r="O11" i="9" s="1"/>
  <c r="R69" i="6"/>
  <c r="S65" i="6" s="1"/>
  <c r="R68" i="6"/>
  <c r="S69" i="6" l="1"/>
  <c r="T65" i="6" s="1"/>
  <c r="S68" i="6"/>
  <c r="O82" i="6"/>
  <c r="P78" i="6" s="1"/>
  <c r="P81" i="6" l="1"/>
  <c r="P11" i="9" s="1"/>
  <c r="T69" i="6"/>
  <c r="U65" i="6" s="1"/>
  <c r="T68" i="6"/>
  <c r="U69" i="6" l="1"/>
  <c r="V65" i="6" s="1"/>
  <c r="U68" i="6"/>
  <c r="P82" i="6"/>
  <c r="Q78" i="6" s="1"/>
  <c r="Q81" i="6" l="1"/>
  <c r="Q11" i="9" s="1"/>
  <c r="V69" i="6"/>
  <c r="W65" i="6" s="1"/>
  <c r="V68" i="6"/>
  <c r="W69" i="6" l="1"/>
  <c r="X65" i="6" s="1"/>
  <c r="W68" i="6"/>
  <c r="Q82" i="6"/>
  <c r="R78" i="6" s="1"/>
  <c r="R81" i="6" l="1"/>
  <c r="R11" i="9" s="1"/>
  <c r="X69" i="6"/>
  <c r="Y65" i="6" s="1"/>
  <c r="X68" i="6"/>
  <c r="Y69" i="6" l="1"/>
  <c r="Z65" i="6" s="1"/>
  <c r="Y68" i="6"/>
  <c r="R82" i="6"/>
  <c r="S78" i="6" s="1"/>
  <c r="S81" i="6" l="1"/>
  <c r="S11" i="9" s="1"/>
  <c r="Z69" i="6"/>
  <c r="AA65" i="6" s="1"/>
  <c r="Z68" i="6"/>
  <c r="AA68" i="6" l="1"/>
  <c r="AA69" i="6"/>
  <c r="AB65" i="6" s="1"/>
  <c r="S82" i="6"/>
  <c r="T78" i="6" s="1"/>
  <c r="T81" i="6" l="1"/>
  <c r="T11" i="9" s="1"/>
  <c r="T82" i="6"/>
  <c r="U78" i="6" s="1"/>
  <c r="AB68" i="6"/>
  <c r="AB69" i="6"/>
  <c r="U81" i="6" l="1"/>
  <c r="U11" i="9" s="1"/>
  <c r="U82" i="6" l="1"/>
  <c r="V78" i="6" s="1"/>
  <c r="V81" i="6" l="1"/>
  <c r="V11" i="9" s="1"/>
  <c r="V82" i="6" l="1"/>
  <c r="W78" i="6" s="1"/>
  <c r="W81" i="6" l="1"/>
  <c r="W11" i="9" s="1"/>
  <c r="W82" i="6"/>
  <c r="X78" i="6" s="1"/>
  <c r="X81" i="6" l="1"/>
  <c r="X11" i="9" s="1"/>
  <c r="X82" i="6"/>
  <c r="Y78" i="6" s="1"/>
  <c r="Y81" i="6" l="1"/>
  <c r="Y11" i="9" s="1"/>
  <c r="Y82" i="6" l="1"/>
  <c r="Z78" i="6" s="1"/>
  <c r="Z81" i="6" l="1"/>
  <c r="Z11" i="9" s="1"/>
  <c r="Z82" i="6" l="1"/>
  <c r="AA78" i="6" s="1"/>
  <c r="AA81" i="6" l="1"/>
  <c r="AA11" i="9" s="1"/>
  <c r="AA82" i="6" l="1"/>
  <c r="AB78" i="6" s="1"/>
  <c r="AB81" i="6" l="1"/>
  <c r="AB11" i="9" s="1"/>
  <c r="AB82" i="6" l="1"/>
  <c r="G12" i="11"/>
  <c r="G87" i="5"/>
  <c r="G106" i="5" s="1"/>
  <c r="G13" i="11"/>
  <c r="G88" i="5"/>
  <c r="G100" i="5" s="1"/>
  <c r="G37" i="5"/>
  <c r="G43" i="5" s="1"/>
  <c r="G96" i="5"/>
  <c r="G91" i="5"/>
  <c r="G101" i="5" l="1"/>
  <c r="G17" i="11"/>
  <c r="G18" i="11" s="1"/>
  <c r="G69" i="5"/>
  <c r="G105" i="5"/>
  <c r="G108" i="5" s="1"/>
  <c r="G104" i="5"/>
  <c r="G76" i="5"/>
  <c r="G92" i="5"/>
  <c r="G51" i="5"/>
  <c r="G52" i="5" s="1"/>
  <c r="H112" i="5"/>
  <c r="G78" i="5" l="1"/>
  <c r="G56" i="5"/>
  <c r="H87" i="4"/>
  <c r="H64" i="3" s="1"/>
  <c r="G87" i="4"/>
  <c r="G64" i="3" s="1"/>
  <c r="I87" i="4" l="1"/>
  <c r="I64" i="3" s="1"/>
  <c r="J87" i="4" l="1"/>
  <c r="J64" i="3" s="1"/>
  <c r="K87" i="4" l="1"/>
  <c r="K64" i="3" s="1"/>
  <c r="L87" i="4" l="1"/>
  <c r="L64" i="3" s="1"/>
  <c r="M87" i="4" l="1"/>
  <c r="M64" i="3" s="1"/>
  <c r="N87" i="4" l="1"/>
  <c r="N64" i="3" s="1"/>
  <c r="O87" i="4" l="1"/>
  <c r="O64" i="3" s="1"/>
  <c r="P87" i="4" l="1"/>
  <c r="P64" i="3" s="1"/>
  <c r="Q87" i="4" l="1"/>
  <c r="Q64" i="3" s="1"/>
  <c r="R87" i="4" l="1"/>
  <c r="R64" i="3" s="1"/>
  <c r="S87" i="4" l="1"/>
  <c r="S64" i="3" s="1"/>
  <c r="T87" i="4" l="1"/>
  <c r="T64" i="3" s="1"/>
  <c r="U87" i="4" l="1"/>
  <c r="U64" i="3" s="1"/>
  <c r="V87" i="4" l="1"/>
  <c r="V64" i="3" s="1"/>
  <c r="W87" i="4" l="1"/>
  <c r="W64" i="3" s="1"/>
  <c r="X87" i="4" l="1"/>
  <c r="X64" i="3" s="1"/>
  <c r="Y87" i="4" l="1"/>
  <c r="Y64" i="3" s="1"/>
  <c r="Z87" i="4" l="1"/>
  <c r="Z64" i="3" s="1"/>
  <c r="AA87" i="4" l="1"/>
  <c r="AA64" i="3" s="1"/>
  <c r="AB87" i="4" l="1"/>
  <c r="AB64" i="3" s="1"/>
  <c r="D34" i="12" l="1"/>
  <c r="L34" i="12"/>
  <c r="D35" i="12"/>
  <c r="L35" i="12"/>
  <c r="D36" i="12"/>
  <c r="L36" i="12"/>
  <c r="D59" i="12"/>
  <c r="D60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Y195" i="12"/>
  <c r="Z195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F204" i="12"/>
  <c r="G204" i="12"/>
  <c r="H204" i="12"/>
  <c r="I204" i="12"/>
  <c r="J204" i="12"/>
  <c r="K204" i="12"/>
  <c r="L204" i="12"/>
  <c r="M204" i="12"/>
  <c r="N204" i="12"/>
  <c r="O204" i="12"/>
  <c r="P204" i="12"/>
  <c r="Q204" i="12"/>
  <c r="R204" i="12"/>
  <c r="S204" i="12"/>
  <c r="T204" i="12"/>
  <c r="U204" i="12"/>
  <c r="V204" i="12"/>
  <c r="W204" i="12"/>
  <c r="X204" i="12"/>
  <c r="Y204" i="12"/>
  <c r="Z204" i="12"/>
  <c r="F205" i="12"/>
  <c r="G205" i="12"/>
  <c r="H205" i="12"/>
  <c r="I205" i="12"/>
  <c r="J205" i="12"/>
  <c r="K205" i="12"/>
  <c r="L205" i="12"/>
  <c r="M205" i="12"/>
  <c r="N205" i="12"/>
  <c r="O205" i="12"/>
  <c r="P205" i="12"/>
  <c r="Q205" i="12"/>
  <c r="R205" i="12"/>
  <c r="S205" i="12"/>
  <c r="T205" i="12"/>
  <c r="U205" i="12"/>
  <c r="V205" i="12"/>
  <c r="W205" i="12"/>
  <c r="X205" i="12"/>
  <c r="Y205" i="12"/>
  <c r="Z205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E210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S215" i="12"/>
  <c r="T215" i="12"/>
  <c r="U215" i="12"/>
  <c r="V215" i="12"/>
  <c r="W215" i="12"/>
  <c r="X215" i="12"/>
  <c r="Y215" i="12"/>
  <c r="Z215" i="12"/>
  <c r="S216" i="12"/>
  <c r="T216" i="12"/>
  <c r="U216" i="12"/>
  <c r="V216" i="12"/>
  <c r="W216" i="12"/>
  <c r="X216" i="12"/>
  <c r="Y216" i="12"/>
  <c r="Z216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Y218" i="12"/>
  <c r="Z218" i="12"/>
  <c r="F219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T220" i="12"/>
  <c r="U220" i="12"/>
  <c r="V220" i="12"/>
  <c r="W220" i="12"/>
  <c r="X220" i="12"/>
  <c r="Y220" i="12"/>
  <c r="Z220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Y221" i="12"/>
  <c r="Z221" i="12"/>
  <c r="E222" i="12"/>
  <c r="S222" i="12"/>
  <c r="T222" i="12"/>
  <c r="U222" i="12"/>
  <c r="V222" i="12"/>
  <c r="W222" i="12"/>
  <c r="X222" i="12"/>
  <c r="Y222" i="12"/>
  <c r="Z222" i="12"/>
  <c r="E223" i="12"/>
  <c r="S223" i="12"/>
  <c r="T223" i="12"/>
  <c r="U223" i="12"/>
  <c r="V223" i="12"/>
  <c r="W223" i="12"/>
  <c r="X223" i="12"/>
  <c r="Y223" i="12"/>
  <c r="Z223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T225" i="12"/>
  <c r="U225" i="12"/>
  <c r="V225" i="12"/>
  <c r="W225" i="12"/>
  <c r="X225" i="12"/>
  <c r="Y225" i="12"/>
  <c r="Z225" i="12"/>
  <c r="F227" i="12"/>
  <c r="G227" i="12"/>
  <c r="H227" i="12"/>
  <c r="I227" i="12"/>
  <c r="J227" i="12"/>
  <c r="K227" i="12"/>
  <c r="L227" i="12"/>
  <c r="M227" i="12"/>
  <c r="N227" i="12"/>
  <c r="O227" i="12"/>
  <c r="P227" i="12"/>
  <c r="Q227" i="12"/>
  <c r="R227" i="12"/>
  <c r="S227" i="12"/>
  <c r="T227" i="12"/>
  <c r="U227" i="12"/>
  <c r="V227" i="12"/>
  <c r="W227" i="12"/>
  <c r="X227" i="12"/>
  <c r="Y227" i="12"/>
  <c r="Z227" i="12"/>
  <c r="F228" i="12"/>
  <c r="G228" i="12"/>
  <c r="H228" i="12"/>
  <c r="I228" i="12"/>
  <c r="J228" i="12"/>
  <c r="K228" i="12"/>
  <c r="L228" i="12"/>
  <c r="M228" i="12"/>
  <c r="N228" i="12"/>
  <c r="O228" i="12"/>
  <c r="P228" i="12"/>
  <c r="Q228" i="12"/>
  <c r="R228" i="12"/>
  <c r="S228" i="12"/>
  <c r="T228" i="12"/>
  <c r="U228" i="12"/>
  <c r="V228" i="12"/>
  <c r="W228" i="12"/>
  <c r="X228" i="12"/>
  <c r="Y228" i="12"/>
  <c r="Z228" i="12"/>
  <c r="F229" i="12"/>
  <c r="G229" i="12"/>
  <c r="H229" i="12"/>
  <c r="I229" i="12"/>
  <c r="J229" i="12"/>
  <c r="K229" i="12"/>
  <c r="L229" i="12"/>
  <c r="M229" i="12"/>
  <c r="N229" i="12"/>
  <c r="O229" i="12"/>
  <c r="P229" i="12"/>
  <c r="Q229" i="12"/>
  <c r="R229" i="12"/>
  <c r="S229" i="12"/>
  <c r="T229" i="12"/>
  <c r="U229" i="12"/>
  <c r="V229" i="12"/>
  <c r="W229" i="12"/>
  <c r="X229" i="12"/>
  <c r="Y229" i="12"/>
  <c r="Z229" i="12"/>
  <c r="F233" i="12"/>
  <c r="G233" i="12"/>
  <c r="H233" i="12"/>
  <c r="I233" i="12"/>
  <c r="J233" i="12"/>
  <c r="K233" i="12"/>
  <c r="L233" i="12"/>
  <c r="M233" i="12"/>
  <c r="N233" i="12"/>
  <c r="O233" i="12"/>
  <c r="P233" i="12"/>
  <c r="Q233" i="12"/>
  <c r="R233" i="12"/>
  <c r="S233" i="12"/>
  <c r="T233" i="12"/>
  <c r="U233" i="12"/>
  <c r="V233" i="12"/>
  <c r="W233" i="12"/>
  <c r="X233" i="12"/>
  <c r="Y233" i="12"/>
  <c r="Z233" i="12"/>
  <c r="G239" i="12"/>
  <c r="H239" i="12"/>
  <c r="I239" i="12"/>
  <c r="J239" i="12"/>
  <c r="K239" i="12"/>
  <c r="L239" i="12"/>
  <c r="M239" i="12"/>
  <c r="N239" i="12"/>
  <c r="O239" i="12"/>
  <c r="P239" i="12"/>
  <c r="Q239" i="12"/>
  <c r="R239" i="12"/>
  <c r="S239" i="12"/>
  <c r="T239" i="12"/>
  <c r="U239" i="12"/>
  <c r="V239" i="12"/>
  <c r="W239" i="12"/>
  <c r="X239" i="12"/>
  <c r="F240" i="12"/>
  <c r="G240" i="12"/>
  <c r="H240" i="12"/>
  <c r="I240" i="12"/>
  <c r="J240" i="12"/>
  <c r="K240" i="12"/>
  <c r="L240" i="12"/>
  <c r="M240" i="12"/>
  <c r="N240" i="12"/>
  <c r="O240" i="12"/>
  <c r="P240" i="12"/>
  <c r="Q240" i="12"/>
  <c r="R240" i="12"/>
  <c r="S240" i="12"/>
  <c r="T240" i="12"/>
  <c r="U240" i="12"/>
  <c r="V240" i="12"/>
  <c r="W240" i="12"/>
  <c r="X240" i="12"/>
  <c r="Y240" i="12"/>
  <c r="Z240" i="12"/>
  <c r="F242" i="12"/>
  <c r="G242" i="12"/>
  <c r="H242" i="12"/>
  <c r="I242" i="12"/>
  <c r="J242" i="12"/>
  <c r="K242" i="12"/>
  <c r="L242" i="12"/>
  <c r="M242" i="12"/>
  <c r="N242" i="12"/>
  <c r="O242" i="12"/>
  <c r="P242" i="12"/>
  <c r="Q242" i="12"/>
  <c r="R242" i="12"/>
  <c r="S242" i="12"/>
  <c r="T242" i="12"/>
  <c r="U242" i="12"/>
  <c r="V242" i="12"/>
  <c r="W242" i="12"/>
  <c r="X242" i="12"/>
  <c r="Y242" i="12"/>
  <c r="Z242" i="12"/>
  <c r="F243" i="12"/>
  <c r="G243" i="12"/>
  <c r="H243" i="12"/>
  <c r="I243" i="12"/>
  <c r="J243" i="12"/>
  <c r="K243" i="12"/>
  <c r="L243" i="12"/>
  <c r="M243" i="12"/>
  <c r="N243" i="12"/>
  <c r="O243" i="12"/>
  <c r="P243" i="12"/>
  <c r="Q243" i="12"/>
  <c r="R243" i="12"/>
  <c r="S243" i="12"/>
  <c r="T243" i="12"/>
  <c r="U243" i="12"/>
  <c r="V243" i="12"/>
  <c r="W243" i="12"/>
  <c r="X243" i="12"/>
  <c r="Y243" i="12"/>
  <c r="Z243" i="12"/>
  <c r="G244" i="12"/>
  <c r="H244" i="12"/>
  <c r="I244" i="12"/>
  <c r="J244" i="12"/>
  <c r="K244" i="12"/>
  <c r="L244" i="12"/>
  <c r="M244" i="12"/>
  <c r="N244" i="12"/>
  <c r="O244" i="12"/>
  <c r="P244" i="12"/>
  <c r="Q244" i="12"/>
  <c r="R244" i="12"/>
  <c r="S244" i="12"/>
  <c r="T244" i="12"/>
  <c r="U244" i="12"/>
  <c r="V244" i="12"/>
  <c r="W244" i="12"/>
  <c r="X244" i="12"/>
  <c r="Y244" i="12"/>
  <c r="Z244" i="12"/>
  <c r="G246" i="12"/>
  <c r="H246" i="12"/>
  <c r="I246" i="12"/>
  <c r="J246" i="12"/>
  <c r="K246" i="12"/>
  <c r="L246" i="12"/>
  <c r="M246" i="12"/>
  <c r="N246" i="12"/>
  <c r="O246" i="12"/>
  <c r="P246" i="12"/>
  <c r="Q246" i="12"/>
  <c r="R246" i="12"/>
  <c r="S246" i="12"/>
  <c r="T246" i="12"/>
  <c r="U246" i="12"/>
  <c r="V246" i="12"/>
  <c r="W246" i="12"/>
  <c r="X246" i="12"/>
  <c r="Y246" i="12"/>
  <c r="Z246" i="12"/>
  <c r="C14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D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C40" i="13"/>
  <c r="C41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B85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B87" i="13"/>
  <c r="BC87" i="13"/>
  <c r="BD87" i="13"/>
  <c r="BE87" i="13"/>
  <c r="BF87" i="13"/>
  <c r="BG87" i="13"/>
  <c r="BH87" i="13"/>
  <c r="BI87" i="13"/>
  <c r="BJ87" i="13"/>
  <c r="BK87" i="13"/>
  <c r="BL87" i="13"/>
  <c r="BM87" i="13"/>
  <c r="BN87" i="13"/>
  <c r="BO87" i="13"/>
  <c r="BP87" i="13"/>
  <c r="BQ87" i="13"/>
  <c r="BR87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B89" i="13"/>
  <c r="BC89" i="13"/>
  <c r="BD89" i="13"/>
  <c r="BE89" i="13"/>
  <c r="BF89" i="13"/>
  <c r="BG89" i="13"/>
  <c r="BH89" i="13"/>
  <c r="BI89" i="13"/>
  <c r="BJ89" i="13"/>
  <c r="BK89" i="13"/>
  <c r="BL89" i="13"/>
  <c r="BM89" i="13"/>
  <c r="BN89" i="13"/>
  <c r="BO89" i="13"/>
  <c r="BP89" i="13"/>
  <c r="BQ89" i="13"/>
  <c r="BR89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B90" i="13"/>
  <c r="BC90" i="13"/>
  <c r="BD90" i="13"/>
  <c r="BE90" i="13"/>
  <c r="BF90" i="13"/>
  <c r="BG90" i="13"/>
  <c r="BH90" i="13"/>
  <c r="BI90" i="13"/>
  <c r="BJ90" i="13"/>
  <c r="BK90" i="13"/>
  <c r="BL90" i="13"/>
  <c r="BM90" i="13"/>
  <c r="BN90" i="13"/>
  <c r="BO90" i="13"/>
  <c r="BP90" i="13"/>
  <c r="BQ90" i="13"/>
  <c r="BR90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B92" i="13"/>
  <c r="BC92" i="13"/>
  <c r="BD92" i="13"/>
  <c r="BE92" i="13"/>
  <c r="BF92" i="13"/>
  <c r="BG92" i="13"/>
  <c r="BH92" i="13"/>
  <c r="BI92" i="13"/>
  <c r="BJ92" i="13"/>
  <c r="BK92" i="13"/>
  <c r="BL92" i="13"/>
  <c r="BM92" i="13"/>
  <c r="BN92" i="13"/>
  <c r="BO92" i="13"/>
  <c r="BP92" i="13"/>
  <c r="BQ92" i="13"/>
  <c r="BR92" i="13"/>
  <c r="I26" i="3"/>
  <c r="J26" i="3"/>
  <c r="K26" i="3"/>
  <c r="L26" i="3"/>
  <c r="M26" i="3"/>
  <c r="N26" i="3"/>
  <c r="O26" i="3"/>
  <c r="P26" i="3"/>
  <c r="Q26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H35" i="5"/>
  <c r="I35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H105" i="5"/>
  <c r="I105" i="5"/>
  <c r="J105" i="5"/>
  <c r="K105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G71" i="6"/>
  <c r="G84" i="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W65" i="16"/>
  <c r="X65" i="16"/>
  <c r="Y65" i="16"/>
  <c r="Z65" i="16"/>
  <c r="AA65" i="16"/>
  <c r="AB65" i="16"/>
  <c r="G66" i="16"/>
  <c r="H66" i="16"/>
  <c r="I66" i="16"/>
  <c r="H68" i="16"/>
  <c r="I68" i="16"/>
  <c r="J68" i="16"/>
  <c r="K68" i="16"/>
  <c r="L68" i="16"/>
  <c r="M68" i="16"/>
  <c r="N68" i="16"/>
  <c r="O68" i="16"/>
  <c r="P68" i="16"/>
  <c r="Q68" i="16"/>
  <c r="R68" i="16"/>
  <c r="S68" i="16"/>
  <c r="T68" i="16"/>
  <c r="U68" i="16"/>
  <c r="V68" i="16"/>
  <c r="W68" i="16"/>
  <c r="X68" i="16"/>
  <c r="Y68" i="16"/>
  <c r="Z68" i="16"/>
  <c r="AA68" i="16"/>
  <c r="AB68" i="16"/>
  <c r="G69" i="16"/>
  <c r="H69" i="16"/>
  <c r="I69" i="16"/>
  <c r="J69" i="16"/>
  <c r="K69" i="16"/>
  <c r="L69" i="16"/>
  <c r="M69" i="16"/>
  <c r="N69" i="16"/>
  <c r="O69" i="16"/>
  <c r="P69" i="16"/>
  <c r="Q69" i="16"/>
  <c r="R69" i="16"/>
  <c r="S69" i="16"/>
  <c r="T69" i="16"/>
  <c r="U69" i="16"/>
  <c r="V69" i="16"/>
  <c r="W69" i="16"/>
  <c r="X69" i="16"/>
  <c r="Y69" i="16"/>
  <c r="Z69" i="16"/>
  <c r="AA69" i="16"/>
  <c r="AB69" i="16"/>
  <c r="G71" i="16"/>
  <c r="H71" i="16"/>
  <c r="I71" i="16"/>
  <c r="H78" i="16"/>
  <c r="I78" i="16"/>
  <c r="J78" i="16"/>
  <c r="K78" i="16"/>
  <c r="L78" i="16"/>
  <c r="M78" i="16"/>
  <c r="N78" i="16"/>
  <c r="O78" i="16"/>
  <c r="P78" i="16"/>
  <c r="Q78" i="16"/>
  <c r="R78" i="16"/>
  <c r="S78" i="16"/>
  <c r="T78" i="16"/>
  <c r="U78" i="16"/>
  <c r="V78" i="16"/>
  <c r="W78" i="16"/>
  <c r="X78" i="16"/>
  <c r="Y78" i="16"/>
  <c r="Z78" i="16"/>
  <c r="AA78" i="16"/>
  <c r="AB78" i="16"/>
  <c r="G79" i="16"/>
  <c r="H79" i="16"/>
  <c r="I79" i="16"/>
  <c r="G81" i="16"/>
  <c r="H81" i="16"/>
  <c r="I81" i="16"/>
  <c r="J81" i="16"/>
  <c r="K81" i="16"/>
  <c r="L81" i="16"/>
  <c r="M81" i="16"/>
  <c r="N81" i="16"/>
  <c r="O81" i="16"/>
  <c r="P81" i="16"/>
  <c r="Q81" i="16"/>
  <c r="R81" i="16"/>
  <c r="S81" i="16"/>
  <c r="T81" i="16"/>
  <c r="U81" i="16"/>
  <c r="V81" i="16"/>
  <c r="W81" i="16"/>
  <c r="X81" i="16"/>
  <c r="Y81" i="16"/>
  <c r="Z81" i="16"/>
  <c r="AA81" i="16"/>
  <c r="AB81" i="16"/>
  <c r="G82" i="16"/>
  <c r="H82" i="16"/>
  <c r="I82" i="16"/>
  <c r="J82" i="16"/>
  <c r="K82" i="16"/>
  <c r="L82" i="16"/>
  <c r="M82" i="16"/>
  <c r="N82" i="16"/>
  <c r="O82" i="16"/>
  <c r="P82" i="16"/>
  <c r="Q82" i="16"/>
  <c r="R82" i="16"/>
  <c r="S82" i="16"/>
  <c r="T82" i="16"/>
  <c r="U82" i="16"/>
  <c r="V82" i="16"/>
  <c r="W82" i="16"/>
  <c r="X82" i="16"/>
  <c r="Y82" i="16"/>
  <c r="Z82" i="16"/>
  <c r="AA82" i="16"/>
  <c r="AB82" i="16"/>
  <c r="G84" i="16"/>
  <c r="H84" i="16"/>
  <c r="I84" i="16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B20" i="11"/>
  <c r="D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C23" i="14"/>
  <c r="C27" i="14"/>
  <c r="D54" i="14"/>
  <c r="B4" i="17"/>
  <c r="C4" i="17"/>
  <c r="E4" i="17"/>
  <c r="F4" i="17"/>
  <c r="G4" i="17"/>
  <c r="H4" i="17"/>
  <c r="B5" i="17"/>
  <c r="C5" i="17"/>
  <c r="D5" i="17"/>
  <c r="E5" i="17"/>
  <c r="F5" i="17"/>
  <c r="G5" i="17"/>
  <c r="H5" i="17"/>
  <c r="B6" i="17"/>
  <c r="C6" i="17"/>
  <c r="D6" i="17"/>
  <c r="E6" i="17"/>
  <c r="F6" i="17"/>
  <c r="G6" i="17"/>
  <c r="H6" i="17"/>
  <c r="B7" i="17"/>
  <c r="C7" i="17"/>
  <c r="D7" i="17"/>
  <c r="E7" i="17"/>
  <c r="F7" i="17"/>
  <c r="G7" i="17"/>
  <c r="H7" i="17"/>
  <c r="B8" i="17"/>
  <c r="C8" i="17"/>
  <c r="D8" i="17"/>
  <c r="E8" i="17"/>
  <c r="F8" i="17"/>
  <c r="G8" i="17"/>
  <c r="H8" i="17"/>
  <c r="B9" i="17"/>
  <c r="C9" i="17"/>
  <c r="D9" i="17"/>
  <c r="E9" i="17"/>
  <c r="F9" i="17"/>
  <c r="G9" i="17"/>
  <c r="H9" i="17"/>
  <c r="B10" i="17"/>
  <c r="C10" i="17"/>
  <c r="D10" i="17"/>
  <c r="E10" i="17"/>
  <c r="F10" i="17"/>
  <c r="G10" i="17"/>
  <c r="H10" i="17"/>
  <c r="B11" i="17"/>
  <c r="C11" i="17"/>
  <c r="D11" i="17"/>
  <c r="E11" i="17"/>
  <c r="F11" i="17"/>
  <c r="G11" i="17"/>
  <c r="H11" i="17"/>
  <c r="B12" i="17"/>
  <c r="C12" i="17"/>
  <c r="D12" i="17"/>
  <c r="E12" i="17"/>
  <c r="F12" i="17"/>
  <c r="G12" i="17"/>
  <c r="H12" i="17"/>
  <c r="B13" i="17"/>
  <c r="C13" i="17"/>
  <c r="D13" i="17"/>
  <c r="E13" i="17"/>
  <c r="F13" i="17"/>
  <c r="G13" i="17"/>
  <c r="H13" i="17"/>
  <c r="B14" i="17"/>
  <c r="C14" i="17"/>
  <c r="D14" i="17"/>
  <c r="E14" i="17"/>
  <c r="F14" i="17"/>
  <c r="G14" i="17"/>
  <c r="H14" i="17"/>
  <c r="B15" i="17"/>
  <c r="C15" i="17"/>
  <c r="D15" i="17"/>
  <c r="E15" i="17"/>
  <c r="F15" i="17"/>
  <c r="G15" i="17"/>
  <c r="H15" i="17"/>
  <c r="B16" i="17"/>
  <c r="C16" i="17"/>
  <c r="D16" i="17"/>
  <c r="E16" i="17"/>
  <c r="F16" i="17"/>
  <c r="G16" i="17"/>
  <c r="H16" i="17"/>
  <c r="B17" i="17"/>
  <c r="C17" i="17"/>
  <c r="D17" i="17"/>
  <c r="E17" i="17"/>
  <c r="F17" i="17"/>
  <c r="G17" i="17"/>
  <c r="H17" i="17"/>
  <c r="B18" i="17"/>
  <c r="C18" i="17"/>
  <c r="D18" i="17"/>
  <c r="E18" i="17"/>
  <c r="F18" i="17"/>
  <c r="G18" i="17"/>
  <c r="H18" i="17"/>
  <c r="G19" i="17"/>
  <c r="G20" i="17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</calcChain>
</file>

<file path=xl/comments1.xml><?xml version="1.0" encoding="utf-8"?>
<comments xmlns="http://schemas.openxmlformats.org/spreadsheetml/2006/main">
  <authors>
    <author>Lenovo</author>
  </authors>
  <commentList>
    <comment ref="K66" authorId="0">
      <text>
        <r>
          <rPr>
            <sz val="8"/>
            <color indexed="81"/>
            <rFont val="Times New Roman"/>
            <family val="1"/>
          </rPr>
          <t>Wt. Avg. Rate of FY 2017-18</t>
        </r>
      </text>
    </comment>
  </commentList>
</comments>
</file>

<file path=xl/sharedStrings.xml><?xml version="1.0" encoding="utf-8"?>
<sst xmlns="http://schemas.openxmlformats.org/spreadsheetml/2006/main" count="1407" uniqueCount="736">
  <si>
    <t>Particulars</t>
  </si>
  <si>
    <t>Basic Cost/Tonne</t>
  </si>
  <si>
    <t>Royalty - Variable</t>
  </si>
  <si>
    <t>Evacuation Facility Charges</t>
  </si>
  <si>
    <t>Sizing Charges</t>
  </si>
  <si>
    <t>S.T.C.(57 for 3 to 10 km 116 for&gt;20 km)</t>
  </si>
  <si>
    <t xml:space="preserve">Terminal Tax / Niryat Kar </t>
  </si>
  <si>
    <t>C.G.Dev. Tax / Vikas Upkar</t>
  </si>
  <si>
    <t>C.G.Env.Tax / Paryavaran Upkar</t>
  </si>
  <si>
    <t>Sub Total (Value for GST)</t>
  </si>
  <si>
    <t>GST</t>
  </si>
  <si>
    <t>State Compensation Cess</t>
  </si>
  <si>
    <t>Total Coal Cost</t>
  </si>
  <si>
    <t>Rail Transportation</t>
  </si>
  <si>
    <t>Frieght/Tonne</t>
  </si>
  <si>
    <t>Total Rail Freight</t>
  </si>
  <si>
    <t>Handling Charges</t>
  </si>
  <si>
    <t>Road Freight</t>
  </si>
  <si>
    <t>Total Road Freight</t>
  </si>
  <si>
    <t>Transportation Cost</t>
  </si>
  <si>
    <t>Lnaded Cost of Coal Transported Rail</t>
  </si>
  <si>
    <t>Linkage Coal under New Bidding at Premium</t>
  </si>
  <si>
    <t>Bidding Premium</t>
  </si>
  <si>
    <t>Special E-Auction</t>
  </si>
  <si>
    <t>Special E-Auction Premium</t>
  </si>
  <si>
    <t>Spot Auction</t>
  </si>
  <si>
    <t>Spot Auction Premium</t>
  </si>
  <si>
    <t>GCV</t>
  </si>
  <si>
    <t>Cost per GCV</t>
  </si>
  <si>
    <t>DB Power Ltd.</t>
  </si>
  <si>
    <t>Schedules For Fuel Cost</t>
  </si>
  <si>
    <t>End of Sheet</t>
  </si>
  <si>
    <t>Schedules For Revenue</t>
  </si>
  <si>
    <t>Tamil Nadu PPA</t>
  </si>
  <si>
    <t>Rajasthan PPA</t>
  </si>
  <si>
    <t>Non Escalable Capacity Charges</t>
  </si>
  <si>
    <t>Non Escalable Energy Charges</t>
  </si>
  <si>
    <t>Escalable Energy</t>
  </si>
  <si>
    <t>Escalable Transportation</t>
  </si>
  <si>
    <t>Change In Law</t>
  </si>
  <si>
    <t>Total Tamil Nadu Revenue (Rs. Crs.)</t>
  </si>
  <si>
    <t>Supply Under PPA (MUs)</t>
  </si>
  <si>
    <t>Tariff (Rs./kWh)</t>
  </si>
  <si>
    <t>Tariff Before Change in Law (Rs./kWh)</t>
  </si>
  <si>
    <t>Less: PTC Commission</t>
  </si>
  <si>
    <t>New PPA Tolling</t>
  </si>
  <si>
    <t>Margin</t>
  </si>
  <si>
    <t>SHR</t>
  </si>
  <si>
    <t>Auxiliary Consumption</t>
  </si>
  <si>
    <t>Cost per Unit (Rs./kWh)</t>
  </si>
  <si>
    <t>Total Rajasthan Revenue (Rs. Crs.)</t>
  </si>
  <si>
    <t>Total Tolling PPA Revenue (Rs. Crs.)</t>
  </si>
  <si>
    <t>PLF</t>
  </si>
  <si>
    <t>Gross Generation</t>
  </si>
  <si>
    <t>Net Generation</t>
  </si>
  <si>
    <t>New PPA</t>
  </si>
  <si>
    <t>Variable Cost</t>
  </si>
  <si>
    <t>Capacity Charges</t>
  </si>
  <si>
    <t>Merchant /Short Term PPA</t>
  </si>
  <si>
    <t>Balance for Merchant /Short Term</t>
  </si>
  <si>
    <t>Total Revenue (Rs. Crs.)</t>
  </si>
  <si>
    <t>Schedules For Variable and O&amp;M Cost</t>
  </si>
  <si>
    <t>Variable Cost - Linkage Coal</t>
  </si>
  <si>
    <t>FSA</t>
  </si>
  <si>
    <t>PPA Tie-up</t>
  </si>
  <si>
    <t>Chhattisgarh PPA</t>
  </si>
  <si>
    <t>Supply Under Chhattisgarh PPA</t>
  </si>
  <si>
    <t>Coal Available</t>
  </si>
  <si>
    <t>Linkage Coal GCV</t>
  </si>
  <si>
    <t>Units Generation from Linkage</t>
  </si>
  <si>
    <t>Linkage Cost per ton (Rs./Ton)</t>
  </si>
  <si>
    <t>Linkage Coal Cost (Rs. Crs.)</t>
  </si>
  <si>
    <t>Variable Cost - Tolling Coal</t>
  </si>
  <si>
    <t>Unit Supplied Under PPA</t>
  </si>
  <si>
    <t>Coal Requirement</t>
  </si>
  <si>
    <t>Coal GCV</t>
  </si>
  <si>
    <t>Linkage Coal Costing / Tolling</t>
  </si>
  <si>
    <t>MTPA</t>
  </si>
  <si>
    <t>Variable Cost - Bidding Premium New -PPA</t>
  </si>
  <si>
    <t>Variable Cost - Auction Coal</t>
  </si>
  <si>
    <t>Unit Supplied Gross Generation</t>
  </si>
  <si>
    <t>Special Forward E-Auction</t>
  </si>
  <si>
    <t>Wt. Avg. Cost</t>
  </si>
  <si>
    <t>Auction Coal Cost (Rs. Crs.)</t>
  </si>
  <si>
    <t>Bidding Coal Cost (Rs. Crs.)</t>
  </si>
  <si>
    <t>Tolling Coal Cost (Rs. Crs.)</t>
  </si>
  <si>
    <t>Total Coal Cost (Rs. Crs.)</t>
  </si>
  <si>
    <t>Operation &amp; Maintance Cost</t>
  </si>
  <si>
    <t>Water Charges</t>
  </si>
  <si>
    <t>Water Consumption</t>
  </si>
  <si>
    <t>% Utilisation</t>
  </si>
  <si>
    <t>Water Rate</t>
  </si>
  <si>
    <t>MCM</t>
  </si>
  <si>
    <t>Electricity Duty</t>
  </si>
  <si>
    <t>% of Aux. Consumption</t>
  </si>
  <si>
    <t>Fly Ash Disposal</t>
  </si>
  <si>
    <t>Coal Consumption</t>
  </si>
  <si>
    <t>Coal Cost (Rs./kWh)</t>
  </si>
  <si>
    <t>Ash Generation</t>
  </si>
  <si>
    <t>Fly Ash</t>
  </si>
  <si>
    <t>Secondary Fuel</t>
  </si>
  <si>
    <t>Oil Consumption per Unit</t>
  </si>
  <si>
    <t>Total Oil Consumption</t>
  </si>
  <si>
    <t>Oil Rate (Rs./KL)</t>
  </si>
  <si>
    <t>Other O&amp;M Cost</t>
  </si>
  <si>
    <t>Project Capacity</t>
  </si>
  <si>
    <t>O&amp;M Cost per MW</t>
  </si>
  <si>
    <t>O&amp;M Cost (Rs. /kWh)</t>
  </si>
  <si>
    <t>Total O&amp;M Cost (Rs. Crs.)</t>
  </si>
  <si>
    <t>Other O&amp;M Cost (Rs. Crs.)</t>
  </si>
  <si>
    <t>Secondary Fuel (Rs. Crs.)</t>
  </si>
  <si>
    <t>Fly Ash Disposal (Rs. Crs.)</t>
  </si>
  <si>
    <t>Electricity Duty (Rs. Crs.)</t>
  </si>
  <si>
    <t>Water Charges (Rs. Crs.)</t>
  </si>
  <si>
    <t>Schedules For Debt &amp; Finance Cost</t>
  </si>
  <si>
    <t>Phase I Schedule</t>
  </si>
  <si>
    <t>Opening Balance</t>
  </si>
  <si>
    <t>Disbursement</t>
  </si>
  <si>
    <t>Repayment</t>
  </si>
  <si>
    <t>Closing Balance</t>
  </si>
  <si>
    <t>Phase II Schedule</t>
  </si>
  <si>
    <t>Total Interest Cost</t>
  </si>
  <si>
    <t>Term Loan Schedule</t>
  </si>
  <si>
    <t>Schedules For Financial Statements</t>
  </si>
  <si>
    <t>Profit &amp; Loss Statement</t>
  </si>
  <si>
    <t>Sales Revenue</t>
  </si>
  <si>
    <t>Other Income</t>
  </si>
  <si>
    <t>Total Revenue</t>
  </si>
  <si>
    <t>Coal Cost</t>
  </si>
  <si>
    <t>O&amp;M Cost</t>
  </si>
  <si>
    <t>Operating Profit</t>
  </si>
  <si>
    <t>Finance Cost - Term Loan</t>
  </si>
  <si>
    <t>Profit Before Dep. &amp; Tax</t>
  </si>
  <si>
    <t>Depreciation</t>
  </si>
  <si>
    <t>Profit Before Tax</t>
  </si>
  <si>
    <t>Tax</t>
  </si>
  <si>
    <t>Profit After Tax</t>
  </si>
  <si>
    <t>Balance Sheet</t>
  </si>
  <si>
    <t>Property Plant &amp; Equipments</t>
  </si>
  <si>
    <t>Less: Depreciation</t>
  </si>
  <si>
    <t>Capital Work in Progress</t>
  </si>
  <si>
    <t>Net PPE including CWIP</t>
  </si>
  <si>
    <t>Intangible Assets</t>
  </si>
  <si>
    <t>Other Non Current Asset - Project</t>
  </si>
  <si>
    <t>Other Non Current Asset - Operation</t>
  </si>
  <si>
    <t>Non Current Assets</t>
  </si>
  <si>
    <t>Current Assets</t>
  </si>
  <si>
    <t>Inventory</t>
  </si>
  <si>
    <t>Trade Receivable</t>
  </si>
  <si>
    <t>Inventory including Coal Advance</t>
  </si>
  <si>
    <t>Other Current Asset - Operation</t>
  </si>
  <si>
    <t>Other Current Asset - Project</t>
  </si>
  <si>
    <t>Cash / Bank Balance</t>
  </si>
  <si>
    <t>Totall Current Assets</t>
  </si>
  <si>
    <t>Assets Held for Sale</t>
  </si>
  <si>
    <t>Total Assets</t>
  </si>
  <si>
    <t>ASSETS</t>
  </si>
  <si>
    <t>EQUITY &amp; LIABILITIES</t>
  </si>
  <si>
    <t>Equity</t>
  </si>
  <si>
    <t>Equity Share Capital</t>
  </si>
  <si>
    <t>Other Equity</t>
  </si>
  <si>
    <t>Total Equity</t>
  </si>
  <si>
    <t>Liabilities</t>
  </si>
  <si>
    <t>Non Current Liabilities</t>
  </si>
  <si>
    <t>Borrowing</t>
  </si>
  <si>
    <t>Other Non Current Liability - Project</t>
  </si>
  <si>
    <t>Other Non Current Liability - Operation</t>
  </si>
  <si>
    <t>Current Liabilities</t>
  </si>
  <si>
    <t>Total Non Current Liabilities</t>
  </si>
  <si>
    <t>Total Current Liabilities</t>
  </si>
  <si>
    <t>Total Liabilities</t>
  </si>
  <si>
    <t>Total Equity &amp; Liabilities</t>
  </si>
  <si>
    <t>Term Debt (I &amp; II)</t>
  </si>
  <si>
    <t>Other Current Liability - Operation</t>
  </si>
  <si>
    <t>Other Current Liability - Project</t>
  </si>
  <si>
    <t>Other CL - Current Repayment</t>
  </si>
  <si>
    <t>Cash Flow Statements</t>
  </si>
  <si>
    <t>Add: Depreciation</t>
  </si>
  <si>
    <t>Add: Finance Cost</t>
  </si>
  <si>
    <t>Operating Profit before WC Change</t>
  </si>
  <si>
    <t>Change in Current Assets</t>
  </si>
  <si>
    <t>Change in Current Liabilites</t>
  </si>
  <si>
    <t>Income Tax Paid</t>
  </si>
  <si>
    <t>Net Cash Flow from Operating Activities</t>
  </si>
  <si>
    <t>Change in Fixed Assets</t>
  </si>
  <si>
    <t>Less: Interest Income</t>
  </si>
  <si>
    <t>Interest Income</t>
  </si>
  <si>
    <t>Net Cash Flow from Investment Activities</t>
  </si>
  <si>
    <t>Proceed from Issue of Share Capital</t>
  </si>
  <si>
    <t>Working Capital Borrowing</t>
  </si>
  <si>
    <t>Term Loan Borrowing</t>
  </si>
  <si>
    <t>Term Loan Repayment</t>
  </si>
  <si>
    <t>Net Cash Flow from Financing Activities</t>
  </si>
  <si>
    <t>Change in Cash Bank Balance</t>
  </si>
  <si>
    <t>Working Capital</t>
  </si>
  <si>
    <t>Linkage existing FSA</t>
  </si>
  <si>
    <t>Linkage under Bidding</t>
  </si>
  <si>
    <t>Linkage under Tolling</t>
  </si>
  <si>
    <t>Stores &amp; Spares</t>
  </si>
  <si>
    <t>Tamil Nadu</t>
  </si>
  <si>
    <t>Rajasthan</t>
  </si>
  <si>
    <t>Chhattisgarh</t>
  </si>
  <si>
    <t>New PPA - Tolling</t>
  </si>
  <si>
    <t>New PPA - Bidding</t>
  </si>
  <si>
    <t>Merchant /Short Term</t>
  </si>
  <si>
    <t>Total  Inventory</t>
  </si>
  <si>
    <t>Total Receivable</t>
  </si>
  <si>
    <t>Change in Law Receivable</t>
  </si>
  <si>
    <t>Revenue Excluding Change in Law</t>
  </si>
  <si>
    <t>Change in Law Revenue</t>
  </si>
  <si>
    <t>Special Forward / Spot</t>
  </si>
  <si>
    <t>Total Assets for WC</t>
  </si>
  <si>
    <t>Working Capital Interest</t>
  </si>
  <si>
    <t>OCI</t>
  </si>
  <si>
    <t>Companies Act</t>
  </si>
  <si>
    <t>Opening WDV</t>
  </si>
  <si>
    <t>Add: Addition During the year</t>
  </si>
  <si>
    <t>Less: Disposal During the year</t>
  </si>
  <si>
    <t>Closing WDV</t>
  </si>
  <si>
    <t>Less: Depreciation for the year</t>
  </si>
  <si>
    <t>CWIP</t>
  </si>
  <si>
    <t>Schedules For Depreciation &amp; Taxation</t>
  </si>
  <si>
    <t>Capital Expenses Phasing</t>
  </si>
  <si>
    <t>Land &amp; Site Development</t>
  </si>
  <si>
    <t>Cost of Mining incl R&amp;R</t>
  </si>
  <si>
    <t>BTG Cost</t>
  </si>
  <si>
    <t>BOP  Cost</t>
  </si>
  <si>
    <t>Water Arrangement</t>
  </si>
  <si>
    <t>Transmission Line</t>
  </si>
  <si>
    <t>Ash Dyke</t>
  </si>
  <si>
    <t>Labour Cess</t>
  </si>
  <si>
    <t>Railway Siding</t>
  </si>
  <si>
    <t xml:space="preserve">Coal Handling System </t>
  </si>
  <si>
    <t>Misc. Site Enabling</t>
  </si>
  <si>
    <t>Total Hard Cost</t>
  </si>
  <si>
    <t>Preliminary &amp; Pre-ops.</t>
  </si>
  <si>
    <t>Environment protection cost-CSR</t>
  </si>
  <si>
    <t>Start-up Cost</t>
  </si>
  <si>
    <t>Interest During Construction Period</t>
  </si>
  <si>
    <t>Contingencies</t>
  </si>
  <si>
    <t>Margin Money  for working capital</t>
  </si>
  <si>
    <t xml:space="preserve">Total Cost </t>
  </si>
  <si>
    <t>Appraised Project Cost</t>
  </si>
  <si>
    <t>Capital Creditor</t>
  </si>
  <si>
    <t>Total Fund Requirement</t>
  </si>
  <si>
    <t>Existing Cash Bank Balance</t>
  </si>
  <si>
    <t>New Debt</t>
  </si>
  <si>
    <t>Closing Cash Bank Balance</t>
  </si>
  <si>
    <t>Coal</t>
  </si>
  <si>
    <t>Month</t>
  </si>
  <si>
    <t>N</t>
  </si>
  <si>
    <t>Schedules For Tariff Details</t>
  </si>
  <si>
    <t>Escalation Rate</t>
  </si>
  <si>
    <t>Date</t>
  </si>
  <si>
    <t>Transportation</t>
  </si>
  <si>
    <t>From</t>
  </si>
  <si>
    <t>To</t>
  </si>
  <si>
    <t>Auction Coal Cost per Unit</t>
  </si>
  <si>
    <t>Energy Index</t>
  </si>
  <si>
    <t>Energy Chg.</t>
  </si>
  <si>
    <t>Trans. Index</t>
  </si>
  <si>
    <t>Trans. Chgs.</t>
  </si>
  <si>
    <t>Change in Liability - Project</t>
  </si>
  <si>
    <t>Change in Assets - Project</t>
  </si>
  <si>
    <t>Schedules For DCF Valuation</t>
  </si>
  <si>
    <t>Normal Taxation</t>
  </si>
  <si>
    <t>Book Profit</t>
  </si>
  <si>
    <t>Add: Depreciation as per Books (Com. Act)</t>
  </si>
  <si>
    <t>Less: Depreciation as per Tax (Income Tax)</t>
  </si>
  <si>
    <t xml:space="preserve"> </t>
  </si>
  <si>
    <t>Carry forword loss</t>
  </si>
  <si>
    <t>Set off of carried forword losses</t>
  </si>
  <si>
    <t>Taxable Profit</t>
  </si>
  <si>
    <t>Section 80-IA Counter</t>
  </si>
  <si>
    <t>Less: Deduction U/s 80-IA</t>
  </si>
  <si>
    <t>Yes</t>
  </si>
  <si>
    <t>Taxable Income post 80-IA deduction</t>
  </si>
  <si>
    <t>Normal Tax</t>
  </si>
  <si>
    <t>MAT Calculation</t>
  </si>
  <si>
    <t>Tax Payable</t>
  </si>
  <si>
    <t>Applicable Tax Base</t>
  </si>
  <si>
    <t>MAT Counter</t>
  </si>
  <si>
    <t>MAT Lapse Counter</t>
  </si>
  <si>
    <t>MAT Credit</t>
  </si>
  <si>
    <t>MAT Carry forward</t>
  </si>
  <si>
    <t>MAT Credit used</t>
  </si>
  <si>
    <t>MAT Credit Lapsed</t>
  </si>
  <si>
    <t>Net Tax Paid after MAT Credit</t>
  </si>
  <si>
    <t>Effective Tax Rate</t>
  </si>
  <si>
    <t>Schedules For Tax Calculation</t>
  </si>
  <si>
    <t>Income Tax Act</t>
  </si>
  <si>
    <t>Audited</t>
  </si>
  <si>
    <t>Schedules For Assumptions</t>
  </si>
  <si>
    <t>Operational Assumptions</t>
  </si>
  <si>
    <t>Post 2023</t>
  </si>
  <si>
    <t>SHR Annual Degradation</t>
  </si>
  <si>
    <t>Linkage Coal</t>
  </si>
  <si>
    <t>FSA Availability</t>
  </si>
  <si>
    <t>Existing FSA Qty</t>
  </si>
  <si>
    <t>Linkage Coal Base Price</t>
  </si>
  <si>
    <t>Annual Escalation</t>
  </si>
  <si>
    <t>FSA Qty.</t>
  </si>
  <si>
    <t>Special E-Auction / Spot Auction</t>
  </si>
  <si>
    <t>Bidding Premium Special E-Auction</t>
  </si>
  <si>
    <t>Bidding Premium Spot E-Auction</t>
  </si>
  <si>
    <t>Mix of Special E-Aucttion / Spot</t>
  </si>
  <si>
    <t>Fuel Assumptions</t>
  </si>
  <si>
    <t>Secondary Fuel Requirement</t>
  </si>
  <si>
    <t>Kcal</t>
  </si>
  <si>
    <t>Rs/ Ton</t>
  </si>
  <si>
    <t>ML/Kwh</t>
  </si>
  <si>
    <t>Base Price</t>
  </si>
  <si>
    <t>Rs/KL</t>
  </si>
  <si>
    <t>Revenue Assumptions</t>
  </si>
  <si>
    <t>Long Term PPA - Tamil Nadu</t>
  </si>
  <si>
    <t>Base Tariff</t>
  </si>
  <si>
    <t>Bid Tariff</t>
  </si>
  <si>
    <t>PPA Termination, as per PPA</t>
  </si>
  <si>
    <t>Escalation - Energy Charge</t>
  </si>
  <si>
    <t>Escalation - Transportation Charge</t>
  </si>
  <si>
    <t>Change in Law Tariff</t>
  </si>
  <si>
    <t>Rs/Kwh</t>
  </si>
  <si>
    <t>Long Term PPA - Rajasthan</t>
  </si>
  <si>
    <t>PPA Qty.</t>
  </si>
  <si>
    <t>MW</t>
  </si>
  <si>
    <t>Additional Quantity</t>
  </si>
  <si>
    <t>Additional Quantity Commencement Dt.</t>
  </si>
  <si>
    <t>Supply Under PPA</t>
  </si>
  <si>
    <t>PTC Commission</t>
  </si>
  <si>
    <t>Long Term PPA - New PPA</t>
  </si>
  <si>
    <t>PPA Supply Commencement Dt.</t>
  </si>
  <si>
    <t>PPA Tariff</t>
  </si>
  <si>
    <t>Actual</t>
  </si>
  <si>
    <t>Capacity Charge</t>
  </si>
  <si>
    <t>Margin / Return on Equity</t>
  </si>
  <si>
    <t>Long Term PPA - Tolling</t>
  </si>
  <si>
    <t>Long Term PPA - Chhattisgarh</t>
  </si>
  <si>
    <t>Tariff - Variable Cost</t>
  </si>
  <si>
    <t>Merchant / Short Term PPA</t>
  </si>
  <si>
    <t>Fixed</t>
  </si>
  <si>
    <t>Annual Escalation for Fixed</t>
  </si>
  <si>
    <t>Financial Assumption</t>
  </si>
  <si>
    <t>Debt</t>
  </si>
  <si>
    <t>Interest Rate</t>
  </si>
  <si>
    <t>Term Loan</t>
  </si>
  <si>
    <t>Fixed Deposit</t>
  </si>
  <si>
    <t>Project Cost</t>
  </si>
  <si>
    <t>Rs. Crs.</t>
  </si>
  <si>
    <t>Working Capital Level - Inventory</t>
  </si>
  <si>
    <t>Working Capital Level - Receivable</t>
  </si>
  <si>
    <t>Additional Linkage for New PPA - Bidding</t>
  </si>
  <si>
    <t>Operation &amp; Maintenance</t>
  </si>
  <si>
    <t>Electricity Duty Rate</t>
  </si>
  <si>
    <t>Rs./CM</t>
  </si>
  <si>
    <t>Rs.</t>
  </si>
  <si>
    <t>Rs. /Ton</t>
  </si>
  <si>
    <t>Rs.Crs /MW</t>
  </si>
  <si>
    <t>Surcharge</t>
  </si>
  <si>
    <t>Education Cess &amp; Other Cess</t>
  </si>
  <si>
    <t>Income Taxation</t>
  </si>
  <si>
    <t>Normal Tax Rate</t>
  </si>
  <si>
    <t>MAT Taxation</t>
  </si>
  <si>
    <t>MAT Rate</t>
  </si>
  <si>
    <t>SLM</t>
  </si>
  <si>
    <t>Depreciation Rate</t>
  </si>
  <si>
    <t>WDV</t>
  </si>
  <si>
    <t>80-IA</t>
  </si>
  <si>
    <t>MAT Credit Period</t>
  </si>
  <si>
    <t>Years</t>
  </si>
  <si>
    <t>Depreciation &amp; Taxation</t>
  </si>
  <si>
    <t>PPA Termination Date</t>
  </si>
  <si>
    <t>Debt Service Coverage Ratio</t>
  </si>
  <si>
    <t>Term Loan Interest</t>
  </si>
  <si>
    <t>Interest</t>
  </si>
  <si>
    <t>DSCR</t>
  </si>
  <si>
    <t>Railway Siding Benefit from</t>
  </si>
  <si>
    <t>Landed</t>
  </si>
  <si>
    <t>Short Term Loan</t>
  </si>
  <si>
    <t>Min</t>
  </si>
  <si>
    <t>Transportation Through Railway Siding</t>
  </si>
  <si>
    <t>Amortization of Anciliary Cost</t>
  </si>
  <si>
    <t>Amortization during the period</t>
  </si>
  <si>
    <t>O/s Balance Product</t>
  </si>
  <si>
    <t>No. of Days</t>
  </si>
  <si>
    <t>Finance Cost (Net of Amortization of Anciliary Cost)</t>
  </si>
  <si>
    <t>1 Month O&amp;M</t>
  </si>
  <si>
    <t>Trade Creditors</t>
  </si>
  <si>
    <t>Per Unit</t>
  </si>
  <si>
    <t>Schedules For FGD Input</t>
  </si>
  <si>
    <t>Construction Assumptions</t>
  </si>
  <si>
    <t>NTP Date</t>
  </si>
  <si>
    <t>Construction Time Unit I</t>
  </si>
  <si>
    <t>Construction Time Unit II</t>
  </si>
  <si>
    <t>Commissioning Date Unit I</t>
  </si>
  <si>
    <t>Commissioning Date Unit II</t>
  </si>
  <si>
    <t>Capital Cost</t>
  </si>
  <si>
    <t>Wet Limestone based Flue Gas Desupherisation (WFGD)</t>
  </si>
  <si>
    <t>Off-Shore Contract Value</t>
  </si>
  <si>
    <t>USD</t>
  </si>
  <si>
    <t>On-Shore Contract Value</t>
  </si>
  <si>
    <t>INR</t>
  </si>
  <si>
    <t>Base Ex. Rate</t>
  </si>
  <si>
    <t>INR/USD</t>
  </si>
  <si>
    <t>Per month forward premium</t>
  </si>
  <si>
    <t>Rs./USD</t>
  </si>
  <si>
    <t>Basic Rate</t>
  </si>
  <si>
    <t>Effective Rate</t>
  </si>
  <si>
    <t>Taxes &amp; Duties</t>
  </si>
  <si>
    <t>Off Shore</t>
  </si>
  <si>
    <t>On Shore</t>
  </si>
  <si>
    <t>Basic Price</t>
  </si>
  <si>
    <t>Landing Charges</t>
  </si>
  <si>
    <t>Basic Custom Duty</t>
  </si>
  <si>
    <t>Social Welfate (% of Basic Custom Duty)</t>
  </si>
  <si>
    <t>GST /IGST</t>
  </si>
  <si>
    <t>INR /USD Forward Rate</t>
  </si>
  <si>
    <t>Financing Plan</t>
  </si>
  <si>
    <t>Tota Project Cost</t>
  </si>
  <si>
    <t>Existing Saving</t>
  </si>
  <si>
    <t>Addl. Req.</t>
  </si>
  <si>
    <t>Upfront Equity</t>
  </si>
  <si>
    <t>Zero Date</t>
  </si>
  <si>
    <t>Quarter End</t>
  </si>
  <si>
    <t>Construction Period</t>
  </si>
  <si>
    <t>Unit I</t>
  </si>
  <si>
    <t>Unit II</t>
  </si>
  <si>
    <t>Construction Completion Date</t>
  </si>
  <si>
    <t>Availability Period</t>
  </si>
  <si>
    <t>Months</t>
  </si>
  <si>
    <t>Moratorium</t>
  </si>
  <si>
    <t>Repayment Commencement Date</t>
  </si>
  <si>
    <t>Loan Tenor</t>
  </si>
  <si>
    <t>Co-Terminus</t>
  </si>
  <si>
    <t>Specified</t>
  </si>
  <si>
    <t>Repayment Period</t>
  </si>
  <si>
    <t>Quarters</t>
  </si>
  <si>
    <t>Last Installment Payment Date</t>
  </si>
  <si>
    <t>Repayment Structure</t>
  </si>
  <si>
    <t>Structured Specified</t>
  </si>
  <si>
    <t>Existing Proportionate</t>
  </si>
  <si>
    <t>Existing Repayment % Phase I</t>
  </si>
  <si>
    <t>Equal</t>
  </si>
  <si>
    <t>Structured Co-Terminus</t>
  </si>
  <si>
    <t>New Low NOx Burners (LNB) + Overfire Air (OFA)</t>
  </si>
  <si>
    <t>A.</t>
  </si>
  <si>
    <t>Equipment Cost</t>
  </si>
  <si>
    <t>Amt. (Rs. Crs.)</t>
  </si>
  <si>
    <t>Wet Limestone based Flue Gas Desulpherization</t>
  </si>
  <si>
    <t>Instrumentation and Controls (10% of Base Price)</t>
  </si>
  <si>
    <t>Reagent and byproduct handling system</t>
  </si>
  <si>
    <t>Flue Gas Ductwork</t>
  </si>
  <si>
    <t>Total Equipment Cost</t>
  </si>
  <si>
    <t>B.</t>
  </si>
  <si>
    <t>Installation Cost</t>
  </si>
  <si>
    <t>Erection (30% of Equipment Cost)</t>
  </si>
  <si>
    <t>Erection (12% of Equipment Cost)</t>
  </si>
  <si>
    <t>Modifications to existing equipment</t>
  </si>
  <si>
    <t>Estimates</t>
  </si>
  <si>
    <t>Supervisory services by OEM</t>
  </si>
  <si>
    <t>Total Installation Cost</t>
  </si>
  <si>
    <t>Total Direct Cost (A+B)</t>
  </si>
  <si>
    <t>C.</t>
  </si>
  <si>
    <t>Other Cost</t>
  </si>
  <si>
    <t>Contingency</t>
  </si>
  <si>
    <t>Owner's Engineer / Consultant</t>
  </si>
  <si>
    <t>Construction Management</t>
  </si>
  <si>
    <t>Start-up &amp; Spares Part</t>
  </si>
  <si>
    <t>Performance Test</t>
  </si>
  <si>
    <t>Total Pre-Operative Cost</t>
  </si>
  <si>
    <t>Total Cost for Low Nox Burner &amp; Overfire Air (A+B+C)</t>
  </si>
  <si>
    <t>Operating Assumptions</t>
  </si>
  <si>
    <t>Maintenance Labour &amp; Material (% of DC)</t>
  </si>
  <si>
    <t>Operating Labour</t>
  </si>
  <si>
    <t>Nos.</t>
  </si>
  <si>
    <t>Avg. Salary</t>
  </si>
  <si>
    <t>Lacs</t>
  </si>
  <si>
    <t>Maintenance (1% of DC)</t>
  </si>
  <si>
    <t>Limestone</t>
  </si>
  <si>
    <t>Limestone Consumption</t>
  </si>
  <si>
    <t>MT/Hr.</t>
  </si>
  <si>
    <t>Landed Cost</t>
  </si>
  <si>
    <t>Rs./MT</t>
  </si>
  <si>
    <t>Escalation</t>
  </si>
  <si>
    <t>Byproduct Disposal</t>
  </si>
  <si>
    <t>Byproduct Production</t>
  </si>
  <si>
    <t>Byproduct Disposal cost per ton</t>
  </si>
  <si>
    <t>Water</t>
  </si>
  <si>
    <t>m3/hr</t>
  </si>
  <si>
    <t>Cost per Cubic Meter</t>
  </si>
  <si>
    <t>Rs./m3/hr</t>
  </si>
  <si>
    <t>Cost Impact</t>
  </si>
  <si>
    <t xml:space="preserve">Auxiliary Consumption </t>
  </si>
  <si>
    <t>Total Auxiliary Consumption (MUs)</t>
  </si>
  <si>
    <t>Coal Cost for Auxiliary Consumption</t>
  </si>
  <si>
    <t>Annual Maintenance</t>
  </si>
  <si>
    <t>Total Annual Maintenance Cost (Rs. Crs.)</t>
  </si>
  <si>
    <t>Total Operating Labour Cost (Rs. Crs.)</t>
  </si>
  <si>
    <t>Total Limestone Consumption (MT)</t>
  </si>
  <si>
    <t>Limestone Cost Per Ton (Rs./MT)</t>
  </si>
  <si>
    <t>Limestone Cost (Rs. Crs.)</t>
  </si>
  <si>
    <t>Total Byproduct Disposal</t>
  </si>
  <si>
    <t>Byproduct Disposal Cost Per Ton (Rs./MT)</t>
  </si>
  <si>
    <t>Byproduct Disposal Cost (Rs. Crs.)</t>
  </si>
  <si>
    <t>Total Water Consumption</t>
  </si>
  <si>
    <t>Water Cost Per MCM</t>
  </si>
  <si>
    <t>Water Cost (Rs. Crs.)</t>
  </si>
  <si>
    <t>Total FGD Operating Cost</t>
  </si>
  <si>
    <t>Interest Cost</t>
  </si>
  <si>
    <t>Return on Equity</t>
  </si>
  <si>
    <t>Total Cost</t>
  </si>
  <si>
    <t>Cost per Unit</t>
  </si>
  <si>
    <t>Funding Plan</t>
  </si>
  <si>
    <t>Last Installment Date</t>
  </si>
  <si>
    <t>Operational Inputs</t>
  </si>
  <si>
    <t>Maintenance Labour &amp; Material (1% of DC)</t>
  </si>
  <si>
    <t>Operating Labour (15 Lacs x 13)</t>
  </si>
  <si>
    <t>Limestone (Consumption)</t>
  </si>
  <si>
    <t>MT/Hr</t>
  </si>
  <si>
    <t>Limestone Landed Cost</t>
  </si>
  <si>
    <t>Rs. / MT</t>
  </si>
  <si>
    <t>Limestone Cost</t>
  </si>
  <si>
    <t>Byproduct Disposal Cost</t>
  </si>
  <si>
    <t>Water Cost per cubic meter</t>
  </si>
  <si>
    <t>Rs. / m3/hr</t>
  </si>
  <si>
    <t>Water Cost</t>
  </si>
  <si>
    <t>Booster Fans Consumption (MW)</t>
  </si>
  <si>
    <t>Kw/hr</t>
  </si>
  <si>
    <t>Auxiliary Power Consumption (MW)</t>
  </si>
  <si>
    <t>Start Up Auxiliary Consumption</t>
  </si>
  <si>
    <t>Days</t>
  </si>
  <si>
    <t>FGD Phasing &amp; Finance Cost Calculation</t>
  </si>
  <si>
    <t>No. of Months</t>
  </si>
  <si>
    <t>Mn. USD</t>
  </si>
  <si>
    <t>Total</t>
  </si>
  <si>
    <t>Offshore Basic Value</t>
  </si>
  <si>
    <t>Onshore Basic Value</t>
  </si>
  <si>
    <t>Import Duty + GST Offshore</t>
  </si>
  <si>
    <t>GST Onshore</t>
  </si>
  <si>
    <t>Total FGD Cost Incl. Taxes &amp; Duties</t>
  </si>
  <si>
    <t>Nox. (Over-Air Fire Damper and Burner modifications) incl. Taxes (BHEL Bid Cost)</t>
  </si>
  <si>
    <t>Pre Operative Expenses</t>
  </si>
  <si>
    <t>Trial Run</t>
  </si>
  <si>
    <t>Shutdown cost for 40 days (20 days per unit)</t>
  </si>
  <si>
    <t>Margin money  for working capital</t>
  </si>
  <si>
    <t>IDC @11.10% Interest rate for 24 months</t>
  </si>
  <si>
    <t>As per Cal.</t>
  </si>
  <si>
    <t>B&amp;V</t>
  </si>
  <si>
    <t>Total Hard Cost (A)</t>
  </si>
  <si>
    <t>Total Soft Cost (B)</t>
  </si>
  <si>
    <t>Total Project Cost (A+B)</t>
  </si>
  <si>
    <t>IDC Calculations</t>
  </si>
  <si>
    <t>Balance Equity</t>
  </si>
  <si>
    <t>Balance Debt</t>
  </si>
  <si>
    <t>Cummulative Equity</t>
  </si>
  <si>
    <t>Cummulative Debt</t>
  </si>
  <si>
    <t>IDC</t>
  </si>
  <si>
    <t>Repayment Schedule</t>
  </si>
  <si>
    <t>Pre-operative Expenses</t>
  </si>
  <si>
    <t>Consultancy Fees</t>
  </si>
  <si>
    <t>Feasibility Study &amp; Tender Evaluation</t>
  </si>
  <si>
    <t xml:space="preserve">Fichtner Consultancy Contract </t>
  </si>
  <si>
    <t>Rs. Crs</t>
  </si>
  <si>
    <t>B&amp;V Consultancy Contract</t>
  </si>
  <si>
    <t>Limestone Sourcing &amp; Gypsum disposal study</t>
  </si>
  <si>
    <t>Ercom Engineering</t>
  </si>
  <si>
    <t>Consultancy Engineering Review</t>
  </si>
  <si>
    <t>1% of Cont. Value</t>
  </si>
  <si>
    <t>Supervision &amp; Quality Monitoring - Third Party in China</t>
  </si>
  <si>
    <t>Day per Month</t>
  </si>
  <si>
    <t>No. of Month</t>
  </si>
  <si>
    <t>Rs. / per day</t>
  </si>
  <si>
    <t>Total Consultancy Fees</t>
  </si>
  <si>
    <t>Finance - Processing Fee &amp; Documentation</t>
  </si>
  <si>
    <t>Upfront Fees additional debt</t>
  </si>
  <si>
    <t>Modification Fees existing debt</t>
  </si>
  <si>
    <t>Stamp Duty</t>
  </si>
  <si>
    <t>LLC / LIE</t>
  </si>
  <si>
    <t>Total Financing Cost</t>
  </si>
  <si>
    <t>Additional Manpower &amp; Other Cost</t>
  </si>
  <si>
    <t>No. of Empl.</t>
  </si>
  <si>
    <t>Per Empl.</t>
  </si>
  <si>
    <t>P.A.</t>
  </si>
  <si>
    <t>Project Manager</t>
  </si>
  <si>
    <t>Engineer Incharge</t>
  </si>
  <si>
    <t>Civil Head and Electrical Head</t>
  </si>
  <si>
    <t>Manager -Technical (Mechanical)</t>
  </si>
  <si>
    <t>Engineer (Mechanical -2, Electrical-1, Civil-1, C&amp;I-1)</t>
  </si>
  <si>
    <t>Engineering Co-ordination (Mech-1, Elect-1, C&amp;I-1, Civil-1</t>
  </si>
  <si>
    <t>Account, admin &amp; Safety</t>
  </si>
  <si>
    <t>Commissioning Engineer</t>
  </si>
  <si>
    <t>Draftman</t>
  </si>
  <si>
    <t>Total cost per annum</t>
  </si>
  <si>
    <t>2 Years Cost</t>
  </si>
  <si>
    <t>Travelling &amp; other cost</t>
  </si>
  <si>
    <t>DBPL Team visited China various FGD plant in China</t>
  </si>
  <si>
    <t>DBPL 2 Engineer stay in China for 12 months  (Lodging &amp; Boarding Expenses)</t>
  </si>
  <si>
    <t>Admin Cost</t>
  </si>
  <si>
    <t>Vehicle Hiring</t>
  </si>
  <si>
    <t>Construction Power</t>
  </si>
  <si>
    <t>Construction Insurance</t>
  </si>
  <si>
    <t>Availability Loss</t>
  </si>
  <si>
    <t>Total Pre-operative Cost</t>
  </si>
  <si>
    <t>Trial-Run Expenses</t>
  </si>
  <si>
    <t>Limestone Requirement per hour</t>
  </si>
  <si>
    <t>Ton</t>
  </si>
  <si>
    <t>No. of days</t>
  </si>
  <si>
    <t>Limestone Base Cost</t>
  </si>
  <si>
    <t>Rs./Ton</t>
  </si>
  <si>
    <t>Limestone Total Cost</t>
  </si>
  <si>
    <t>Gypsum Handling Cost</t>
  </si>
  <si>
    <t>Gypsum Handling per hr.</t>
  </si>
  <si>
    <t>Handling cost</t>
  </si>
  <si>
    <t>Gypsum Handling Total Cost</t>
  </si>
  <si>
    <t>Auxiliary Power Consumption</t>
  </si>
  <si>
    <t>Auxiliary Power Consumption per hr.</t>
  </si>
  <si>
    <t>Kwh.</t>
  </si>
  <si>
    <t>Auxiliary power cost</t>
  </si>
  <si>
    <t>Rs./Kwh</t>
  </si>
  <si>
    <t>Auxiliary Power Total Cost</t>
  </si>
  <si>
    <t>Water Consumption per hr.</t>
  </si>
  <si>
    <t>M3/Hr</t>
  </si>
  <si>
    <t>Rs./M3</t>
  </si>
  <si>
    <t>Water Total Cost</t>
  </si>
  <si>
    <t>Commissioning Assistance</t>
  </si>
  <si>
    <t>No. of Chinese Expert</t>
  </si>
  <si>
    <t>Cost per Day</t>
  </si>
  <si>
    <t>Ex. Rate</t>
  </si>
  <si>
    <t>Commissioning Assistance Total Cost</t>
  </si>
  <si>
    <t>Loader &amp; Operator for Limestone &amp; Gypsum</t>
  </si>
  <si>
    <t>No. of Operator</t>
  </si>
  <si>
    <t>Cost per Month</t>
  </si>
  <si>
    <t>Rs. /Month</t>
  </si>
  <si>
    <t>Fuel &amp; Consumables</t>
  </si>
  <si>
    <t>Total Trial Opertion Cost</t>
  </si>
  <si>
    <t>Contigencies</t>
  </si>
  <si>
    <t>Activity</t>
  </si>
  <si>
    <t>Brief Details</t>
  </si>
  <si>
    <t>Contigency</t>
  </si>
  <si>
    <t>3% of Hard Cost</t>
  </si>
  <si>
    <t>Raising of extra height of (30 mtrs) Temporary Stack</t>
  </si>
  <si>
    <t>With FGD</t>
  </si>
  <si>
    <t>FGD Operation Cost</t>
  </si>
  <si>
    <t>FGD Auxiliary Consumption</t>
  </si>
  <si>
    <t>Receivable</t>
  </si>
  <si>
    <t>2021-22 onward</t>
  </si>
  <si>
    <t>Existing Debt</t>
  </si>
  <si>
    <t>Existing</t>
  </si>
  <si>
    <t>Additional</t>
  </si>
  <si>
    <t>Change In Law - FGD</t>
  </si>
  <si>
    <t>Interest on Equity replenish through Debt charged to P&amp;L</t>
  </si>
  <si>
    <t>Cummulative Equity through Debt</t>
  </si>
  <si>
    <t>Equity replenish through Debt charged to P&amp;L</t>
  </si>
  <si>
    <t>Utilisation of available Mega &amp; CAMPA Fund</t>
  </si>
  <si>
    <t>Reduction in drawal to the extent of Mega &amp; CAMPA Fund</t>
  </si>
  <si>
    <t>Equity from Mega &amp; CAMPA Fund</t>
  </si>
  <si>
    <t>Total Propose Saving</t>
  </si>
  <si>
    <t>Equity to be made available from Debt drawal due to Project Saving</t>
  </si>
  <si>
    <t>Debt requirement to be met from existing debt - Project Cost saving</t>
  </si>
  <si>
    <t>Additional Debt Drawal</t>
  </si>
  <si>
    <t>Total Debt Drawal for FGD</t>
  </si>
  <si>
    <t>FGD Debt Drawal</t>
  </si>
  <si>
    <t>Energy Charges - Includes Limestone Consumption &amp; Auxiliary Consumption</t>
  </si>
  <si>
    <t>Rate</t>
  </si>
  <si>
    <t>Less: Depreciation Unit I (up to 70%)</t>
  </si>
  <si>
    <t>Less: Depreciation Unit II (up to 70%)</t>
  </si>
  <si>
    <t>Less: Balance Depreciation</t>
  </si>
  <si>
    <t>Cummulative Depreciation Unit I</t>
  </si>
  <si>
    <t>Cummulative Depreciation Unit II</t>
  </si>
  <si>
    <t>No. of Days for 70%</t>
  </si>
  <si>
    <t>No. of Days for Bal.</t>
  </si>
  <si>
    <t>Interest on Working Capital</t>
  </si>
  <si>
    <t>Stock</t>
  </si>
  <si>
    <t>O&amp;M Expenses</t>
  </si>
  <si>
    <t>Total Working Capital Requirment</t>
  </si>
  <si>
    <t xml:space="preserve">Less: Margin </t>
  </si>
  <si>
    <t>Working Capital Debt</t>
  </si>
  <si>
    <t>O&amp;M Charges</t>
  </si>
  <si>
    <t>Change in Law Revenue - FGD</t>
  </si>
  <si>
    <t>Post 2029</t>
  </si>
  <si>
    <t>Sensitivity</t>
  </si>
  <si>
    <t>Increase in Interest Rate</t>
  </si>
  <si>
    <t>Reduction in PLF</t>
  </si>
  <si>
    <t>Avg.</t>
  </si>
  <si>
    <t>v</t>
  </si>
  <si>
    <t>YES</t>
  </si>
  <si>
    <t>Debt&amp;Equity</t>
  </si>
  <si>
    <t>Till 2036</t>
  </si>
  <si>
    <t xml:space="preserve">Finance Cost - Working Capital </t>
  </si>
  <si>
    <t>Change in Non Current Assets - Operation</t>
  </si>
  <si>
    <t>PPA Supply End Dt.</t>
  </si>
  <si>
    <t>Linkage/Auction Coal Generation Cost</t>
  </si>
  <si>
    <t>DSRA</t>
  </si>
  <si>
    <t>DSRA Creation</t>
  </si>
  <si>
    <t>Total Non Current Assets</t>
  </si>
  <si>
    <t>Margin Switch</t>
  </si>
  <si>
    <t>Fuel Cost</t>
  </si>
  <si>
    <t>Margin in FGD model</t>
  </si>
  <si>
    <t>Cash Profit</t>
  </si>
  <si>
    <t>Cash Sweep tigger Amt</t>
  </si>
  <si>
    <t>Amt available for Cash Sweep</t>
  </si>
  <si>
    <t>Cash Sweep Scenarios as per FGD Sanction</t>
  </si>
  <si>
    <t>1.10-1.20</t>
  </si>
  <si>
    <t>Incentive Revenue</t>
  </si>
  <si>
    <t>Shortfall/Surplus in debt Service</t>
  </si>
  <si>
    <t xml:space="preserve">Year </t>
  </si>
  <si>
    <t>Debt Service</t>
  </si>
  <si>
    <t xml:space="preserve">Total </t>
  </si>
  <si>
    <t>Interest (incl FGD &amp; WC intt)</t>
  </si>
  <si>
    <t>Loan Rpmt. (Incl FGD)</t>
  </si>
  <si>
    <t>Surplus/Shortfall in Debt service with LTPPA</t>
  </si>
  <si>
    <t>Cumulative Cash balance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</si>
  <si>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</si>
  <si>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</si>
  <si>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</si>
  <si>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</si>
  <si>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</si>
  <si>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</si>
  <si>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</si>
  <si>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</si>
  <si>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</si>
  <si>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</si>
  <si>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</si>
  <si>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</si>
  <si>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</si>
  <si>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</si>
  <si>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</si>
  <si>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EBITDA</t>
  </si>
  <si>
    <t>Dividend</t>
  </si>
  <si>
    <t>Dividend Eligibility</t>
  </si>
  <si>
    <t>As per FGD Approved Model by SBI at 75% PLF</t>
  </si>
  <si>
    <t>Senstivity Analysis</t>
  </si>
  <si>
    <t>Margin for FGD</t>
  </si>
  <si>
    <t>Mechant Margin</t>
  </si>
  <si>
    <t xml:space="preserve">Average DSCR </t>
  </si>
  <si>
    <t xml:space="preserve">Min DSCR </t>
  </si>
  <si>
    <t>Fixed Tariff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</si>
</sst>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4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[$-409]d\-mmm\-yy;@"/>
    <numFmt numFmtId="173" formatCode="_(* #,##0_);_(* \(#,##0\);_(* &quot;-&quot;??_);_(@_)"/>
    <numFmt numFmtId="174" formatCode="0_);\(0\)"/>
    <numFmt numFmtId="175" formatCode="0.00\ &quot;Months&quot;"/>
    <numFmt numFmtId="176" formatCode="0.000"/>
    <numFmt numFmtId="177" formatCode="0.0000000"/>
    <numFmt numFmtId="178" formatCode="0.0000"/>
    <numFmt numFmtId="179" formatCode="0.00000"/>
    <numFmt numFmtId="180" formatCode="#,##0.0\ ;\(#,##0.0\)"/>
    <numFmt numFmtId="181" formatCode="_-* #,##0.00\ [$€]_-;\-* #,##0.00\ [$€]_-;_-* &quot;-&quot;??\ [$€]_-;_-@_-"/>
    <numFmt numFmtId="182" formatCode="0.0_)\%;\(0.0\)\%;0.0_)\%;@_)_%"/>
    <numFmt numFmtId="183" formatCode="#,##0_);\(#,##0\);&quot; - &quot;"/>
    <numFmt numFmtId="184" formatCode="0.0_);\(0.0\);\-"/>
    <numFmt numFmtId="185" formatCode="#,##0.0_)_%;\(#,##0.0\)_%;0.0_)_%;@_)_%"/>
    <numFmt numFmtId="186" formatCode="0.0%_);\(0.0%\)"/>
    <numFmt numFmtId="187" formatCode="_-* #,##0_-;\-* #,##0_-;_-* &quot;-&quot;??_-;_-@_-"/>
    <numFmt numFmtId="188" formatCode="0.00_)"/>
    <numFmt numFmtId="189" formatCode="#,##0.0_);\(#,##0.0\);#,##0.0_);@_)"/>
    <numFmt numFmtId="190" formatCode="#,##0.0_);\(#,##0.0\)"/>
    <numFmt numFmtId="191" formatCode="0.0;\(0.0\)"/>
    <numFmt numFmtId="192" formatCode="yyyy"/>
    <numFmt numFmtId="193" formatCode="#,##0.0000_);\(#,##0.0000\);\-_)"/>
    <numFmt numFmtId="194" formatCode="&quot;$&quot;_(#,##0.00_);&quot;$&quot;\(#,##0.00\);&quot;$&quot;_(0.00_);@_)"/>
    <numFmt numFmtId="195" formatCode="0.0000%"/>
    <numFmt numFmtId="196" formatCode="0.00;\(0.00\)"/>
    <numFmt numFmtId="197" formatCode="#,##0.00;\(\-#,##0.00\)"/>
    <numFmt numFmtId="198" formatCode="&quot;£&quot;_(#,##0.00_);&quot;£&quot;\(#,##0.00\);&quot;£&quot;_(0.00_);@_)"/>
    <numFmt numFmtId="199" formatCode="&quot;$&quot;_(#,##0.00_);&quot;$&quot;\(#,##0.00\)"/>
    <numFmt numFmtId="200" formatCode="_(&quot;$&quot;* #,##0.0_);_(&quot;$&quot;* \(#,##0.0\);_(&quot;$&quot;* &quot;-&quot;?_);_(@_)"/>
    <numFmt numFmtId="201" formatCode="_(&quot;$&quot;* #,##0.00_);_(&quot;$&quot;* \(#,##0.00\);_(&quot;$&quot;* &quot;-&quot;_);_(@_)"/>
    <numFmt numFmtId="202" formatCode="#,##0.00_);\(#,##0.00\);0.00_);@_)"/>
    <numFmt numFmtId="203" formatCode="#,##0.0_);\(#,##0.0\);&quot; - &quot;"/>
    <numFmt numFmtId="204" formatCode="#,##0_);\(#,##0\);\-_)"/>
    <numFmt numFmtId="205" formatCode="#,##0.00_);\(#,##0.00\);\-_)"/>
    <numFmt numFmtId="206" formatCode="\€_(#,##0.00_);\€\(#,##0.00\);\€_(0.00_);@_)"/>
    <numFmt numFmtId="207" formatCode="#,##0.0;\-#,##0.0"/>
    <numFmt numFmtId="208" formatCode="#,##0_);\(#,##0\);\-??"/>
    <numFmt numFmtId="209" formatCode="[$-409]d\-mmm\-yyyy;@"/>
    <numFmt numFmtId="210" formatCode="0.0\x;;"/>
    <numFmt numFmtId="211" formatCode="#,##0_)\x;\(#,##0\)\x;0_)\x;@_)_x"/>
    <numFmt numFmtId="212" formatCode="0.0%_);\(0.0%\);\-"/>
    <numFmt numFmtId="213" formatCode="0.0\x"/>
    <numFmt numFmtId="214" formatCode="0.000\x;\(0.000\x\);&quot;-&quot;_)"/>
    <numFmt numFmtId="215" formatCode="0.00\x;;&quot;&quot;"/>
    <numFmt numFmtId="216" formatCode="#,##0.000_);\(#,##0.000\);\-_)"/>
    <numFmt numFmtId="217" formatCode="#,##0.0_)\x;\(#,##0.0\)\x"/>
    <numFmt numFmtId="218" formatCode="#,##0_)_x;\(#,##0\)_x;0_)_x;@_)_x"/>
    <numFmt numFmtId="219" formatCode="0.00\x;;\-"/>
    <numFmt numFmtId="220" formatCode="#,##0.00;\-#,##\(0.00\)"/>
    <numFmt numFmtId="221" formatCode="#&quot;E&quot;"/>
    <numFmt numFmtId="222" formatCode="0&quot; bps&quot;"/>
    <numFmt numFmtId="223" formatCode="#,##0.0_)_x;\(#,##0.0\)_x"/>
    <numFmt numFmtId="224" formatCode="_(* #,##0.0_);_(* \(#,##0.0\);_(* &quot;-&quot;?_);_(@_)"/>
    <numFmt numFmtId="225" formatCode="#0.0\x"/>
    <numFmt numFmtId="226" formatCode="0.0%;\(0.0\)%"/>
    <numFmt numFmtId="227" formatCode="\£#,##0.0_);\(\£#,##0.0\);\-"/>
    <numFmt numFmtId="228" formatCode="0.0_)\%;\(0.0\)\%"/>
    <numFmt numFmtId="229" formatCode="#,##0.0_)_%;\(#,##0.0\)_%"/>
    <numFmt numFmtId="230" formatCode="#,##0_);\(#,##0\);&quot;&quot;"/>
    <numFmt numFmtId="231" formatCode="[&gt;1]&quot;10Q: &quot;0&quot; qtrs&quot;;&quot;10Q: &quot;0&quot; qtr&quot;"/>
    <numFmt numFmtId="232" formatCode="_([$€-2]* #,##0.00_);_([$€-2]* \(#,##0.00\);_([$€-2]* &quot;-&quot;??_)"/>
    <numFmt numFmtId="233" formatCode="_(#,##0.0_);[Red]_(\(#,##0.0\);\ &quot;-- &quot;"/>
    <numFmt numFmtId="234" formatCode="_-&quot;£&quot;* #,##0.00_-;\-&quot;£&quot;* #,##0.00_-;_-&quot;£&quot;* &quot;-&quot;??_-;_-@_-"/>
    <numFmt numFmtId="235" formatCode="0.0_)"/>
    <numFmt numFmtId="236" formatCode="0.0%"/>
    <numFmt numFmtId="237" formatCode="#,##0.000_);\(#,##0.000\)"/>
    <numFmt numFmtId="238" formatCode=";;"/>
    <numFmt numFmtId="239" formatCode="[Blue]0.0%;[Blue]\-0.0%"/>
    <numFmt numFmtId="240" formatCode="0&quot; bp&quot;"/>
    <numFmt numFmtId="241" formatCode="_(* #,##0.0_);_(* \(#,##0.0\);_(* &quot;-&quot;?_);@_)"/>
    <numFmt numFmtId="242" formatCode="\£#,##0_);\(\£#,##0\)"/>
    <numFmt numFmtId="243" formatCode="#,##0_);[Red]\(#,##0\);&quot;-&quot;_);[Blue]&quot;Error-&quot;@"/>
    <numFmt numFmtId="244" formatCode="#,##0.0_);[Red]\(#,##0.0\);&quot;-&quot;_);[Blue]&quot;Error-&quot;@"/>
    <numFmt numFmtId="245" formatCode="#,##0.00_);[Red]\(#,##0.00\);&quot;-&quot;_);[Blue]&quot;Error-&quot;@"/>
    <numFmt numFmtId="246" formatCode="&quot;£&quot;* #,##0_);[Red]&quot;£&quot;* \(#,##0\);&quot;£&quot;* &quot;-&quot;_);[Blue]&quot;Error-&quot;@"/>
    <numFmt numFmtId="247" formatCode="&quot;£&quot;* #,##0.0_);[Red]&quot;£&quot;* \(#,##0.0\);&quot;£&quot;* &quot;-&quot;_);[Blue]&quot;Error-&quot;@"/>
    <numFmt numFmtId="248" formatCode="&quot;£&quot;* #,##0.00_);[Red]&quot;£&quot;* \(#,##0.00\);&quot;£&quot;* &quot;-&quot;_);[Blue]&quot;Error-&quot;@"/>
    <numFmt numFmtId="249" formatCode="dd\ mmm\ yyyy_)"/>
    <numFmt numFmtId="250" formatCode="dd/mm/yy_)"/>
    <numFmt numFmtId="251" formatCode="0%_);[Red]\-0%_);0%_);[Blue]&quot;Error-&quot;@"/>
    <numFmt numFmtId="252" formatCode="0.0%_);[Red]\-0.0%_);0.0%_);"/>
    <numFmt numFmtId="253" formatCode="0.00%_);[Red]\-0.00%_);0.00%_);[Blue]&quot;Error-&quot;@"/>
    <numFmt numFmtId="254" formatCode="0.0%_);[Red]\-0.0%_);0.0%_);[Blue]&quot;Error-&quot;@"/>
    <numFmt numFmtId="255" formatCode="0&quot; years&quot;"/>
    <numFmt numFmtId="256" formatCode="0.0\x_);&quot;nm&quot;_);\-??"/>
    <numFmt numFmtId="257" formatCode="#,##0.0_);\(#,##0.0\);\-??"/>
    <numFmt numFmtId="258" formatCode="0.000_)"/>
    <numFmt numFmtId="259" formatCode="_-* #,##0.00_-;\-* #,##0.00_-;_-* &quot;-&quot;??_-;_-@_-"/>
    <numFmt numFmtId="260" formatCode="#,##0%_);\(#,##0%\);\-_)"/>
    <numFmt numFmtId="261" formatCode="#,##0.0\ \ ;[Red]\-#,##0.0\ \ "/>
    <numFmt numFmtId="262" formatCode="#,##0\ ;[Red]\(#,##0\);\ \-\ "/>
    <numFmt numFmtId="263" formatCode="_(#,##0_);\-#,##0_);_(0_)"/>
    <numFmt numFmtId="264" formatCode="[&gt;10000000]##&quot;,&quot;##&quot;,&quot;##&quot;,&quot;###\ ;[&gt;100000]\ ##&quot;,&quot;##&quot;,&quot;###\ ;#,000"/>
    <numFmt numFmtId="265" formatCode="0###0"/>
    <numFmt numFmtId="266" formatCode="&quot;$&quot;#,##0.00_);[Red]\(&quot;$&quot;#,##0.00\);&quot;--  &quot;;_(@_)"/>
    <numFmt numFmtId="267" formatCode="&quot;$&quot;#,##0.0_);[Red]\(&quot;$&quot;#,##0.0\)"/>
    <numFmt numFmtId="268" formatCode="\$* #,##0_);[Red]\$* \(#,##0\);\$* &quot;-&quot;_);[Blue]&quot;Error-&quot;@"/>
    <numFmt numFmtId="269" formatCode="\$* #,##0.0_);[Red]\$* \(#,##0.0\);\$* &quot;-&quot;_);[Blue]&quot;Error-&quot;@"/>
    <numFmt numFmtId="270" formatCode="\$* #,##0.00_);[Red]\$* \(#,##0.00\);\$* &quot;-&quot;_);[Blue]&quot;Error-&quot;@"/>
    <numFmt numFmtId="271" formatCode="000"/>
    <numFmt numFmtId="272" formatCode="mmm\-d\-yy"/>
    <numFmt numFmtId="273" formatCode="mmm\-d\-yyyy"/>
    <numFmt numFmtId="274" formatCode="mmm\-yyyy"/>
    <numFmt numFmtId="275" formatCode="dd\-mmm\-yyyy"/>
    <numFmt numFmtId="276" formatCode="#,##0_);[Red]\(#,##0\);;@"/>
    <numFmt numFmtId="277" formatCode="_-[$€-2]* #,##0.00_-;\-[$€-2]* #,##0.00_-;_-[$€-2]* &quot;-&quot;??_-"/>
    <numFmt numFmtId="278" formatCode="_-[$€]* #,##0.00_-;\-[$€]* #,##0.00_-;_-[$€]* &quot;-&quot;??_-;_-@_-"/>
    <numFmt numFmtId="279" formatCode="_(* #,##0.0_);_(* \(#,##0.0\);_(* &quot; - &quot;_);_(@_)"/>
    <numFmt numFmtId="280" formatCode="_(#,##0.0_);\(#,##0.0\);_(&quot;-&quot;_)"/>
    <numFmt numFmtId="281" formatCode="###0_);\(###0\)"/>
    <numFmt numFmtId="282" formatCode="General\ ;[Red]\(General\)"/>
    <numFmt numFmtId="283" formatCode="#,##0.0"/>
    <numFmt numFmtId="284" formatCode="#,##0.0_)"/>
    <numFmt numFmtId="285" formatCode="#,##0;\(#,##0\);\-?;@&quot;&quot;"/>
    <numFmt numFmtId="286" formatCode=";;;"/>
    <numFmt numFmtId="287" formatCode="#,##0\ \ "/>
    <numFmt numFmtId="288" formatCode="0.0\x_)"/>
    <numFmt numFmtId="289" formatCode="#,##0.0_);[Red]\(#,##0.0\)"/>
    <numFmt numFmtId="290" formatCode="0.0%;[Red]\(0.0%\)"/>
    <numFmt numFmtId="291" formatCode="0&quot; quarters&quot;_)"/>
    <numFmt numFmtId="292" formatCode="0&quot; years&quot;_)"/>
    <numFmt numFmtId="293" formatCode="0.00%_);\(0.00%\)"/>
    <numFmt numFmtId="294" formatCode="#,##0.00;\(#,##0.00\);\-?;@&quot;&quot;"/>
    <numFmt numFmtId="295" formatCode="_-* #,##0\ _P_t_a_-;\-* #,##0\ _P_t_a_-;_-* &quot;-&quot;\ _P_t_a_-;_-@_-"/>
    <numFmt numFmtId="296" formatCode="&quot;$&quot;#,##0.00"/>
    <numFmt numFmtId="297" formatCode="#,##0.0,,\ ;[Red]\(#,##0.0,,\);\ \-\ "/>
    <numFmt numFmtId="298" formatCode="\€#,##0.0_);\(\€#,##0.0\)"/>
    <numFmt numFmtId="299" formatCode="#,##0\x_);\(#,##0\x\)"/>
    <numFmt numFmtId="300" formatCode="#,##0%_);\(#,##0%\)"/>
    <numFmt numFmtId="301" formatCode="_-* #,##0\ &quot;Pta&quot;_-;\-* #,##0\ &quot;Pta&quot;_-;_-* &quot;-&quot;\ &quot;Pta&quot;_-;_-@_-"/>
    <numFmt numFmtId="302" formatCode="_-* #,##0.00\ &quot;Pta&quot;_-;\-* #,##0.00\ &quot;Pta&quot;_-;_-* &quot;-&quot;??\ &quot;Pta&quot;_-;_-@_-"/>
    <numFmt numFmtId="303" formatCode="#,##0\ &quot;F&quot;;[Red]\-#,##0\ &quot;F&quot;"/>
    <numFmt numFmtId="304" formatCode="#,##0.00\ &quot;F&quot;;[Red]\-#,##0.00\ &quot;F&quot;"/>
    <numFmt numFmtId="305" formatCode="#,##0.0\x_);\(#,##0.0\x\);\-_)"/>
    <numFmt numFmtId="306" formatCode="#,##0.00\x_);\(#,##0.00\x\);\-_)"/>
    <numFmt numFmtId="307" formatCode="#,##0.0_);[Red]\(#,##0.0\);&quot;N/A &quot;"/>
    <numFmt numFmtId="308" formatCode="#,##0.0_);\(#,##0.0\);0.0_)"/>
    <numFmt numFmtId="309" formatCode="0,"/>
    <numFmt numFmtId="310" formatCode="#,##0%;\(#,##0%\);@&quot;&quot;"/>
    <numFmt numFmtId="311" formatCode="#,##0.0_);[Red]\(#,##0.0\);&quot;--  &quot;"/>
    <numFmt numFmtId="312" formatCode="#,##0.000_);[Red]\(#,##0.000\)"/>
    <numFmt numFmtId="313" formatCode="0.000000"/>
    <numFmt numFmtId="314" formatCode="#,##0.0_)\ ;[Red]\(#,##0.0\)\ "/>
    <numFmt numFmtId="315" formatCode="#,##0.00\x_);[Red]\(#,##0.00\x\);&quot;--  &quot;"/>
    <numFmt numFmtId="316" formatCode="#,##0.00_)&quot; &quot;;[Red]\(#,##0.00\)&quot; &quot;"/>
    <numFmt numFmtId="317" formatCode="0.0%&quot;NetPPE/sales&quot;"/>
    <numFmt numFmtId="318" formatCode="0.0%&quot;NWI/Sls&quot;"/>
    <numFmt numFmtId="319" formatCode="_-* #,##0.0000_-;\-* #,##0.0000_-;_-* &quot;-&quot;?_-;_-@_-"/>
    <numFmt numFmtId="320" formatCode="0%;[Red]\(0%\)"/>
    <numFmt numFmtId="321" formatCode="0.0%;\(0.0%\)"/>
    <numFmt numFmtId="322" formatCode="0.0%;[Red]\(0.0%\);&quot;--  &quot;"/>
    <numFmt numFmtId="323" formatCode="_(* #,##0.000_);_(* \(#,##0.000\);_(* &quot;-&quot;??_);_(@_)"/>
    <numFmt numFmtId="324" formatCode="0.000%;[Red]\(0.000%\)"/>
    <numFmt numFmtId="325" formatCode="0.000%;;&quot;-- &quot;"/>
    <numFmt numFmtId="326" formatCode="0.00%;\(0.00%\);\-"/>
    <numFmt numFmtId="327" formatCode="#,##0.00%_);\(#,##0.00%\);\-_)"/>
    <numFmt numFmtId="328" formatCode="0.0%&quot;Sales&quot;"/>
    <numFmt numFmtId="329" formatCode="&quot;Proj &quot;0;;"/>
    <numFmt numFmtId="330" formatCode="#,##0.00_);\(#,##0.00\);\-??"/>
    <numFmt numFmtId="331" formatCode="d/mm/yyyy"/>
    <numFmt numFmtId="332" formatCode="#,##0.0;\(#,##0.0\)"/>
    <numFmt numFmtId="333" formatCode="mm/dd/yy"/>
    <numFmt numFmtId="334" formatCode="#,##0.0_);\(#,##0.0\);0_)"/>
    <numFmt numFmtId="335" formatCode="_(&quot;$&quot;* #,##0.0_);_(&quot;$&quot;* \(#,##0.0\);_(&quot;$&quot;* &quot;-&quot;??_);_(@_)"/>
    <numFmt numFmtId="336" formatCode="&quot;TFCF: &quot;#,##0_);[Red]&quot;No! &quot;\(#,##0\)"/>
    <numFmt numFmtId="337" formatCode="#,##0,\ ;[Red]\(#,##0,\);\ \-\ "/>
    <numFmt numFmtId="338" formatCode="0.0\ &quot;x&quot;"/>
    <numFmt numFmtId="339" formatCode="_-* #,##0_-;\-* #,##0_-;_-* &quot;-&quot;_-;_-@_-"/>
    <numFmt numFmtId="340" formatCode="General_)"/>
    <numFmt numFmtId="341" formatCode="0##0"/>
    <numFmt numFmtId="342" formatCode="_-&quot;$&quot;* #,##0_-;\-&quot;$&quot;* #,##0_-;_-&quot;$&quot;* &quot;-&quot;_-;_-@_-"/>
    <numFmt numFmtId="343" formatCode="_-&quot;$&quot;* #,##0.00_-;\-&quot;$&quot;* #,##0.00_-;_-&quot;$&quot;* &quot;-&quot;??_-;_-@_-"/>
    <numFmt numFmtId="344" formatCode="_(0_);\(0\);_(&quot;-&quot;_)"/>
    <numFmt numFmtId="345" formatCode="\¥#,##0_);\(\¥#,##0\)"/>
    <numFmt numFmtId="346" formatCode="[$-409]d/mmm/yy;@"/>
    <numFmt numFmtId="347" formatCode="0.000%"/>
    <numFmt numFmtId="348" formatCode="[$-409]mmm/yy;@"/>
    <numFmt numFmtId="349" formatCode="_ * #,##0_ ;_ * \-#,##0_ ;_ * &quot;-&quot;??_ ;_ @_ "/>
    <numFmt numFmtId="350" formatCode="\$#,##0.00;[Red]\-\$#,##0.00"/>
    <numFmt numFmtId="351" formatCode="#,##0.00;[Red]\(#,##0.00\)"/>
    <numFmt numFmtId="352" formatCode="mm/dd/yy_)"/>
    <numFmt numFmtId="353" formatCode="_(&quot;$&quot;* #,##0_);_(&quot;$&quot;* \(#,##0\);_(&quot;$&quot;* &quot;-&quot;??_);_(@_)"/>
    <numFmt numFmtId="354" formatCode="mmm\ dd\,\ yy"/>
    <numFmt numFmtId="355" formatCode="_(* #,##0.0_);_(* \(#,##0.0\);_(* &quot;-&quot;??_);_(@_)"/>
  </numFmts>
  <fonts count="2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color theme="0" tint="-0.499984740745262"/>
      <name val="Times New Roman"/>
      <family val="1"/>
    </font>
    <font>
      <sz val="11"/>
      <color theme="0"/>
      <name val="Times New Roman"/>
      <family val="1"/>
    </font>
    <font>
      <sz val="11"/>
      <color theme="3"/>
      <name val="Times New Roman"/>
      <family val="1"/>
    </font>
    <font>
      <sz val="11"/>
      <color theme="1"/>
      <name val="Times New Roman"/>
      <family val="1"/>
    </font>
    <font>
      <sz val="10"/>
      <color theme="2" tint="-0.499984740745262"/>
      <name val="Times New Roman"/>
      <family val="1"/>
    </font>
    <font>
      <sz val="11"/>
      <color theme="0" tint="-0.499984740745262"/>
      <name val="Calibri"/>
      <family val="2"/>
      <scheme val="minor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b/>
      <sz val="12"/>
      <color theme="2" tint="-0.499984740745262"/>
      <name val="Times New Roman"/>
      <family val="1"/>
    </font>
    <font>
      <b/>
      <sz val="12"/>
      <color theme="2" tint="-0.749992370372631"/>
      <name val="Times New Roman"/>
      <family val="1"/>
    </font>
    <font>
      <b/>
      <sz val="10"/>
      <color theme="2" tint="-0.499984740745262"/>
      <name val="Times New Roman"/>
      <family val="1"/>
    </font>
    <font>
      <b/>
      <sz val="14"/>
      <color theme="2" tint="-0.499984740745262"/>
      <name val="Times New Roman"/>
      <family val="1"/>
    </font>
    <font>
      <sz val="12"/>
      <color theme="1"/>
      <name val="Times New Roman"/>
      <family val="2"/>
    </font>
    <font>
      <sz val="9"/>
      <name val="Arial"/>
      <family val="2"/>
    </font>
    <font>
      <sz val="10"/>
      <name val="Book Antiqua"/>
      <family val="1"/>
    </font>
    <font>
      <sz val="10"/>
      <name val="Courier"/>
      <family val="3"/>
    </font>
    <font>
      <sz val="10"/>
      <name val="Helv"/>
      <charset val="204"/>
    </font>
    <font>
      <sz val="10"/>
      <name val="Arial Cyr"/>
      <family val="2"/>
      <charset val="204"/>
    </font>
    <font>
      <sz val="8"/>
      <color indexed="8"/>
      <name val="Arial"/>
      <family val="2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9"/>
      <color indexed="8"/>
      <name val="Book Antiqua"/>
      <family val="1"/>
    </font>
    <font>
      <sz val="12"/>
      <name val="Times New Roman"/>
      <family val="1"/>
    </font>
    <font>
      <b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4"/>
      <name val="AngsanaUPC"/>
      <family val="1"/>
    </font>
    <font>
      <b/>
      <sz val="14"/>
      <name val="Times New Roman"/>
      <family val="1"/>
    </font>
    <font>
      <b/>
      <sz val="12"/>
      <name val="Tms Rmn"/>
    </font>
    <font>
      <sz val="12"/>
      <name val="Arial"/>
      <family val="2"/>
    </font>
    <font>
      <sz val="9"/>
      <color rgb="FFC00000"/>
      <name val="Calibri"/>
      <family val="2"/>
      <scheme val="minor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8"/>
      <color indexed="12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</font>
    <font>
      <sz val="8"/>
      <name val="Helv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0"/>
      <name val="MS Sans Serif"/>
      <family val="2"/>
    </font>
    <font>
      <b/>
      <i/>
      <sz val="9"/>
      <name val="Palatino"/>
      <family val="1"/>
    </font>
    <font>
      <i/>
      <sz val="8"/>
      <color indexed="12"/>
      <name val="Arial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u val="singleAccounting"/>
      <sz val="10"/>
      <name val="Arial"/>
      <family val="2"/>
    </font>
    <font>
      <b/>
      <i/>
      <sz val="9"/>
      <name val="Arial"/>
      <family val="2"/>
    </font>
    <font>
      <sz val="12"/>
      <name val="¹ÙÅÁÃ¼"/>
      <charset val="129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sz val="8"/>
      <name val="Times New Roman"/>
      <family val="1"/>
    </font>
    <font>
      <b/>
      <sz val="8"/>
      <color indexed="8"/>
      <name val="Arial"/>
      <family val="2"/>
    </font>
    <font>
      <b/>
      <sz val="10"/>
      <name val="Helv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i/>
      <sz val="8"/>
      <name val="Arial"/>
      <family val="2"/>
    </font>
    <font>
      <b/>
      <sz val="8"/>
      <name val="Book Antiqua"/>
      <family val="1"/>
    </font>
    <font>
      <sz val="8"/>
      <color indexed="17"/>
      <name val="Times New Roman"/>
      <family val="1"/>
    </font>
    <font>
      <b/>
      <sz val="9"/>
      <name val="Palatino"/>
      <family val="1"/>
    </font>
    <font>
      <sz val="11"/>
      <name val="Tms Rmn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name val="Verdana"/>
      <family val="2"/>
    </font>
    <font>
      <sz val="12"/>
      <color indexed="8"/>
      <name val="Times New Roman"/>
      <family val="2"/>
    </font>
    <font>
      <sz val="10"/>
      <color indexed="12"/>
      <name val="Book Antiqua"/>
      <family val="1"/>
    </font>
    <font>
      <b/>
      <sz val="18"/>
      <name val="Palatino"/>
      <family val="1"/>
    </font>
    <font>
      <b/>
      <sz val="8"/>
      <name val="Arial"/>
      <family val="2"/>
    </font>
    <font>
      <sz val="28"/>
      <color indexed="8"/>
      <name val="BakerSignet"/>
    </font>
    <font>
      <b/>
      <u/>
      <sz val="11"/>
      <name val="Times New Roman"/>
      <family val="1"/>
    </font>
    <font>
      <sz val="11"/>
      <color indexed="12"/>
      <name val="Book Antiqua"/>
      <family val="1"/>
    </font>
    <font>
      <sz val="12"/>
      <name val="Helv"/>
    </font>
    <font>
      <sz val="10"/>
      <name val="Century Gothic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indexed="9"/>
      <name val="Times New Roman"/>
      <family val="1"/>
    </font>
    <font>
      <sz val="8"/>
      <color indexed="10"/>
      <name val="Arial"/>
      <family val="2"/>
    </font>
    <font>
      <sz val="9"/>
      <name val="Verdana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sz val="9"/>
      <name val="Times New Roman"/>
      <family val="1"/>
    </font>
    <font>
      <sz val="10"/>
      <name val="Arial Narrow"/>
      <family val="2"/>
    </font>
    <font>
      <sz val="7"/>
      <name val="Palatino"/>
      <family val="1"/>
    </font>
    <font>
      <b/>
      <sz val="10"/>
      <name val="Book Antiqua"/>
      <family val="1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b/>
      <sz val="12"/>
      <name val="Helv"/>
    </font>
    <font>
      <sz val="6"/>
      <color indexed="16"/>
      <name val="Palatino"/>
      <family val="1"/>
    </font>
    <font>
      <b/>
      <sz val="12"/>
      <name val="Arial"/>
      <family val="2"/>
    </font>
    <font>
      <i/>
      <u/>
      <sz val="9"/>
      <color theme="1"/>
      <name val="Calibri"/>
      <family val="2"/>
      <scheme val="minor"/>
    </font>
    <font>
      <b/>
      <sz val="8"/>
      <name val="Palatino"/>
      <family val="1"/>
    </font>
    <font>
      <b/>
      <sz val="14"/>
      <name val="MS Sans Serif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b/>
      <i/>
      <sz val="14"/>
      <color indexed="8"/>
      <name val="Arial"/>
      <family val="2"/>
    </font>
    <font>
      <u/>
      <sz val="9.35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9.6"/>
      <color indexed="12"/>
      <name val="Times New Roman"/>
      <family val="2"/>
    </font>
    <font>
      <u/>
      <sz val="9"/>
      <color indexed="12"/>
      <name val="Arial"/>
      <family val="2"/>
    </font>
    <font>
      <sz val="10"/>
      <color indexed="8"/>
      <name val="Arial Narrow"/>
      <family val="2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u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39"/>
      <name val="Arial"/>
      <family val="2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sz val="10"/>
      <name val="Palatino"/>
      <family val="1"/>
    </font>
    <font>
      <b/>
      <sz val="9"/>
      <color theme="1"/>
      <name val="Calibri"/>
      <family val="2"/>
      <scheme val="minor"/>
    </font>
    <font>
      <sz val="8"/>
      <color indexed="16"/>
      <name val="Arial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name val="MS Sans Serif"/>
      <family val="2"/>
    </font>
    <font>
      <b/>
      <sz val="14"/>
      <color indexed="24"/>
      <name val="Book Antiqua"/>
      <family val="1"/>
    </font>
    <font>
      <b/>
      <sz val="11"/>
      <name val="Helv"/>
    </font>
    <font>
      <i/>
      <sz val="7"/>
      <color indexed="10"/>
      <name val="Arial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2"/>
      <name val="Helvetica"/>
      <family val="2"/>
    </font>
    <font>
      <sz val="12"/>
      <color theme="1"/>
      <name val="Garamond"/>
      <family val="2"/>
    </font>
    <font>
      <sz val="10"/>
      <color indexed="8"/>
      <name val="Verdana"/>
      <family val="2"/>
    </font>
    <font>
      <i/>
      <sz val="10"/>
      <color indexed="18"/>
      <name val="Century Gothic"/>
      <family val="2"/>
    </font>
    <font>
      <sz val="7"/>
      <color indexed="8"/>
      <name val="Arial"/>
      <family val="2"/>
    </font>
    <font>
      <sz val="8"/>
      <name val="Book Antiqua"/>
      <family val="1"/>
    </font>
    <font>
      <b/>
      <sz val="9"/>
      <color rgb="FFFA7D00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26"/>
      <name val="Times New Roman"/>
      <family val="1"/>
    </font>
    <font>
      <sz val="10"/>
      <color indexed="16"/>
      <name val="Helvetica-Black"/>
    </font>
    <font>
      <i/>
      <sz val="14"/>
      <name val="Times New Roman"/>
      <family val="1"/>
    </font>
    <font>
      <b/>
      <sz val="22"/>
      <name val="Book Antiqua"/>
      <family val="1"/>
    </font>
    <font>
      <i/>
      <sz val="8"/>
      <name val="Arial"/>
      <family val="2"/>
    </font>
    <font>
      <i/>
      <sz val="10"/>
      <color indexed="12"/>
      <name val="Book Antiqua"/>
      <family val="1"/>
    </font>
    <font>
      <sz val="10"/>
      <name val="Tms Rmn"/>
    </font>
    <font>
      <b/>
      <sz val="10"/>
      <name val="Arial CE"/>
      <family val="2"/>
      <charset val="238"/>
    </font>
    <font>
      <sz val="10"/>
      <name val="Palatino"/>
      <family val="1"/>
    </font>
    <font>
      <b/>
      <sz val="10"/>
      <name val="Century Gothic"/>
      <family val="2"/>
    </font>
    <font>
      <b/>
      <i/>
      <sz val="10"/>
      <name val="Arial"/>
      <family val="2"/>
    </font>
    <font>
      <sz val="10"/>
      <color indexed="8"/>
      <name val="Times New Roman"/>
      <family val="1"/>
    </font>
    <font>
      <b/>
      <sz val="8"/>
      <color indexed="28"/>
      <name val="Arial"/>
      <family val="2"/>
    </font>
    <font>
      <b/>
      <u/>
      <sz val="10"/>
      <color indexed="18"/>
      <name val="Century Gothic"/>
      <family val="2"/>
    </font>
    <font>
      <b/>
      <sz val="18"/>
      <color indexed="62"/>
      <name val="Cambria"/>
      <family val="2"/>
    </font>
    <font>
      <b/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9"/>
      <color indexed="36"/>
      <name val="Arial"/>
      <family val="2"/>
    </font>
    <font>
      <i/>
      <sz val="8"/>
      <name val="Times New Roman"/>
      <family val="1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sz val="10"/>
      <color indexed="39"/>
      <name val="Arial"/>
      <family val="2"/>
    </font>
    <font>
      <b/>
      <sz val="11"/>
      <color indexed="10"/>
      <name val="Arial"/>
      <family val="2"/>
    </font>
    <font>
      <b/>
      <sz val="11"/>
      <color indexed="23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b/>
      <sz val="11"/>
      <color indexed="33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b/>
      <sz val="12"/>
      <color indexed="18"/>
      <name val="Times New Roman"/>
      <family val="1"/>
    </font>
    <font>
      <sz val="9"/>
      <name val="Helvetica-Black"/>
    </font>
    <font>
      <sz val="9"/>
      <color indexed="21"/>
      <name val="Helvetica-Black"/>
    </font>
    <font>
      <u/>
      <sz val="8"/>
      <name val="Arial"/>
      <family val="2"/>
    </font>
    <font>
      <b/>
      <sz val="9"/>
      <color theme="3"/>
      <name val="Calibri"/>
      <family val="2"/>
      <scheme val="minor"/>
    </font>
    <font>
      <b/>
      <sz val="7"/>
      <name val="Arial"/>
      <family val="2"/>
    </font>
    <font>
      <sz val="9"/>
      <color theme="1" tint="0.499984740745262"/>
      <name val="Calibri"/>
      <family val="2"/>
      <scheme val="minor"/>
    </font>
    <font>
      <sz val="10"/>
      <color indexed="55"/>
      <name val="Arial"/>
      <family val="2"/>
    </font>
    <font>
      <b/>
      <sz val="14"/>
      <name val="Book Antiqua"/>
      <family val="1"/>
    </font>
    <font>
      <b/>
      <sz val="12"/>
      <name val="Book Antiqua"/>
      <family val="1"/>
    </font>
    <font>
      <b/>
      <sz val="11"/>
      <name val="Times New Roman"/>
      <family val="1"/>
    </font>
    <font>
      <sz val="12"/>
      <color indexed="13"/>
      <name val="Helv"/>
    </font>
    <font>
      <b/>
      <u/>
      <sz val="9"/>
      <name val="Arial"/>
      <family val="2"/>
    </font>
    <font>
      <b/>
      <sz val="9"/>
      <color indexed="9"/>
      <name val="Arial"/>
      <family val="2"/>
    </font>
    <font>
      <b/>
      <sz val="18"/>
      <color indexed="56"/>
      <name val="Cambria"/>
      <family val="2"/>
    </font>
    <font>
      <b/>
      <i/>
      <sz val="12"/>
      <name val="Times New Roman"/>
      <family val="1"/>
    </font>
    <font>
      <b/>
      <i/>
      <sz val="16"/>
      <name val="Book Antiqua"/>
      <family val="1"/>
    </font>
    <font>
      <b/>
      <sz val="10"/>
      <color theme="1"/>
      <name val="Calibri"/>
      <family val="2"/>
      <scheme val="minor"/>
    </font>
    <font>
      <b/>
      <sz val="7"/>
      <color indexed="12"/>
      <name val="Arial"/>
      <family val="2"/>
    </font>
    <font>
      <sz val="9"/>
      <color theme="0" tint="-0.34998626667073579"/>
      <name val="Calibri"/>
      <family val="2"/>
      <scheme val="minor"/>
    </font>
    <font>
      <sz val="8"/>
      <color indexed="18"/>
      <name val="Times New Roman"/>
      <family val="1"/>
    </font>
    <font>
      <sz val="8"/>
      <color indexed="18"/>
      <name val="Arial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8"/>
      <color indexed="9"/>
      <name val="Arial"/>
      <family val="2"/>
    </font>
    <font>
      <b/>
      <sz val="9"/>
      <color rgb="FFFF0000"/>
      <name val="Calibri"/>
      <family val="2"/>
      <scheme val="minor"/>
    </font>
    <font>
      <sz val="10"/>
      <name val="Arial Cyr"/>
    </font>
    <font>
      <sz val="12"/>
      <name val="바탕체"/>
      <family val="1"/>
      <charset val="129"/>
    </font>
    <font>
      <sz val="10"/>
      <color theme="3"/>
      <name val="Times New Roman"/>
      <family val="1"/>
    </font>
    <font>
      <b/>
      <sz val="12"/>
      <color theme="1"/>
      <name val="Times New Roman"/>
      <family val="1"/>
    </font>
    <font>
      <sz val="8"/>
      <color indexed="8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3"/>
      <name val="Calibri"/>
      <family val="2"/>
      <scheme val="minor"/>
    </font>
    <font>
      <sz val="11"/>
      <name val="Times New Roman"/>
      <family val="1"/>
    </font>
    <font>
      <sz val="12"/>
      <name val="???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u/>
      <sz val="9"/>
      <color indexed="3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u/>
      <sz val="9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name val="蹈框"/>
      <charset val="134"/>
    </font>
    <font>
      <sz val="11"/>
      <color indexed="52"/>
      <name val="宋体"/>
      <charset val="134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4"/>
      <name val="Times New Roman"/>
      <family val="1"/>
    </font>
    <font>
      <sz val="10"/>
      <color theme="4"/>
      <name val="Times New Roman"/>
      <family val="1"/>
    </font>
    <font>
      <sz val="10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gray0625">
        <bgColor theme="0" tint="-4.9989318521683403E-2"/>
      </patternFill>
    </fill>
    <fill>
      <patternFill patternType="mediumGray">
        <bgColor theme="0" tint="-4.9989318521683403E-2"/>
      </patternFill>
    </fill>
    <fill>
      <patternFill patternType="gray0625">
        <fgColor theme="0" tint="-4.9989318521683403E-2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lightGray">
        <fgColor indexed="13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Gray"/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lightGray">
        <fgColor indexed="8"/>
      </patternFill>
    </fill>
    <fill>
      <patternFill patternType="solid">
        <fgColor indexed="34"/>
        <bgColor indexed="64"/>
      </patternFill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13"/>
      </patternFill>
    </fill>
    <fill>
      <patternFill patternType="solid">
        <f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mediumGray">
        <fgColor indexed="22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43"/>
        <bgColor indexed="52"/>
      </patternFill>
    </fill>
    <fill>
      <patternFill patternType="solid">
        <fgColor indexed="12"/>
      </patternFill>
    </fill>
    <fill>
      <patternFill patternType="solid">
        <fgColor indexed="16"/>
        <bgColor indexed="16"/>
      </patternFill>
    </fill>
    <fill>
      <patternFill patternType="solid">
        <fgColor theme="5" tint="0.79998168889431442"/>
        <bgColor indexed="64"/>
      </patternFill>
    </fill>
    <fill>
      <patternFill patternType="lightGray">
        <f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bgColor rgb="FFFFFF00"/>
      </patternFill>
    </fill>
  </fills>
  <borders count="104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ck">
        <color theme="3"/>
      </top>
      <bottom/>
      <diagonal/>
    </border>
    <border>
      <left/>
      <right/>
      <top/>
      <bottom style="thick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 style="thick">
        <color theme="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9"/>
      </right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ck">
        <color indexed="9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2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/>
      <top style="thin">
        <color rgb="FF00B0F0"/>
      </top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3"/>
      </top>
      <bottom style="double">
        <color theme="3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ck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3"/>
      </bottom>
      <diagonal/>
    </border>
    <border>
      <left/>
      <right style="thin">
        <color indexed="64"/>
      </right>
      <top style="medium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</borders>
  <cellStyleXfs count="3698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0" fontId="22" fillId="0" borderId="0"/>
    <xf numFmtId="181" fontId="5" fillId="0" borderId="0"/>
    <xf numFmtId="181" fontId="23" fillId="0" borderId="0" applyFont="0" applyFill="0" applyBorder="0" applyAlignment="0"/>
    <xf numFmtId="182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8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1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 applyNumberFormat="0" applyFill="0" applyBorder="0" applyProtection="0"/>
    <xf numFmtId="171" fontId="5" fillId="0" borderId="0" applyNumberFormat="0" applyFill="0" applyBorder="0" applyProtection="0"/>
    <xf numFmtId="189" fontId="5" fillId="0" borderId="0" applyFont="0" applyFill="0" applyBorder="0" applyAlignment="0" applyProtection="0"/>
    <xf numFmtId="190" fontId="22" fillId="0" borderId="0" applyFont="0" applyFill="0" applyBorder="0" applyAlignment="0" applyProtection="0"/>
    <xf numFmtId="189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0" fontId="22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81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96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98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1" fontId="4" fillId="0" borderId="0" applyFont="0" applyFill="0" applyBorder="0" applyAlignment="0" applyProtection="0"/>
    <xf numFmtId="39" fontId="22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188" fontId="24" fillId="0" borderId="0"/>
    <xf numFmtId="188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 applyNumberFormat="0" applyFill="0" applyBorder="0" applyProtection="0"/>
    <xf numFmtId="171" fontId="5" fillId="0" borderId="0" applyNumberFormat="0" applyFill="0" applyBorder="0" applyProtection="0"/>
    <xf numFmtId="171" fontId="5" fillId="0" borderId="0" applyNumberFormat="0" applyFill="0" applyBorder="0" applyProtection="0"/>
    <xf numFmtId="171" fontId="5" fillId="0" borderId="0" applyNumberFormat="0" applyFill="0" applyBorder="0" applyProtection="0"/>
    <xf numFmtId="171" fontId="5" fillId="0" borderId="0" applyNumberFormat="0" applyFill="0" applyBorder="0" applyProtection="0"/>
    <xf numFmtId="171" fontId="5" fillId="0" borderId="0" applyNumberFormat="0" applyFill="0" applyBorder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08" fontId="27" fillId="0" borderId="0">
      <alignment vertical="center"/>
    </xf>
    <xf numFmtId="209" fontId="28" fillId="0" borderId="0" applyNumberFormat="0" applyFill="0" applyBorder="0" applyAlignment="0" applyProtection="0"/>
    <xf numFmtId="210" fontId="5" fillId="0" borderId="0" applyNumberFormat="0" applyFill="0" applyBorder="0" applyAlignment="0" applyProtection="0"/>
    <xf numFmtId="181" fontId="29" fillId="0" borderId="27" applyNumberFormat="0" applyFill="0" applyProtection="0">
      <alignment horizontal="center"/>
    </xf>
    <xf numFmtId="181" fontId="28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29" fillId="0" borderId="27" applyNumberFormat="0" applyFill="0" applyProtection="0">
      <alignment horizontal="center"/>
    </xf>
    <xf numFmtId="181" fontId="29" fillId="0" borderId="27" applyNumberFormat="0" applyFill="0" applyProtection="0">
      <alignment horizontal="center"/>
    </xf>
    <xf numFmtId="181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209" fontId="5" fillId="40" borderId="0" applyNumberFormat="0" applyFont="0" applyAlignment="0" applyProtection="0"/>
    <xf numFmtId="210" fontId="5" fillId="40" borderId="0" applyNumberFormat="0" applyFont="0" applyAlignment="0" applyProtection="0"/>
    <xf numFmtId="208" fontId="27" fillId="0" borderId="0">
      <alignment vertical="center"/>
    </xf>
    <xf numFmtId="201" fontId="30" fillId="41" borderId="28" applyNumberFormat="0" applyAlignment="0" applyProtection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208" fontId="27" fillId="0" borderId="0">
      <alignment vertical="center"/>
    </xf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20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08" fontId="27" fillId="0" borderId="0">
      <alignment vertical="center"/>
    </xf>
    <xf numFmtId="208" fontId="2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3" fontId="4" fillId="0" borderId="0" applyFont="0" applyFill="0" applyBorder="0" applyAlignment="0" applyProtection="0"/>
    <xf numFmtId="214" fontId="5" fillId="0" borderId="0" applyFont="0" applyFill="0" applyBorder="0" applyAlignment="0" applyProtection="0"/>
    <xf numFmtId="213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1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8" fontId="5" fillId="0" borderId="0" applyFont="0" applyFill="0" applyBorder="0" applyProtection="0">
      <alignment horizontal="right"/>
    </xf>
    <xf numFmtId="219" fontId="5" fillId="0" borderId="0" applyFont="0" applyFill="0" applyBorder="0" applyAlignment="0" applyProtection="0"/>
    <xf numFmtId="218" fontId="5" fillId="0" borderId="0" applyFont="0" applyFill="0" applyBorder="0" applyProtection="0">
      <alignment horizontal="right"/>
    </xf>
    <xf numFmtId="220" fontId="5" fillId="0" borderId="0" applyFont="0" applyFill="0" applyBorder="0" applyProtection="0">
      <alignment horizontal="right"/>
    </xf>
    <xf numFmtId="181" fontId="5" fillId="0" borderId="0" applyFont="0" applyFill="0" applyBorder="0" applyProtection="0">
      <alignment horizontal="right"/>
    </xf>
    <xf numFmtId="181" fontId="5" fillId="0" borderId="0" applyFont="0" applyFill="0" applyBorder="0" applyProtection="0">
      <alignment horizontal="right"/>
    </xf>
    <xf numFmtId="221" fontId="5" fillId="0" borderId="0" applyFont="0" applyFill="0" applyBorder="0" applyProtection="0">
      <alignment horizontal="right"/>
    </xf>
    <xf numFmtId="222" fontId="5" fillId="0" borderId="0" applyFont="0" applyFill="0" applyBorder="0" applyProtection="0">
      <alignment horizontal="right"/>
    </xf>
    <xf numFmtId="181" fontId="5" fillId="0" borderId="0" applyFont="0" applyFill="0" applyBorder="0" applyProtection="0">
      <alignment horizontal="right"/>
    </xf>
    <xf numFmtId="221" fontId="5" fillId="0" borderId="0" applyFont="0" applyFill="0" applyBorder="0" applyProtection="0">
      <alignment horizontal="right"/>
    </xf>
    <xf numFmtId="221" fontId="5" fillId="0" borderId="0" applyFont="0" applyFill="0" applyBorder="0" applyProtection="0">
      <alignment horizontal="right"/>
    </xf>
    <xf numFmtId="221" fontId="5" fillId="0" borderId="0" applyFont="0" applyFill="0" applyBorder="0" applyProtection="0">
      <alignment horizontal="right"/>
    </xf>
    <xf numFmtId="223" fontId="5" fillId="0" borderId="0" applyFont="0" applyFill="0" applyBorder="0" applyAlignment="0" applyProtection="0"/>
    <xf numFmtId="181" fontId="5" fillId="0" borderId="0" applyFont="0" applyFill="0" applyBorder="0" applyProtection="0">
      <alignment horizontal="right"/>
    </xf>
    <xf numFmtId="181" fontId="5" fillId="0" borderId="0" applyFont="0" applyFill="0" applyBorder="0" applyProtection="0">
      <alignment horizontal="right"/>
    </xf>
    <xf numFmtId="218" fontId="5" fillId="0" borderId="0" applyFont="0" applyFill="0" applyBorder="0" applyProtection="0">
      <alignment horizontal="right"/>
    </xf>
    <xf numFmtId="169" fontId="4" fillId="0" borderId="0" applyFont="0" applyFill="0" applyBorder="0" applyAlignment="0" applyProtection="0"/>
    <xf numFmtId="22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1" fontId="5" fillId="0" borderId="0" applyNumberFormat="0" applyFill="0" applyBorder="0" applyAlignment="0" applyProtection="0"/>
    <xf numFmtId="181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25" fontId="5" fillId="0" borderId="0" applyFont="0" applyFill="0" applyBorder="0" applyAlignment="0" applyProtection="0"/>
    <xf numFmtId="226" fontId="4" fillId="0" borderId="0" applyFont="0" applyFill="0" applyBorder="0" applyAlignment="0" applyProtection="0"/>
    <xf numFmtId="225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08" fontId="27" fillId="0" borderId="0">
      <alignment vertical="center"/>
    </xf>
    <xf numFmtId="208" fontId="27" fillId="0" borderId="0">
      <alignment vertical="center"/>
    </xf>
    <xf numFmtId="208" fontId="27" fillId="0" borderId="0">
      <alignment vertical="center"/>
    </xf>
    <xf numFmtId="208" fontId="27" fillId="0" borderId="0">
      <alignment vertical="center"/>
    </xf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1" fontId="29" fillId="0" borderId="0" applyNumberFormat="0" applyFill="0" applyProtection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0" fontId="25" fillId="0" borderId="0"/>
    <xf numFmtId="0" fontId="25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8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09" fontId="31" fillId="0" borderId="0" applyNumberFormat="0" applyFill="0" applyBorder="0" applyProtection="0">
      <alignment vertical="top"/>
    </xf>
    <xf numFmtId="210" fontId="5" fillId="0" borderId="0" applyNumberFormat="0" applyFill="0" applyBorder="0" applyProtection="0">
      <alignment vertical="top"/>
    </xf>
    <xf numFmtId="181" fontId="31" fillId="0" borderId="0" applyNumberFormat="0" applyFill="0" applyBorder="0" applyProtection="0">
      <alignment vertical="top"/>
    </xf>
    <xf numFmtId="181" fontId="31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31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31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5" fillId="0" borderId="0" applyNumberFormat="0" applyFill="0" applyBorder="0" applyProtection="0">
      <alignment vertical="top"/>
    </xf>
    <xf numFmtId="181" fontId="31" fillId="0" borderId="0" applyNumberFormat="0" applyFill="0" applyBorder="0" applyProtection="0">
      <alignment vertical="top"/>
    </xf>
    <xf numFmtId="181" fontId="31" fillId="0" borderId="0" applyNumberFormat="0" applyFill="0" applyBorder="0" applyProtection="0">
      <alignment vertical="top"/>
    </xf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0" fontId="25" fillId="0" borderId="0"/>
    <xf numFmtId="181" fontId="29" fillId="0" borderId="29" applyNumberFormat="0" applyFill="0" applyProtection="0">
      <alignment horizontal="centerContinuous"/>
    </xf>
    <xf numFmtId="209" fontId="32" fillId="0" borderId="30" applyNumberFormat="0" applyFill="0" applyAlignment="0" applyProtection="0"/>
    <xf numFmtId="210" fontId="5" fillId="0" borderId="31" applyNumberFormat="0" applyFill="0" applyAlignment="0" applyProtection="0"/>
    <xf numFmtId="181" fontId="32" fillId="0" borderId="30" applyNumberFormat="0" applyFill="0" applyAlignment="0" applyProtection="0"/>
    <xf numFmtId="181" fontId="32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32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5" fillId="0" borderId="30" applyNumberFormat="0" applyFill="0" applyAlignment="0" applyProtection="0"/>
    <xf numFmtId="181" fontId="32" fillId="0" borderId="30" applyNumberFormat="0" applyFill="0" applyAlignment="0" applyProtection="0"/>
    <xf numFmtId="181" fontId="32" fillId="0" borderId="30" applyNumberFormat="0" applyFill="0" applyAlignment="0" applyProtection="0"/>
    <xf numFmtId="209" fontId="33" fillId="0" borderId="27" applyNumberFormat="0" applyFill="0" applyProtection="0">
      <alignment horizontal="center"/>
    </xf>
    <xf numFmtId="210" fontId="5" fillId="0" borderId="27" applyNumberFormat="0" applyFill="0" applyProtection="0">
      <alignment horizontal="center"/>
    </xf>
    <xf numFmtId="181" fontId="33" fillId="0" borderId="27" applyNumberFormat="0" applyFill="0" applyProtection="0">
      <alignment horizontal="center"/>
    </xf>
    <xf numFmtId="181" fontId="33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5" fillId="0" borderId="27" applyNumberFormat="0" applyFill="0" applyProtection="0">
      <alignment horizontal="center"/>
    </xf>
    <xf numFmtId="181" fontId="33" fillId="0" borderId="27" applyNumberFormat="0" applyFill="0" applyProtection="0">
      <alignment horizontal="center"/>
    </xf>
    <xf numFmtId="181" fontId="33" fillId="0" borderId="27" applyNumberFormat="0" applyFill="0" applyProtection="0">
      <alignment horizontal="center"/>
    </xf>
    <xf numFmtId="209" fontId="33" fillId="0" borderId="0" applyNumberFormat="0" applyFill="0" applyBorder="0" applyProtection="0">
      <alignment horizontal="left"/>
    </xf>
    <xf numFmtId="210" fontId="5" fillId="0" borderId="0" applyNumberFormat="0" applyFill="0" applyBorder="0" applyProtection="0">
      <alignment horizontal="left"/>
    </xf>
    <xf numFmtId="181" fontId="33" fillId="0" borderId="0" applyNumberFormat="0" applyFill="0" applyBorder="0" applyProtection="0">
      <alignment horizontal="left"/>
    </xf>
    <xf numFmtId="181" fontId="33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5" fillId="0" borderId="0" applyNumberFormat="0" applyFill="0" applyBorder="0" applyProtection="0">
      <alignment horizontal="left"/>
    </xf>
    <xf numFmtId="181" fontId="33" fillId="0" borderId="0" applyNumberFormat="0" applyFill="0" applyBorder="0" applyProtection="0">
      <alignment horizontal="left"/>
    </xf>
    <xf numFmtId="181" fontId="33" fillId="0" borderId="0" applyNumberFormat="0" applyFill="0" applyBorder="0" applyProtection="0">
      <alignment horizontal="left"/>
    </xf>
    <xf numFmtId="209" fontId="34" fillId="0" borderId="0" applyNumberFormat="0" applyFill="0" applyBorder="0" applyProtection="0">
      <alignment horizontal="centerContinuous"/>
    </xf>
    <xf numFmtId="210" fontId="5" fillId="0" borderId="0" applyNumberFormat="0" applyFill="0" applyProtection="0">
      <alignment horizontal="centerContinuous"/>
    </xf>
    <xf numFmtId="181" fontId="34" fillId="0" borderId="0" applyNumberFormat="0" applyFill="0" applyBorder="0" applyProtection="0">
      <alignment horizontal="centerContinuous"/>
    </xf>
    <xf numFmtId="181" fontId="34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34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5" fillId="0" borderId="0" applyNumberFormat="0" applyFill="0" applyBorder="0" applyProtection="0">
      <alignment horizontal="centerContinuous"/>
    </xf>
    <xf numFmtId="181" fontId="34" fillId="0" borderId="0" applyNumberFormat="0" applyFill="0" applyBorder="0" applyProtection="0">
      <alignment horizontal="centerContinuous"/>
    </xf>
    <xf numFmtId="181" fontId="34" fillId="0" borderId="0" applyNumberFormat="0" applyFill="0" applyBorder="0" applyProtection="0">
      <alignment horizontal="centerContinuous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42" borderId="32">
      <alignment horizontal="center"/>
    </xf>
    <xf numFmtId="0" fontId="5" fillId="0" borderId="0" applyNumberFormat="0" applyFill="0" applyBorder="0" applyAlignment="0" applyProtection="0"/>
    <xf numFmtId="2" fontId="4" fillId="0" borderId="0"/>
    <xf numFmtId="181" fontId="36" fillId="0" borderId="0" applyFont="0" applyFill="0" applyBorder="0" applyAlignment="0" applyProtection="0"/>
    <xf numFmtId="208" fontId="27" fillId="0" borderId="0">
      <alignment vertical="center"/>
    </xf>
    <xf numFmtId="181" fontId="36" fillId="0" borderId="0" applyFont="0" applyFill="0" applyBorder="0" applyAlignment="0" applyProtection="0"/>
    <xf numFmtId="181" fontId="5" fillId="0" borderId="0"/>
    <xf numFmtId="181" fontId="37" fillId="0" borderId="0" applyNumberFormat="0" applyFill="0" applyBorder="0" applyAlignment="0" applyProtection="0"/>
    <xf numFmtId="0" fontId="38" fillId="0" borderId="0" applyFill="0" applyBorder="0">
      <alignment vertical="center"/>
    </xf>
    <xf numFmtId="0" fontId="39" fillId="0" borderId="0" applyFill="0" applyBorder="0">
      <alignment vertical="center"/>
    </xf>
    <xf numFmtId="230" fontId="39" fillId="0" borderId="0" applyFont="0" applyFill="0" applyBorder="0" applyAlignment="0" applyProtection="0"/>
    <xf numFmtId="231" fontId="39" fillId="0" borderId="18" applyFont="0" applyFill="0" applyBorder="0" applyAlignment="0" applyProtection="0">
      <alignment horizontal="right"/>
    </xf>
    <xf numFmtId="231" fontId="39" fillId="0" borderId="18" applyFont="0" applyFill="0" applyBorder="0" applyAlignment="0" applyProtection="0">
      <alignment horizontal="right"/>
    </xf>
    <xf numFmtId="231" fontId="39" fillId="0" borderId="18" applyFont="0" applyFill="0" applyBorder="0" applyAlignment="0" applyProtection="0">
      <alignment horizontal="right"/>
    </xf>
    <xf numFmtId="0" fontId="5" fillId="0" borderId="0" applyNumberFormat="0" applyFont="0" applyBorder="0" applyAlignment="0"/>
    <xf numFmtId="0" fontId="40" fillId="0" borderId="0" applyFont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232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2" fillId="16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232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2" fillId="20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232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2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232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2" fillId="28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232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2" fillId="32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232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2" fillId="36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232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2" fillId="17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232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2" fillId="21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232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2" fillId="25" borderId="0" applyNumberFormat="0" applyBorder="0" applyAlignment="0" applyProtection="0"/>
    <xf numFmtId="0" fontId="41" fillId="5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232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2" fillId="29" borderId="0" applyNumberFormat="0" applyBorder="0" applyAlignment="0" applyProtection="0"/>
    <xf numFmtId="0" fontId="41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232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2" fillId="33" borderId="0" applyNumberFormat="0" applyBorder="0" applyAlignment="0" applyProtection="0"/>
    <xf numFmtId="0" fontId="41" fillId="49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232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2" fillId="37" borderId="0" applyNumberFormat="0" applyBorder="0" applyAlignment="0" applyProtection="0"/>
    <xf numFmtId="0" fontId="41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232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4" fillId="18" borderId="0" applyNumberFormat="0" applyBorder="0" applyAlignment="0" applyProtection="0"/>
    <xf numFmtId="0" fontId="43" fillId="53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232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4" fillId="22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232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4" fillId="26" borderId="0" applyNumberFormat="0" applyBorder="0" applyAlignment="0" applyProtection="0"/>
    <xf numFmtId="0" fontId="43" fillId="51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232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4" fillId="30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232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4" fillId="34" borderId="0" applyNumberFormat="0" applyBorder="0" applyAlignment="0" applyProtection="0"/>
    <xf numFmtId="0" fontId="43" fillId="55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232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4" fillId="38" borderId="0" applyNumberFormat="0" applyBorder="0" applyAlignment="0" applyProtection="0"/>
    <xf numFmtId="0" fontId="43" fillId="56" borderId="0" applyNumberFormat="0" applyBorder="0" applyAlignment="0" applyProtection="0"/>
    <xf numFmtId="9" fontId="45" fillId="0" borderId="0"/>
    <xf numFmtId="181" fontId="22" fillId="0" borderId="0"/>
    <xf numFmtId="209" fontId="41" fillId="57" borderId="0" applyNumberFormat="0" applyBorder="0" applyAlignment="0" applyProtection="0"/>
    <xf numFmtId="209" fontId="41" fillId="57" borderId="0" applyNumberFormat="0" applyBorder="0" applyAlignment="0" applyProtection="0"/>
    <xf numFmtId="209" fontId="43" fillId="58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232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44" fillId="15" borderId="0" applyNumberFormat="0" applyBorder="0" applyAlignment="0" applyProtection="0"/>
    <xf numFmtId="0" fontId="43" fillId="59" borderId="0" applyNumberFormat="0" applyBorder="0" applyAlignment="0" applyProtection="0"/>
    <xf numFmtId="209" fontId="41" fillId="60" borderId="0" applyNumberFormat="0" applyBorder="0" applyAlignment="0" applyProtection="0"/>
    <xf numFmtId="209" fontId="41" fillId="61" borderId="0" applyNumberFormat="0" applyBorder="0" applyAlignment="0" applyProtection="0"/>
    <xf numFmtId="209" fontId="43" fillId="62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232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4" fillId="19" borderId="0" applyNumberFormat="0" applyBorder="0" applyAlignment="0" applyProtection="0"/>
    <xf numFmtId="0" fontId="43" fillId="63" borderId="0" applyNumberFormat="0" applyBorder="0" applyAlignment="0" applyProtection="0"/>
    <xf numFmtId="209" fontId="41" fillId="60" borderId="0" applyNumberFormat="0" applyBorder="0" applyAlignment="0" applyProtection="0"/>
    <xf numFmtId="209" fontId="41" fillId="64" borderId="0" applyNumberFormat="0" applyBorder="0" applyAlignment="0" applyProtection="0"/>
    <xf numFmtId="209" fontId="43" fillId="61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232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4" fillId="23" borderId="0" applyNumberFormat="0" applyBorder="0" applyAlignment="0" applyProtection="0"/>
    <xf numFmtId="0" fontId="43" fillId="65" borderId="0" applyNumberFormat="0" applyBorder="0" applyAlignment="0" applyProtection="0"/>
    <xf numFmtId="209" fontId="41" fillId="57" borderId="0" applyNumberFormat="0" applyBorder="0" applyAlignment="0" applyProtection="0"/>
    <xf numFmtId="209" fontId="41" fillId="61" borderId="0" applyNumberFormat="0" applyBorder="0" applyAlignment="0" applyProtection="0"/>
    <xf numFmtId="209" fontId="43" fillId="61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232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4" fillId="27" borderId="0" applyNumberFormat="0" applyBorder="0" applyAlignment="0" applyProtection="0"/>
    <xf numFmtId="0" fontId="43" fillId="54" borderId="0" applyNumberFormat="0" applyBorder="0" applyAlignment="0" applyProtection="0"/>
    <xf numFmtId="209" fontId="41" fillId="66" borderId="0" applyNumberFormat="0" applyBorder="0" applyAlignment="0" applyProtection="0"/>
    <xf numFmtId="209" fontId="41" fillId="57" borderId="0" applyNumberFormat="0" applyBorder="0" applyAlignment="0" applyProtection="0"/>
    <xf numFmtId="209" fontId="43" fillId="58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232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4" fillId="31" borderId="0" applyNumberFormat="0" applyBorder="0" applyAlignment="0" applyProtection="0"/>
    <xf numFmtId="0" fontId="43" fillId="55" borderId="0" applyNumberFormat="0" applyBorder="0" applyAlignment="0" applyProtection="0"/>
    <xf numFmtId="209" fontId="41" fillId="60" borderId="0" applyNumberFormat="0" applyBorder="0" applyAlignment="0" applyProtection="0"/>
    <xf numFmtId="209" fontId="41" fillId="67" borderId="0" applyNumberFormat="0" applyBorder="0" applyAlignment="0" applyProtection="0"/>
    <xf numFmtId="209" fontId="43" fillId="67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232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4" fillId="35" borderId="0" applyNumberFormat="0" applyBorder="0" applyAlignment="0" applyProtection="0"/>
    <xf numFmtId="0" fontId="43" fillId="68" borderId="0" applyNumberFormat="0" applyBorder="0" applyAlignment="0" applyProtection="0"/>
    <xf numFmtId="233" fontId="39" fillId="0" borderId="0" applyFill="0" applyBorder="0" applyProtection="0">
      <alignment horizontal="right"/>
    </xf>
    <xf numFmtId="181" fontId="23" fillId="0" borderId="0" applyNumberFormat="0" applyFont="0" applyFill="0" applyBorder="0" applyProtection="0">
      <alignment horizontal="centerContinuous"/>
    </xf>
    <xf numFmtId="234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181" fontId="5" fillId="0" borderId="0"/>
    <xf numFmtId="37" fontId="46" fillId="0" borderId="0" applyFont="0" applyAlignment="0">
      <alignment horizontal="centerContinuous" vertical="top"/>
    </xf>
    <xf numFmtId="181" fontId="47" fillId="0" borderId="0"/>
    <xf numFmtId="181" fontId="5" fillId="0" borderId="0" applyNumberFormat="0" applyFill="0" applyBorder="0" applyAlignment="0" applyProtection="0"/>
    <xf numFmtId="181" fontId="48" fillId="0" borderId="0" applyNumberFormat="0" applyFill="0" applyBorder="0" applyAlignment="0" applyProtection="0"/>
    <xf numFmtId="173" fontId="49" fillId="11" borderId="11" applyAlignment="0">
      <protection locked="0"/>
    </xf>
    <xf numFmtId="15" fontId="49" fillId="11" borderId="11" applyAlignment="0">
      <protection locked="0"/>
    </xf>
    <xf numFmtId="236" fontId="49" fillId="11" borderId="11" applyAlignment="0">
      <protection locked="0"/>
    </xf>
    <xf numFmtId="0" fontId="49" fillId="69" borderId="11" applyNumberFormat="0" applyAlignment="0"/>
    <xf numFmtId="0" fontId="49" fillId="11" borderId="11" applyNumberFormat="0" applyAlignment="0">
      <protection locked="0"/>
    </xf>
    <xf numFmtId="169" fontId="49" fillId="11" borderId="11" applyAlignment="0">
      <protection locked="0"/>
    </xf>
    <xf numFmtId="236" fontId="49" fillId="11" borderId="11" applyAlignment="0">
      <protection locked="0"/>
    </xf>
    <xf numFmtId="0" fontId="49" fillId="69" borderId="11" applyNumberFormat="0" applyAlignment="0"/>
    <xf numFmtId="237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232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1" fillId="9" borderId="0" applyNumberFormat="0" applyBorder="0" applyAlignment="0" applyProtection="0"/>
    <xf numFmtId="0" fontId="50" fillId="44" borderId="0" applyNumberFormat="0" applyBorder="0" applyAlignment="0" applyProtection="0"/>
    <xf numFmtId="190" fontId="5" fillId="0" borderId="0" applyNumberFormat="0" applyFont="0" applyAlignment="0" applyProtection="0"/>
    <xf numFmtId="14" fontId="52" fillId="0" borderId="0" applyNumberFormat="0" applyFill="0" applyBorder="0" applyAlignment="0" applyProtection="0">
      <alignment horizontal="center"/>
    </xf>
    <xf numFmtId="181" fontId="53" fillId="0" borderId="0" applyNumberFormat="0" applyFill="0" applyBorder="0" applyAlignment="0" applyProtection="0"/>
    <xf numFmtId="181" fontId="54" fillId="70" borderId="33">
      <alignment horizontal="center" vertical="center"/>
    </xf>
    <xf numFmtId="239" fontId="55" fillId="0" borderId="0"/>
    <xf numFmtId="181" fontId="4" fillId="0" borderId="0"/>
    <xf numFmtId="37" fontId="56" fillId="0" borderId="0" applyNumberFormat="0" applyFill="0" applyBorder="0" applyAlignment="0" applyProtection="0">
      <protection locked="0"/>
    </xf>
    <xf numFmtId="181" fontId="57" fillId="0" borderId="18" applyNumberFormat="0" applyFill="0" applyAlignment="0" applyProtection="0"/>
    <xf numFmtId="181" fontId="57" fillId="0" borderId="18" applyNumberFormat="0" applyFill="0" applyAlignment="0" applyProtection="0"/>
    <xf numFmtId="164" fontId="58" fillId="0" borderId="25" applyAlignment="0" applyProtection="0"/>
    <xf numFmtId="181" fontId="23" fillId="0" borderId="18" applyNumberFormat="0" applyFont="0" applyFill="0" applyAlignment="0" applyProtection="0"/>
    <xf numFmtId="181" fontId="23" fillId="0" borderId="18" applyNumberFormat="0" applyFont="0" applyFill="0" applyAlignment="0" applyProtection="0"/>
    <xf numFmtId="190" fontId="59" fillId="0" borderId="34" applyBorder="0"/>
    <xf numFmtId="240" fontId="60" fillId="71" borderId="0" applyFont="0" applyFill="0" applyBorder="0" applyAlignment="0" applyProtection="0"/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49" fontId="61" fillId="0" borderId="0" applyFont="0" applyFill="0" applyBorder="0" applyAlignment="0" applyProtection="0">
      <alignment horizontal="left"/>
    </xf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41" fontId="22" fillId="0" borderId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236" fontId="39" fillId="0" borderId="0" applyFill="0" applyBorder="0" applyAlignment="0" applyProtection="0"/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39" fillId="0" borderId="0" applyNumberFormat="0" applyAlignment="0" applyProtection="0">
      <alignment horizontal="left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35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2" fillId="0" borderId="0" applyNumberFormat="0" applyAlignment="0" applyProtection="0">
      <alignment horizontal="left" wrapText="1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49" fontId="63" fillId="0" borderId="0" applyAlignment="0" applyProtection="0">
      <alignment horizontal="left"/>
    </xf>
    <xf numFmtId="242" fontId="64" fillId="0" borderId="0" applyFont="0" applyFill="0" applyBorder="0" applyAlignment="0" applyProtection="0"/>
    <xf numFmtId="167" fontId="5" fillId="72" borderId="17" applyFont="0" applyFill="0" applyBorder="0" applyAlignment="0" applyProtection="0"/>
    <xf numFmtId="165" fontId="5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65" fillId="0" borderId="0" applyNumberFormat="0" applyFill="0" applyBorder="0" applyAlignment="0" applyProtection="0"/>
    <xf numFmtId="17" fontId="40" fillId="0" borderId="0">
      <alignment horizontal="center"/>
    </xf>
    <xf numFmtId="0" fontId="66" fillId="0" borderId="0"/>
    <xf numFmtId="243" fontId="22" fillId="0" borderId="0"/>
    <xf numFmtId="244" fontId="22" fillId="0" borderId="0"/>
    <xf numFmtId="245" fontId="22" fillId="0" borderId="0"/>
    <xf numFmtId="243" fontId="22" fillId="0" borderId="25"/>
    <xf numFmtId="244" fontId="22" fillId="0" borderId="25"/>
    <xf numFmtId="245" fontId="22" fillId="0" borderId="25"/>
    <xf numFmtId="246" fontId="22" fillId="0" borderId="0"/>
    <xf numFmtId="247" fontId="22" fillId="0" borderId="0"/>
    <xf numFmtId="248" fontId="22" fillId="0" borderId="0"/>
    <xf numFmtId="246" fontId="22" fillId="0" borderId="25"/>
    <xf numFmtId="247" fontId="22" fillId="0" borderId="25"/>
    <xf numFmtId="248" fontId="22" fillId="0" borderId="25"/>
    <xf numFmtId="249" fontId="22" fillId="0" borderId="0">
      <alignment horizontal="right"/>
      <protection locked="0"/>
    </xf>
    <xf numFmtId="250" fontId="22" fillId="0" borderId="0">
      <alignment horizontal="right"/>
      <protection locked="0"/>
    </xf>
    <xf numFmtId="251" fontId="22" fillId="0" borderId="0"/>
    <xf numFmtId="252" fontId="22" fillId="0" borderId="0"/>
    <xf numFmtId="253" fontId="22" fillId="0" borderId="0"/>
    <xf numFmtId="251" fontId="22" fillId="0" borderId="25"/>
    <xf numFmtId="254" fontId="22" fillId="0" borderId="25"/>
    <xf numFmtId="253" fontId="22" fillId="0" borderId="25"/>
    <xf numFmtId="0" fontId="67" fillId="73" borderId="36" applyNumberFormat="0" applyAlignment="0" applyProtection="0"/>
    <xf numFmtId="0" fontId="67" fillId="73" borderId="36" applyNumberFormat="0" applyAlignment="0" applyProtection="0"/>
    <xf numFmtId="232" fontId="67" fillId="73" borderId="36" applyNumberFormat="0" applyAlignment="0" applyProtection="0"/>
    <xf numFmtId="0" fontId="67" fillId="73" borderId="36" applyNumberFormat="0" applyAlignment="0" applyProtection="0"/>
    <xf numFmtId="0" fontId="68" fillId="12" borderId="11" applyNumberFormat="0" applyAlignment="0" applyProtection="0"/>
    <xf numFmtId="0" fontId="67" fillId="73" borderId="36" applyNumberFormat="0" applyAlignment="0" applyProtection="0"/>
    <xf numFmtId="39" fontId="69" fillId="74" borderId="0" applyNumberFormat="0" applyFont="0" applyBorder="0" applyAlignment="0"/>
    <xf numFmtId="209" fontId="70" fillId="0" borderId="37">
      <alignment horizontal="right" vertical="center"/>
    </xf>
    <xf numFmtId="0" fontId="71" fillId="0" borderId="0"/>
    <xf numFmtId="181" fontId="23" fillId="0" borderId="0" applyNumberFormat="0" applyFont="0" applyFill="0" applyBorder="0" applyProtection="0">
      <alignment horizontal="center"/>
    </xf>
    <xf numFmtId="0" fontId="72" fillId="75" borderId="38" applyNumberFormat="0" applyAlignment="0" applyProtection="0"/>
    <xf numFmtId="0" fontId="72" fillId="75" borderId="38" applyNumberFormat="0" applyAlignment="0" applyProtection="0"/>
    <xf numFmtId="232" fontId="72" fillId="75" borderId="38" applyNumberFormat="0" applyAlignment="0" applyProtection="0"/>
    <xf numFmtId="0" fontId="72" fillId="75" borderId="38" applyNumberFormat="0" applyAlignment="0" applyProtection="0"/>
    <xf numFmtId="0" fontId="73" fillId="13" borderId="14" applyNumberFormat="0" applyAlignment="0" applyProtection="0"/>
    <xf numFmtId="0" fontId="72" fillId="75" borderId="38" applyNumberFormat="0" applyAlignment="0" applyProtection="0"/>
    <xf numFmtId="190" fontId="39" fillId="0" borderId="0" applyNumberFormat="0" applyFont="0" applyAlignment="0" applyProtection="0"/>
    <xf numFmtId="181" fontId="39" fillId="0" borderId="0" applyNumberFormat="0" applyFill="0" applyBorder="0" applyAlignment="0" applyProtection="0"/>
    <xf numFmtId="181" fontId="74" fillId="0" borderId="0" applyNumberFormat="0" applyFill="0" applyBorder="0" applyAlignment="0" applyProtection="0"/>
    <xf numFmtId="181" fontId="39" fillId="0" borderId="0" applyNumberFormat="0" applyFill="0" applyBorder="0" applyAlignment="0" applyProtection="0"/>
    <xf numFmtId="209" fontId="70" fillId="0" borderId="39">
      <alignment horizontal="left" vertical="center"/>
    </xf>
    <xf numFmtId="181" fontId="75" fillId="0" borderId="40" applyNumberFormat="0" applyFill="0" applyBorder="0" applyAlignment="0" applyProtection="0">
      <alignment horizontal="center"/>
    </xf>
    <xf numFmtId="181" fontId="75" fillId="0" borderId="40" applyNumberFormat="0" applyFill="0" applyBorder="0" applyAlignment="0" applyProtection="0">
      <alignment horizontal="center"/>
    </xf>
    <xf numFmtId="209" fontId="70" fillId="0" borderId="41">
      <alignment horizontal="right" vertical="center"/>
    </xf>
    <xf numFmtId="255" fontId="70" fillId="0" borderId="41">
      <alignment horizontal="right" vertical="center"/>
    </xf>
    <xf numFmtId="17" fontId="70" fillId="0" borderId="41">
      <alignment horizontal="right" vertical="center"/>
    </xf>
    <xf numFmtId="256" fontId="70" fillId="0" borderId="41">
      <alignment horizontal="right" vertical="center"/>
    </xf>
    <xf numFmtId="186" fontId="70" fillId="0" borderId="41">
      <alignment horizontal="right" vertical="center"/>
    </xf>
    <xf numFmtId="192" fontId="70" fillId="0" borderId="41">
      <alignment horizontal="right" vertical="center"/>
    </xf>
    <xf numFmtId="38" fontId="76" fillId="0" borderId="42"/>
    <xf numFmtId="257" fontId="39" fillId="0" borderId="0">
      <alignment vertical="center"/>
    </xf>
    <xf numFmtId="190" fontId="77" fillId="0" borderId="40" applyBorder="0">
      <alignment horizontal="center"/>
    </xf>
    <xf numFmtId="190" fontId="77" fillId="0" borderId="40" applyBorder="0">
      <alignment horizontal="center"/>
    </xf>
    <xf numFmtId="258" fontId="78" fillId="0" borderId="0"/>
    <xf numFmtId="258" fontId="78" fillId="0" borderId="0"/>
    <xf numFmtId="258" fontId="78" fillId="0" borderId="0"/>
    <xf numFmtId="258" fontId="78" fillId="0" borderId="0"/>
    <xf numFmtId="258" fontId="78" fillId="0" borderId="0"/>
    <xf numFmtId="258" fontId="78" fillId="0" borderId="0"/>
    <xf numFmtId="258" fontId="78" fillId="0" borderId="0"/>
    <xf numFmtId="258" fontId="78" fillId="0" borderId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>
      <alignment horizontal="right"/>
    </xf>
    <xf numFmtId="18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1" fontId="80" fillId="0" borderId="0" applyFont="0" applyFill="0" applyBorder="0" applyAlignment="0" applyProtection="0">
      <alignment horizontal="right"/>
    </xf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6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81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171" fontId="42" fillId="0" borderId="0" applyFont="0" applyFill="0" applyBorder="0" applyAlignment="0" applyProtection="0"/>
    <xf numFmtId="230" fontId="5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81" fillId="0" borderId="0" applyFont="0" applyFill="0" applyBorder="0" applyAlignment="0" applyProtection="0"/>
    <xf numFmtId="261" fontId="83" fillId="76" borderId="0" applyFill="0" applyBorder="0" applyAlignment="0">
      <protection locked="0"/>
    </xf>
    <xf numFmtId="261" fontId="23" fillId="0" borderId="0" applyFill="0" applyBorder="0" applyAlignment="0">
      <protection locked="0"/>
    </xf>
    <xf numFmtId="205" fontId="22" fillId="0" borderId="0" applyFont="0" applyFill="0" applyBorder="0" applyAlignment="0" applyProtection="0"/>
    <xf numFmtId="262" fontId="4" fillId="0" borderId="43"/>
    <xf numFmtId="190" fontId="84" fillId="0" borderId="44">
      <alignment horizontal="left"/>
    </xf>
    <xf numFmtId="263" fontId="85" fillId="0" borderId="0">
      <alignment vertical="center"/>
    </xf>
    <xf numFmtId="209" fontId="86" fillId="0" borderId="0">
      <alignment horizontal="left" vertical="center" indent="2"/>
    </xf>
    <xf numFmtId="264" fontId="27" fillId="0" borderId="0" applyFill="0" applyBorder="0" applyAlignment="0" applyProtection="0"/>
    <xf numFmtId="265" fontId="87" fillId="77" borderId="0" applyFill="0">
      <alignment horizontal="left" vertical="top"/>
      <protection locked="0"/>
    </xf>
    <xf numFmtId="266" fontId="39" fillId="0" borderId="45" applyFont="0" applyFill="0" applyBorder="0" applyAlignment="0" applyProtection="0"/>
    <xf numFmtId="267" fontId="39" fillId="0" borderId="0" applyFont="0" applyFill="0" applyBorder="0" applyAlignment="0"/>
    <xf numFmtId="181" fontId="23" fillId="0" borderId="0" applyFont="0" applyFill="0" applyBorder="0" applyAlignment="0" applyProtection="0"/>
    <xf numFmtId="167" fontId="5" fillId="0" borderId="0" applyFont="0" applyFill="0" applyBorder="0" applyAlignment="0"/>
    <xf numFmtId="181" fontId="88" fillId="0" borderId="46">
      <protection locked="0"/>
    </xf>
    <xf numFmtId="181" fontId="80" fillId="0" borderId="0" applyFont="0" applyFill="0" applyBorder="0" applyAlignment="0" applyProtection="0">
      <alignment horizontal="right"/>
    </xf>
    <xf numFmtId="170" fontId="21" fillId="0" borderId="0" applyFont="0" applyFill="0" applyBorder="0" applyAlignment="0" applyProtection="0"/>
    <xf numFmtId="181" fontId="80" fillId="0" borderId="0" applyFont="0" applyFill="0" applyBorder="0" applyAlignment="0" applyProtection="0">
      <alignment horizontal="right"/>
    </xf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8" fontId="89" fillId="0" borderId="0"/>
    <xf numFmtId="181" fontId="36" fillId="0" borderId="0" applyFont="0" applyFill="0" applyBorder="0" applyAlignment="0" applyProtection="0"/>
    <xf numFmtId="181" fontId="80" fillId="0" borderId="0" applyNumberFormat="0">
      <alignment horizontal="right"/>
    </xf>
    <xf numFmtId="188" fontId="89" fillId="0" borderId="47"/>
    <xf numFmtId="243" fontId="22" fillId="71" borderId="48">
      <protection locked="0"/>
    </xf>
    <xf numFmtId="244" fontId="22" fillId="71" borderId="48">
      <protection locked="0"/>
    </xf>
    <xf numFmtId="245" fontId="22" fillId="71" borderId="48">
      <protection locked="0"/>
    </xf>
    <xf numFmtId="268" fontId="22" fillId="71" borderId="48">
      <protection locked="0"/>
    </xf>
    <xf numFmtId="269" fontId="22" fillId="71" borderId="48">
      <protection locked="0"/>
    </xf>
    <xf numFmtId="270" fontId="22" fillId="71" borderId="48">
      <protection locked="0"/>
    </xf>
    <xf numFmtId="246" fontId="22" fillId="71" borderId="48">
      <protection locked="0"/>
    </xf>
    <xf numFmtId="249" fontId="22" fillId="78" borderId="48">
      <alignment horizontal="right"/>
      <protection locked="0"/>
    </xf>
    <xf numFmtId="250" fontId="22" fillId="78" borderId="48">
      <alignment horizontal="right"/>
      <protection locked="0"/>
    </xf>
    <xf numFmtId="181" fontId="22" fillId="79" borderId="48">
      <alignment horizontal="left"/>
      <protection locked="0"/>
    </xf>
    <xf numFmtId="49" fontId="22" fillId="80" borderId="48">
      <alignment horizontal="left" vertical="top" wrapText="1"/>
      <protection locked="0"/>
    </xf>
    <xf numFmtId="251" fontId="22" fillId="71" borderId="48">
      <protection locked="0"/>
    </xf>
    <xf numFmtId="254" fontId="22" fillId="71" borderId="48">
      <protection locked="0"/>
    </xf>
    <xf numFmtId="253" fontId="22" fillId="71" borderId="48">
      <protection locked="0"/>
    </xf>
    <xf numFmtId="49" fontId="22" fillId="80" borderId="48">
      <alignment horizontal="left"/>
      <protection locked="0"/>
    </xf>
    <xf numFmtId="271" fontId="22" fillId="71" borderId="48">
      <alignment horizontal="left" indent="1"/>
      <protection locked="0"/>
    </xf>
    <xf numFmtId="14" fontId="85" fillId="71" borderId="22" applyFill="0" applyBorder="0">
      <alignment horizontal="right"/>
    </xf>
    <xf numFmtId="38" fontId="5" fillId="0" borderId="0" applyFont="0" applyFill="0" applyBorder="0" applyAlignment="0" applyProtection="0"/>
    <xf numFmtId="15" fontId="85" fillId="0" borderId="0" applyFill="0" applyBorder="0" applyAlignment="0"/>
    <xf numFmtId="272" fontId="85" fillId="81" borderId="0" applyFont="0" applyFill="0" applyBorder="0" applyAlignment="0" applyProtection="0"/>
    <xf numFmtId="273" fontId="52" fillId="81" borderId="24" applyFont="0" applyFill="0" applyBorder="0" applyAlignment="0" applyProtection="0"/>
    <xf numFmtId="237" fontId="5" fillId="0" borderId="0" applyFont="0" applyFill="0" applyBorder="0" applyAlignment="0" applyProtection="0"/>
    <xf numFmtId="273" fontId="39" fillId="81" borderId="0" applyFont="0" applyFill="0" applyBorder="0" applyAlignment="0" applyProtection="0"/>
    <xf numFmtId="17" fontId="85" fillId="0" borderId="0" applyFill="0" applyBorder="0">
      <alignment horizontal="right"/>
    </xf>
    <xf numFmtId="274" fontId="85" fillId="0" borderId="40"/>
    <xf numFmtId="274" fontId="85" fillId="0" borderId="40"/>
    <xf numFmtId="274" fontId="85" fillId="0" borderId="4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80" fillId="0" borderId="0" applyFont="0" applyFill="0" applyBorder="0" applyAlignment="0" applyProtection="0"/>
    <xf numFmtId="14" fontId="5" fillId="0" borderId="0"/>
    <xf numFmtId="273" fontId="85" fillId="0" borderId="0" applyFill="0" applyBorder="0">
      <alignment horizontal="right"/>
    </xf>
    <xf numFmtId="15" fontId="27" fillId="0" borderId="0">
      <alignment horizontal="right" vertical="center"/>
    </xf>
    <xf numFmtId="275" fontId="4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39" fillId="0" borderId="0" applyFill="0" applyBorder="0" applyAlignment="0" applyProtection="0"/>
    <xf numFmtId="176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276" fontId="90" fillId="0" borderId="0" applyFont="0" applyFill="0" applyBorder="0">
      <alignment horizontal="left" vertical="top" wrapText="1"/>
      <protection locked="0"/>
    </xf>
    <xf numFmtId="166" fontId="39" fillId="0" borderId="0"/>
    <xf numFmtId="181" fontId="23" fillId="0" borderId="0" applyFont="0" applyFill="0" applyBorder="0" applyAlignment="0" applyProtection="0"/>
    <xf numFmtId="181" fontId="80" fillId="0" borderId="49" applyNumberFormat="0" applyFont="0" applyFill="0" applyAlignment="0" applyProtection="0"/>
    <xf numFmtId="181" fontId="23" fillId="0" borderId="42" applyNumberFormat="0" applyFont="0" applyFill="0" applyAlignment="0" applyProtection="0"/>
    <xf numFmtId="168" fontId="91" fillId="0" borderId="0" applyFill="0" applyBorder="0" applyAlignment="0" applyProtection="0"/>
    <xf numFmtId="209" fontId="92" fillId="82" borderId="0" applyNumberFormat="0" applyBorder="0" applyAlignment="0" applyProtection="0"/>
    <xf numFmtId="209" fontId="92" fillId="83" borderId="0" applyNumberFormat="0" applyBorder="0" applyAlignment="0" applyProtection="0"/>
    <xf numFmtId="209" fontId="92" fillId="84" borderId="0" applyNumberFormat="0" applyBorder="0" applyAlignment="0" applyProtection="0"/>
    <xf numFmtId="0" fontId="93" fillId="85" borderId="50" applyNumberFormat="0" applyFont="0" applyAlignment="0"/>
    <xf numFmtId="17" fontId="94" fillId="86" borderId="0">
      <alignment horizontal="left"/>
    </xf>
    <xf numFmtId="181" fontId="95" fillId="0" borderId="0">
      <alignment horizontal="center"/>
    </xf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32" fontId="5" fillId="0" borderId="0" applyNumberFormat="0" applyFont="0" applyFill="0" applyBorder="0" applyAlignment="0" applyProtection="0"/>
    <xf numFmtId="277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32" fontId="5" fillId="0" borderId="0" applyNumberFormat="0" applyFont="0" applyFill="0" applyBorder="0" applyAlignment="0" applyProtection="0"/>
    <xf numFmtId="278" fontId="96" fillId="0" borderId="0" applyFont="0" applyFill="0" applyBorder="0" applyAlignment="0" applyProtection="0"/>
    <xf numFmtId="0" fontId="41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232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279" fontId="99" fillId="0" borderId="0" applyFill="0" applyBorder="0">
      <alignment horizontal="right" vertical="top"/>
    </xf>
    <xf numFmtId="0" fontId="100" fillId="0" borderId="0" applyFill="0" applyBorder="0">
      <alignment horizontal="left" vertical="top" wrapText="1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280" fontId="70" fillId="0" borderId="0"/>
    <xf numFmtId="2" fontId="5" fillId="0" borderId="0" applyFill="0" applyBorder="0" applyAlignment="0" applyProtection="0"/>
    <xf numFmtId="281" fontId="5" fillId="81" borderId="0" applyFont="0" applyFill="0" applyBorder="0" applyAlignment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81" fontId="101" fillId="0" borderId="0" applyFill="0" applyBorder="0" applyProtection="0">
      <alignment horizontal="left"/>
    </xf>
    <xf numFmtId="181" fontId="102" fillId="0" borderId="0" applyNumberFormat="0" applyFill="0" applyBorder="0" applyAlignment="0" applyProtection="0"/>
    <xf numFmtId="181" fontId="38" fillId="0" borderId="0" applyNumberFormat="0" applyFill="0" applyBorder="0" applyAlignment="0" applyProtection="0"/>
    <xf numFmtId="282" fontId="90" fillId="0" borderId="0" applyFont="0">
      <alignment horizontal="left"/>
      <protection locked="0"/>
    </xf>
    <xf numFmtId="283" fontId="103" fillId="0" borderId="51">
      <alignment horizontal="right"/>
    </xf>
    <xf numFmtId="284" fontId="104" fillId="0" borderId="26" applyNumberFormat="0" applyFill="0" applyBorder="0" applyAlignment="0" applyProtection="0"/>
    <xf numFmtId="0" fontId="5" fillId="0" borderId="0" applyFont="0" applyFill="0" applyBorder="0" applyAlignment="0" applyProtection="0"/>
    <xf numFmtId="2" fontId="5" fillId="81" borderId="20" applyFill="0" applyBorder="0" applyProtection="0">
      <alignment horizontal="center"/>
    </xf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232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6" fillId="8" borderId="0" applyNumberFormat="0" applyBorder="0" applyAlignment="0" applyProtection="0"/>
    <xf numFmtId="0" fontId="105" fillId="45" borderId="0" applyNumberFormat="0" applyBorder="0" applyAlignment="0" applyProtection="0"/>
    <xf numFmtId="38" fontId="39" fillId="42" borderId="0" applyNumberFormat="0" applyBorder="0" applyAlignment="0" applyProtection="0"/>
    <xf numFmtId="38" fontId="39" fillId="87" borderId="0" applyNumberFormat="0" applyBorder="0" applyAlignment="0" applyProtection="0"/>
    <xf numFmtId="181" fontId="80" fillId="0" borderId="0" applyFont="0" applyFill="0" applyBorder="0" applyAlignment="0" applyProtection="0">
      <alignment horizontal="right"/>
    </xf>
    <xf numFmtId="190" fontId="52" fillId="0" borderId="0" applyNumberFormat="0" applyFill="0" applyBorder="0" applyAlignment="0" applyProtection="0"/>
    <xf numFmtId="0" fontId="107" fillId="0" borderId="0">
      <alignment horizontal="left"/>
    </xf>
    <xf numFmtId="181" fontId="108" fillId="0" borderId="0" applyProtection="0">
      <alignment horizontal="right"/>
    </xf>
    <xf numFmtId="0" fontId="109" fillId="0" borderId="52" applyNumberFormat="0" applyAlignment="0" applyProtection="0">
      <alignment horizontal="left" vertical="center"/>
    </xf>
    <xf numFmtId="0" fontId="109" fillId="0" borderId="21">
      <alignment horizontal="left" vertical="center"/>
    </xf>
    <xf numFmtId="0" fontId="110" fillId="0" borderId="0" applyNumberFormat="0" applyFill="0" applyBorder="0" applyAlignment="0"/>
    <xf numFmtId="181" fontId="111" fillId="0" borderId="0">
      <alignment horizontal="center"/>
    </xf>
    <xf numFmtId="0" fontId="112" fillId="88" borderId="7" applyNumberFormat="0" applyFont="0" applyAlignment="0">
      <alignment horizontal="left" vertical="center"/>
    </xf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232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4" fillId="0" borderId="54" applyNumberFormat="0" applyFill="0" applyAlignment="0" applyProtection="0"/>
    <xf numFmtId="0" fontId="114" fillId="0" borderId="54" applyNumberFormat="0" applyFill="0" applyAlignment="0" applyProtection="0"/>
    <xf numFmtId="232" fontId="114" fillId="0" borderId="54" applyNumberFormat="0" applyFill="0" applyAlignment="0" applyProtection="0"/>
    <xf numFmtId="0" fontId="114" fillId="0" borderId="54" applyNumberFormat="0" applyFill="0" applyAlignment="0" applyProtection="0"/>
    <xf numFmtId="0" fontId="114" fillId="0" borderId="54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232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232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1" fontId="111" fillId="0" borderId="0">
      <alignment horizontal="center"/>
    </xf>
    <xf numFmtId="181" fontId="111" fillId="0" borderId="0">
      <alignment horizontal="center"/>
    </xf>
    <xf numFmtId="285" fontId="27" fillId="0" borderId="0" applyNumberFormat="0" applyFont="0" applyAlignment="0"/>
    <xf numFmtId="209" fontId="116" fillId="89" borderId="0">
      <alignment vertical="center"/>
    </xf>
    <xf numFmtId="209" fontId="117" fillId="89" borderId="0">
      <alignment horizontal="left" vertical="center"/>
    </xf>
    <xf numFmtId="232" fontId="109" fillId="39" borderId="0" applyFont="0" applyAlignment="0">
      <alignment vertical="center"/>
    </xf>
    <xf numFmtId="0" fontId="109" fillId="39" borderId="0" applyFont="0" applyAlignment="0">
      <alignment vertical="center"/>
    </xf>
    <xf numFmtId="181" fontId="69" fillId="90" borderId="0" applyFont="0" applyFill="0" applyBorder="0" applyAlignment="0" applyProtection="0">
      <alignment horizontal="left"/>
    </xf>
    <xf numFmtId="286" fontId="5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87" fontId="123" fillId="91" borderId="0"/>
    <xf numFmtId="181" fontId="23" fillId="0" borderId="0" applyNumberFormat="0" applyFill="0" applyBorder="0" applyAlignment="0" applyProtection="0"/>
    <xf numFmtId="10" fontId="39" fillId="42" borderId="7" applyNumberFormat="0" applyBorder="0" applyAlignment="0" applyProtection="0"/>
    <xf numFmtId="10" fontId="39" fillId="81" borderId="7" applyNumberFormat="0" applyBorder="0" applyAlignment="0" applyProtection="0"/>
    <xf numFmtId="0" fontId="124" fillId="48" borderId="36" applyNumberFormat="0" applyAlignment="0" applyProtection="0"/>
    <xf numFmtId="0" fontId="124" fillId="48" borderId="36" applyNumberFormat="0" applyAlignment="0" applyProtection="0"/>
    <xf numFmtId="232" fontId="124" fillId="48" borderId="36" applyNumberFormat="0" applyAlignment="0" applyProtection="0"/>
    <xf numFmtId="0" fontId="124" fillId="48" borderId="36" applyNumberFormat="0" applyAlignment="0" applyProtection="0"/>
    <xf numFmtId="0" fontId="125" fillId="11" borderId="11" applyNumberFormat="0" applyAlignment="0" applyProtection="0"/>
    <xf numFmtId="0" fontId="124" fillId="48" borderId="36" applyNumberFormat="0" applyAlignment="0" applyProtection="0"/>
    <xf numFmtId="208" fontId="126" fillId="71" borderId="0">
      <alignment horizontal="right" vertical="center"/>
    </xf>
    <xf numFmtId="257" fontId="127" fillId="71" borderId="7">
      <alignment vertical="center"/>
    </xf>
    <xf numFmtId="167" fontId="39" fillId="81" borderId="0" applyFont="0" applyBorder="0" applyAlignment="0" applyProtection="0">
      <protection locked="0"/>
    </xf>
    <xf numFmtId="273" fontId="39" fillId="81" borderId="0" applyFont="0" applyBorder="0" applyAlignment="0" applyProtection="0">
      <protection locked="0"/>
    </xf>
    <xf numFmtId="15" fontId="126" fillId="71" borderId="0">
      <alignment horizontal="right" vertical="center"/>
      <protection locked="0"/>
    </xf>
    <xf numFmtId="208" fontId="39" fillId="0" borderId="0">
      <alignment vertical="top"/>
    </xf>
    <xf numFmtId="257" fontId="27" fillId="0" borderId="0">
      <alignment vertical="top"/>
    </xf>
    <xf numFmtId="281" fontId="39" fillId="81" borderId="0" applyFont="0" applyBorder="0" applyAlignment="0">
      <protection locked="0"/>
    </xf>
    <xf numFmtId="288" fontId="126" fillId="71" borderId="0">
      <alignment horizontal="right" vertical="center"/>
      <protection locked="0"/>
    </xf>
    <xf numFmtId="289" fontId="39" fillId="81" borderId="0">
      <protection locked="0"/>
    </xf>
    <xf numFmtId="208" fontId="27" fillId="0" borderId="0">
      <alignment vertical="top"/>
    </xf>
    <xf numFmtId="257" fontId="27" fillId="0" borderId="0">
      <alignment vertical="center"/>
    </xf>
    <xf numFmtId="290" fontId="39" fillId="81" borderId="0" applyFont="0" applyBorder="0" applyAlignment="0">
      <protection locked="0"/>
    </xf>
    <xf numFmtId="10" fontId="39" fillId="81" borderId="0">
      <protection locked="0"/>
    </xf>
    <xf numFmtId="291" fontId="126" fillId="71" borderId="0">
      <alignment horizontal="right" vertical="center"/>
      <protection locked="0"/>
    </xf>
    <xf numFmtId="289" fontId="128" fillId="81" borderId="0" applyNumberFormat="0" applyBorder="0" applyAlignment="0">
      <protection locked="0"/>
    </xf>
    <xf numFmtId="292" fontId="126" fillId="71" borderId="0">
      <alignment horizontal="right" vertical="center"/>
      <protection locked="0"/>
    </xf>
    <xf numFmtId="181" fontId="104" fillId="0" borderId="0" applyNumberFormat="0" applyFill="0" applyBorder="0" applyAlignment="0">
      <protection locked="0"/>
    </xf>
    <xf numFmtId="190" fontId="104" fillId="0" borderId="0" applyNumberFormat="0" applyBorder="0" applyAlignment="0" applyProtection="0"/>
    <xf numFmtId="293" fontId="126" fillId="71" borderId="0">
      <alignment horizontal="right" vertical="center"/>
      <protection locked="0"/>
    </xf>
    <xf numFmtId="294" fontId="95" fillId="71" borderId="7"/>
    <xf numFmtId="291" fontId="27" fillId="0" borderId="40">
      <alignment horizontal="right" vertical="center" wrapText="1"/>
      <protection locked="0"/>
    </xf>
    <xf numFmtId="291" fontId="27" fillId="0" borderId="40">
      <alignment horizontal="right" vertical="center" wrapText="1"/>
      <protection locked="0"/>
    </xf>
    <xf numFmtId="291" fontId="27" fillId="0" borderId="40">
      <alignment horizontal="right" vertical="center" wrapText="1"/>
      <protection locked="0"/>
    </xf>
    <xf numFmtId="181" fontId="39" fillId="0" borderId="0" applyNumberFormat="0" applyFill="0" applyBorder="0" applyAlignment="0" applyProtection="0"/>
    <xf numFmtId="181" fontId="85" fillId="0" borderId="0" applyNumberFormat="0" applyFill="0" applyBorder="0" applyAlignment="0" applyProtection="0"/>
    <xf numFmtId="181" fontId="39" fillId="0" borderId="0" applyNumberFormat="0" applyFill="0" applyBorder="0" applyAlignment="0" applyProtection="0"/>
    <xf numFmtId="265" fontId="90" fillId="0" borderId="0" applyFont="0">
      <alignment horizontal="left"/>
    </xf>
    <xf numFmtId="265" fontId="90" fillId="0" borderId="0" applyFont="0" applyFill="0" applyBorder="0">
      <alignment horizontal="left"/>
    </xf>
    <xf numFmtId="181" fontId="22" fillId="0" borderId="0"/>
    <xf numFmtId="181" fontId="129" fillId="0" borderId="0"/>
    <xf numFmtId="181" fontId="130" fillId="0" borderId="0">
      <alignment horizontal="center"/>
    </xf>
    <xf numFmtId="188" fontId="107" fillId="92" borderId="47"/>
    <xf numFmtId="40" fontId="39" fillId="0" borderId="0" applyFont="0">
      <protection locked="0"/>
    </xf>
    <xf numFmtId="181" fontId="131" fillId="0" borderId="0"/>
    <xf numFmtId="0" fontId="132" fillId="0" borderId="16" applyNumberFormat="0" applyFill="0" applyAlignment="0"/>
    <xf numFmtId="0" fontId="132" fillId="0" borderId="56" applyNumberFormat="0" applyFill="0" applyAlignment="0"/>
    <xf numFmtId="0" fontId="132" fillId="3" borderId="57" applyNumberFormat="0" applyAlignment="0"/>
    <xf numFmtId="0" fontId="132" fillId="0" borderId="58" applyNumberFormat="0" applyFill="0" applyAlignment="0"/>
    <xf numFmtId="37" fontId="133" fillId="0" borderId="0" applyNumberFormat="0" applyFill="0" applyBorder="0" applyAlignment="0" applyProtection="0"/>
    <xf numFmtId="0" fontId="134" fillId="0" borderId="59" applyNumberFormat="0" applyFill="0" applyAlignment="0" applyProtection="0"/>
    <xf numFmtId="0" fontId="134" fillId="0" borderId="59" applyNumberFormat="0" applyFill="0" applyAlignment="0" applyProtection="0"/>
    <xf numFmtId="232" fontId="134" fillId="0" borderId="59" applyNumberFormat="0" applyFill="0" applyAlignment="0" applyProtection="0"/>
    <xf numFmtId="0" fontId="134" fillId="0" borderId="59" applyNumberFormat="0" applyFill="0" applyAlignment="0" applyProtection="0"/>
    <xf numFmtId="0" fontId="135" fillId="0" borderId="13" applyNumberFormat="0" applyFill="0" applyAlignment="0" applyProtection="0"/>
    <xf numFmtId="0" fontId="134" fillId="0" borderId="59" applyNumberFormat="0" applyFill="0" applyAlignment="0" applyProtection="0"/>
    <xf numFmtId="265" fontId="90" fillId="0" borderId="0" applyFont="0" applyFill="0" applyBorder="0">
      <alignment horizontal="left"/>
    </xf>
    <xf numFmtId="14" fontId="85" fillId="0" borderId="40" applyFont="0" applyFill="0" applyBorder="0" applyAlignment="0" applyProtection="0"/>
    <xf numFmtId="14" fontId="85" fillId="0" borderId="40" applyFont="0" applyFill="0" applyBorder="0" applyAlignment="0" applyProtection="0"/>
    <xf numFmtId="14" fontId="85" fillId="0" borderId="40" applyFont="0" applyFill="0" applyBorder="0" applyAlignment="0" applyProtection="0"/>
    <xf numFmtId="265" fontId="90" fillId="0" borderId="0" applyFont="0" applyFill="0" applyBorder="0">
      <alignment horizontal="left"/>
    </xf>
    <xf numFmtId="276" fontId="37" fillId="0" borderId="0">
      <alignment horizontal="left" vertical="top"/>
      <protection locked="0"/>
    </xf>
    <xf numFmtId="276" fontId="39" fillId="0" borderId="0" applyFont="0"/>
    <xf numFmtId="295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38" fontId="136" fillId="0" borderId="0" applyFont="0" applyFill="0" applyBorder="0" applyAlignment="0" applyProtection="0"/>
    <xf numFmtId="40" fontId="136" fillId="0" borderId="0" applyFont="0" applyFill="0" applyBorder="0" applyAlignment="0" applyProtection="0"/>
    <xf numFmtId="296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297" fontId="4" fillId="0" borderId="0"/>
    <xf numFmtId="37" fontId="23" fillId="0" borderId="0" applyFont="0" applyFill="0" applyBorder="0" applyAlignment="0" applyProtection="0"/>
    <xf numFmtId="181" fontId="4" fillId="0" borderId="0" applyFont="0" applyFill="0" applyBorder="0" applyAlignment="0" applyProtection="0"/>
    <xf numFmtId="298" fontId="4" fillId="0" borderId="0" applyFont="0" applyFill="0" applyBorder="0" applyAlignment="0" applyProtection="0"/>
    <xf numFmtId="181" fontId="137" fillId="42" borderId="60">
      <alignment horizontal="left" vertical="top" indent="2"/>
    </xf>
    <xf numFmtId="299" fontId="23" fillId="0" borderId="0" applyFont="0" applyFill="0" applyBorder="0" applyAlignment="0" applyProtection="0"/>
    <xf numFmtId="300" fontId="23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85" fontId="27" fillId="0" borderId="21"/>
    <xf numFmtId="265" fontId="90" fillId="0" borderId="0" applyFont="0" applyFill="0" applyBorder="0">
      <alignment horizontal="left"/>
    </xf>
    <xf numFmtId="0" fontId="138" fillId="0" borderId="44"/>
    <xf numFmtId="301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303" fontId="136" fillId="0" borderId="0" applyFont="0" applyFill="0" applyBorder="0" applyAlignment="0" applyProtection="0"/>
    <xf numFmtId="304" fontId="136" fillId="0" borderId="0" applyFont="0" applyFill="0" applyBorder="0" applyAlignment="0" applyProtection="0"/>
    <xf numFmtId="256" fontId="27" fillId="0" borderId="0">
      <alignment horizontal="right" vertical="center"/>
    </xf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305" fontId="4" fillId="0" borderId="0" applyFont="0" applyFill="0" applyBorder="0" applyAlignment="0" applyProtection="0"/>
    <xf numFmtId="306" fontId="4" fillId="0" borderId="0" applyFont="0" applyFill="0" applyBorder="0" applyAlignment="0" applyProtection="0"/>
    <xf numFmtId="181" fontId="48" fillId="0" borderId="0" applyFont="0">
      <protection locked="0"/>
    </xf>
    <xf numFmtId="265" fontId="90" fillId="0" borderId="0" applyFont="0">
      <alignment horizontal="left"/>
    </xf>
    <xf numFmtId="307" fontId="39" fillId="87" borderId="0" applyFont="0" applyBorder="0" applyAlignment="0" applyProtection="0">
      <alignment horizontal="right"/>
      <protection hidden="1"/>
    </xf>
    <xf numFmtId="181" fontId="5" fillId="0" borderId="0" applyNumberFormat="0" applyFill="0" applyBorder="0" applyProtection="0">
      <alignment horizontal="left"/>
    </xf>
    <xf numFmtId="208" fontId="139" fillId="0" borderId="0">
      <alignment horizontal="left" vertical="center"/>
    </xf>
    <xf numFmtId="308" fontId="5" fillId="0" borderId="61" applyBorder="0" applyAlignment="0" applyProtection="0">
      <alignment horizontal="center"/>
    </xf>
    <xf numFmtId="0" fontId="140" fillId="40" borderId="0" applyNumberFormat="0" applyBorder="0" applyAlignment="0" applyProtection="0"/>
    <xf numFmtId="0" fontId="140" fillId="40" borderId="0" applyNumberFormat="0" applyBorder="0" applyAlignment="0" applyProtection="0"/>
    <xf numFmtId="232" fontId="140" fillId="40" borderId="0" applyNumberFormat="0" applyBorder="0" applyAlignment="0" applyProtection="0"/>
    <xf numFmtId="0" fontId="140" fillId="40" borderId="0" applyNumberFormat="0" applyBorder="0" applyAlignment="0" applyProtection="0"/>
    <xf numFmtId="0" fontId="141" fillId="10" borderId="0" applyNumberFormat="0" applyBorder="0" applyAlignment="0" applyProtection="0"/>
    <xf numFmtId="0" fontId="140" fillId="40" borderId="0" applyNumberFormat="0" applyBorder="0" applyAlignment="0" applyProtection="0"/>
    <xf numFmtId="309" fontId="40" fillId="0" borderId="23"/>
    <xf numFmtId="209" fontId="126" fillId="71" borderId="0" applyNumberFormat="0"/>
    <xf numFmtId="37" fontId="142" fillId="0" borderId="0"/>
    <xf numFmtId="310" fontId="127" fillId="71" borderId="7">
      <alignment vertical="center"/>
    </xf>
    <xf numFmtId="285" fontId="95" fillId="0" borderId="0"/>
    <xf numFmtId="181" fontId="39" fillId="0" borderId="0"/>
    <xf numFmtId="311" fontId="39" fillId="0" borderId="0" applyFont="0" applyFill="0" applyBorder="0" applyAlignment="0" applyProtection="0">
      <alignment horizontal="right"/>
    </xf>
    <xf numFmtId="188" fontId="143" fillId="0" borderId="0"/>
    <xf numFmtId="173" fontId="5" fillId="0" borderId="0"/>
    <xf numFmtId="173" fontId="5" fillId="0" borderId="0"/>
    <xf numFmtId="181" fontId="144" fillId="0" borderId="0"/>
    <xf numFmtId="176" fontId="5" fillId="0" borderId="0"/>
    <xf numFmtId="37" fontId="52" fillId="71" borderId="0" applyFont="0" applyFill="0" applyBorder="0" applyAlignment="0" applyProtection="0"/>
    <xf numFmtId="289" fontId="5" fillId="0" borderId="0" applyFont="0" applyFill="0" applyBorder="0" applyAlignment="0"/>
    <xf numFmtId="40" fontId="39" fillId="0" borderId="0" applyFont="0" applyFill="0" applyBorder="0" applyAlignment="0"/>
    <xf numFmtId="312" fontId="39" fillId="0" borderId="0" applyFont="0" applyFill="0" applyBorder="0" applyAlignment="0"/>
    <xf numFmtId="0" fontId="5" fillId="0" borderId="0"/>
    <xf numFmtId="0" fontId="41" fillId="0" borderId="0"/>
    <xf numFmtId="0" fontId="42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181" fontId="1" fillId="0" borderId="0"/>
    <xf numFmtId="181" fontId="1" fillId="0" borderId="0"/>
    <xf numFmtId="181" fontId="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2" fontId="145" fillId="0" borderId="0"/>
    <xf numFmtId="181" fontId="5" fillId="0" borderId="0"/>
    <xf numFmtId="0" fontId="5" fillId="0" borderId="0"/>
    <xf numFmtId="0" fontId="5" fillId="0" borderId="0"/>
    <xf numFmtId="0" fontId="145" fillId="0" borderId="0"/>
    <xf numFmtId="0" fontId="1" fillId="0" borderId="0"/>
    <xf numFmtId="0" fontId="1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146" fillId="0" borderId="0"/>
    <xf numFmtId="188" fontId="89" fillId="0" borderId="0"/>
    <xf numFmtId="188" fontId="89" fillId="0" borderId="0"/>
    <xf numFmtId="188" fontId="89" fillId="0" borderId="0"/>
    <xf numFmtId="188" fontId="89" fillId="0" borderId="0"/>
    <xf numFmtId="188" fontId="89" fillId="0" borderId="0"/>
    <xf numFmtId="188" fontId="89" fillId="0" borderId="0"/>
    <xf numFmtId="188" fontId="89" fillId="0" borderId="0"/>
    <xf numFmtId="188" fontId="89" fillId="0" borderId="0"/>
    <xf numFmtId="232" fontId="5" fillId="0" borderId="0"/>
    <xf numFmtId="0" fontId="5" fillId="0" borderId="0"/>
    <xf numFmtId="232" fontId="5" fillId="0" borderId="0"/>
    <xf numFmtId="188" fontId="89" fillId="0" borderId="0"/>
    <xf numFmtId="0" fontId="5" fillId="0" borderId="0" applyNumberFormat="0" applyFill="0" applyBorder="0" applyAlignment="0" applyProtection="0"/>
    <xf numFmtId="0" fontId="41" fillId="0" borderId="0"/>
    <xf numFmtId="0" fontId="5" fillId="0" borderId="0"/>
    <xf numFmtId="188" fontId="89" fillId="0" borderId="0"/>
    <xf numFmtId="0" fontId="41" fillId="0" borderId="0"/>
    <xf numFmtId="188" fontId="89" fillId="0" borderId="0"/>
    <xf numFmtId="188" fontId="89" fillId="0" borderId="0"/>
    <xf numFmtId="188" fontId="89" fillId="0" borderId="0"/>
    <xf numFmtId="188" fontId="89" fillId="0" borderId="0"/>
    <xf numFmtId="188" fontId="89" fillId="0" borderId="0"/>
    <xf numFmtId="188" fontId="89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232" fontId="5" fillId="0" borderId="0" applyNumberFormat="0" applyFill="0" applyBorder="0" applyAlignment="0" applyProtection="0"/>
    <xf numFmtId="0" fontId="41" fillId="0" borderId="0"/>
    <xf numFmtId="0" fontId="5" fillId="0" borderId="0"/>
    <xf numFmtId="313" fontId="5" fillId="0" borderId="0">
      <alignment horizontal="left" wrapText="1"/>
    </xf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41" fillId="0" borderId="0"/>
    <xf numFmtId="232" fontId="5" fillId="0" borderId="0" applyNumberFormat="0" applyFill="0" applyBorder="0" applyAlignment="0" applyProtection="0"/>
    <xf numFmtId="0" fontId="41" fillId="0" borderId="0"/>
    <xf numFmtId="0" fontId="5" fillId="0" borderId="0" applyNumberFormat="0" applyFill="0" applyBorder="0" applyAlignment="0" applyProtection="0"/>
    <xf numFmtId="188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41" fillId="0" borderId="0"/>
    <xf numFmtId="0" fontId="5" fillId="0" borderId="0"/>
    <xf numFmtId="188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2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1" fillId="0" borderId="0"/>
    <xf numFmtId="232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1" fillId="0" borderId="0"/>
    <xf numFmtId="289" fontId="85" fillId="0" borderId="0" applyNumberFormat="0" applyFill="0" applyBorder="0" applyAlignment="0" applyProtection="0"/>
    <xf numFmtId="314" fontId="39" fillId="0" borderId="0" applyFont="0" applyFill="0" applyBorder="0" applyAlignment="0" applyProtection="0"/>
    <xf numFmtId="0" fontId="93" fillId="0" borderId="0"/>
    <xf numFmtId="181" fontId="5" fillId="0" borderId="0"/>
    <xf numFmtId="289" fontId="39" fillId="0" borderId="0"/>
    <xf numFmtId="315" fontId="39" fillId="0" borderId="0" applyFont="0" applyFill="0" applyBorder="0" applyAlignment="0" applyProtection="0"/>
    <xf numFmtId="316" fontId="39" fillId="0" borderId="0" applyFont="0" applyFill="0" applyBorder="0" applyAlignment="0" applyProtection="0"/>
    <xf numFmtId="208" fontId="27" fillId="0" borderId="0" applyNumberFormat="0" applyBorder="0" applyAlignment="0">
      <alignment vertical="center"/>
    </xf>
    <xf numFmtId="286" fontId="147" fillId="0" borderId="0" applyFont="0">
      <alignment horizontal="right"/>
      <protection locked="0"/>
    </xf>
    <xf numFmtId="0" fontId="5" fillId="93" borderId="62" applyNumberFormat="0" applyFont="0" applyAlignment="0" applyProtection="0"/>
    <xf numFmtId="0" fontId="41" fillId="93" borderId="62" applyNumberFormat="0" applyFont="0" applyAlignment="0" applyProtection="0"/>
    <xf numFmtId="232" fontId="5" fillId="93" borderId="62" applyNumberFormat="0" applyFont="0" applyAlignment="0" applyProtection="0"/>
    <xf numFmtId="286" fontId="147" fillId="0" borderId="0" applyFont="0">
      <alignment horizontal="right"/>
      <protection locked="0"/>
    </xf>
    <xf numFmtId="286" fontId="147" fillId="0" borderId="0" applyFont="0">
      <alignment horizontal="right"/>
      <protection locked="0"/>
    </xf>
    <xf numFmtId="0" fontId="41" fillId="93" borderId="62" applyNumberFormat="0" applyFont="0" applyAlignment="0" applyProtection="0"/>
    <xf numFmtId="208" fontId="148" fillId="0" borderId="0">
      <alignment vertical="center"/>
    </xf>
    <xf numFmtId="285" fontId="27" fillId="0" borderId="0" applyFont="0" applyBorder="0"/>
    <xf numFmtId="317" fontId="39" fillId="0" borderId="0" applyFont="0" applyFill="0" applyBorder="0" applyAlignment="0" applyProtection="0"/>
    <xf numFmtId="282" fontId="39" fillId="0" borderId="0" applyFont="0">
      <protection locked="0"/>
    </xf>
    <xf numFmtId="181" fontId="39" fillId="0" borderId="0"/>
    <xf numFmtId="181" fontId="23" fillId="0" borderId="0" applyNumberFormat="0" applyFill="0" applyBorder="0" applyAlignment="0" applyProtection="0"/>
    <xf numFmtId="181" fontId="85" fillId="0" borderId="0" applyNumberFormat="0" applyFill="0" applyBorder="0" applyAlignment="0" applyProtection="0"/>
    <xf numFmtId="181" fontId="23" fillId="0" borderId="0" applyNumberFormat="0" applyFill="0" applyBorder="0" applyAlignment="0" applyProtection="0"/>
    <xf numFmtId="181" fontId="85" fillId="0" borderId="0" applyNumberFormat="0" applyFill="0" applyBorder="0" applyAlignment="0" applyProtection="0"/>
    <xf numFmtId="181" fontId="149" fillId="0" borderId="0" applyNumberFormat="0" applyFill="0" applyBorder="0" applyAlignment="0" applyProtection="0"/>
    <xf numFmtId="181" fontId="39" fillId="0" borderId="0" applyNumberFormat="0" applyFill="0" applyBorder="0" applyAlignment="0" applyProtection="0"/>
    <xf numFmtId="318" fontId="39" fillId="0" borderId="0" applyFont="0" applyFill="0" applyBorder="0" applyAlignment="0" applyProtection="0"/>
    <xf numFmtId="10" fontId="22" fillId="0" borderId="0">
      <alignment horizontal="right" vertical="center"/>
    </xf>
    <xf numFmtId="0" fontId="150" fillId="12" borderId="11" applyNumberFormat="0" applyAlignment="0"/>
    <xf numFmtId="181" fontId="23" fillId="0" borderId="7" applyNumberFormat="0" applyFont="0" applyFill="0" applyAlignment="0" applyProtection="0"/>
    <xf numFmtId="0" fontId="151" fillId="73" borderId="63" applyNumberFormat="0" applyAlignment="0" applyProtection="0"/>
    <xf numFmtId="0" fontId="151" fillId="73" borderId="63" applyNumberFormat="0" applyAlignment="0" applyProtection="0"/>
    <xf numFmtId="232" fontId="151" fillId="73" borderId="63" applyNumberFormat="0" applyAlignment="0" applyProtection="0"/>
    <xf numFmtId="0" fontId="151" fillId="73" borderId="63" applyNumberFormat="0" applyAlignment="0" applyProtection="0"/>
    <xf numFmtId="0" fontId="152" fillId="12" borderId="12" applyNumberFormat="0" applyAlignment="0" applyProtection="0"/>
    <xf numFmtId="0" fontId="151" fillId="73" borderId="63" applyNumberFormat="0" applyAlignment="0" applyProtection="0"/>
    <xf numFmtId="181" fontId="153" fillId="0" borderId="0" applyProtection="0">
      <alignment horizontal="left"/>
    </xf>
    <xf numFmtId="1" fontId="154" fillId="0" borderId="0" applyProtection="0">
      <alignment horizontal="right" vertical="center"/>
    </xf>
    <xf numFmtId="0" fontId="89" fillId="0" borderId="64"/>
    <xf numFmtId="181" fontId="155" fillId="0" borderId="0">
      <alignment vertical="center"/>
    </xf>
    <xf numFmtId="181" fontId="156" fillId="42" borderId="44"/>
    <xf numFmtId="181" fontId="7" fillId="0" borderId="65" applyNumberFormat="0" applyAlignment="0" applyProtection="0"/>
    <xf numFmtId="181" fontId="4" fillId="80" borderId="0" applyNumberFormat="0" applyFont="0" applyBorder="0" applyAlignment="0" applyProtection="0"/>
    <xf numFmtId="181" fontId="39" fillId="41" borderId="23" applyNumberFormat="0" applyFont="0" applyBorder="0" applyAlignment="0" applyProtection="0">
      <alignment horizontal="center"/>
    </xf>
    <xf numFmtId="181" fontId="39" fillId="91" borderId="23" applyNumberFormat="0" applyFont="0" applyBorder="0" applyAlignment="0" applyProtection="0">
      <alignment horizontal="center"/>
    </xf>
    <xf numFmtId="181" fontId="4" fillId="0" borderId="66" applyNumberFormat="0" applyAlignment="0" applyProtection="0"/>
    <xf numFmtId="181" fontId="4" fillId="0" borderId="67" applyNumberFormat="0" applyAlignment="0" applyProtection="0"/>
    <xf numFmtId="181" fontId="7" fillId="0" borderId="68" applyNumberFormat="0" applyAlignment="0" applyProtection="0"/>
    <xf numFmtId="181" fontId="5" fillId="0" borderId="0" applyFont="0" applyFill="0" applyBorder="0" applyAlignment="0" applyProtection="0"/>
    <xf numFmtId="31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320" fontId="157" fillId="0" borderId="0" applyFill="0" applyBorder="0" applyAlignment="0" applyProtection="0"/>
    <xf numFmtId="9" fontId="36" fillId="0" borderId="0" applyFont="0" applyFill="0" applyBorder="0" applyAlignment="0" applyProtection="0"/>
    <xf numFmtId="321" fontId="60" fillId="0" borderId="0" applyFont="0" applyFill="0" applyBorder="0" applyAlignment="0" applyProtection="0"/>
    <xf numFmtId="322" fontId="157" fillId="0" borderId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290" fontId="157" fillId="81" borderId="7" applyFill="0" applyBorder="0" applyAlignment="0" applyProtection="0">
      <alignment horizontal="right"/>
      <protection locked="0"/>
    </xf>
    <xf numFmtId="32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324" fontId="157" fillId="0" borderId="0" applyFill="0" applyBorder="0" applyAlignment="0" applyProtection="0"/>
    <xf numFmtId="325" fontId="157" fillId="78" borderId="0" applyFont="0" applyFill="0" applyBorder="0" applyAlignment="0" applyProtection="0"/>
    <xf numFmtId="236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36" fontId="158" fillId="0" borderId="0" applyFill="0" applyBorder="0" applyAlignment="0">
      <protection locked="0"/>
    </xf>
    <xf numFmtId="326" fontId="159" fillId="0" borderId="0"/>
    <xf numFmtId="327" fontId="22" fillId="0" borderId="0" applyFont="0" applyFill="0" applyBorder="0" applyAlignment="0" applyProtection="0"/>
    <xf numFmtId="181" fontId="144" fillId="0" borderId="0"/>
    <xf numFmtId="328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208" fontId="27" fillId="0" borderId="0">
      <alignment vertical="center"/>
    </xf>
    <xf numFmtId="4" fontId="69" fillId="0" borderId="0"/>
    <xf numFmtId="0" fontId="160" fillId="0" borderId="0" applyFont="0"/>
    <xf numFmtId="10" fontId="5" fillId="0" borderId="0" applyFont="0" applyFill="0" applyBorder="0" applyAlignment="0" applyProtection="0"/>
    <xf numFmtId="166" fontId="161" fillId="0" borderId="0" applyFont="0" applyFill="0" applyBorder="0" applyAlignment="0" applyProtection="0"/>
    <xf numFmtId="329" fontId="85" fillId="0" borderId="0" applyFill="0" applyBorder="0" applyProtection="0">
      <alignment horizontal="right"/>
    </xf>
    <xf numFmtId="181" fontId="4" fillId="0" borderId="0">
      <alignment vertical="top"/>
    </xf>
    <xf numFmtId="181" fontId="4" fillId="0" borderId="0">
      <alignment vertical="top"/>
    </xf>
    <xf numFmtId="181" fontId="4" fillId="0" borderId="0">
      <alignment vertical="top"/>
    </xf>
    <xf numFmtId="181" fontId="4" fillId="0" borderId="0">
      <alignment vertical="top"/>
    </xf>
    <xf numFmtId="181" fontId="4" fillId="0" borderId="0">
      <alignment vertical="top"/>
    </xf>
    <xf numFmtId="190" fontId="4" fillId="0" borderId="0">
      <alignment vertical="top"/>
    </xf>
    <xf numFmtId="190" fontId="4" fillId="0" borderId="0">
      <alignment vertical="top"/>
    </xf>
    <xf numFmtId="181" fontId="4" fillId="0" borderId="0">
      <alignment vertical="top"/>
    </xf>
    <xf numFmtId="181" fontId="4" fillId="0" borderId="0">
      <alignment vertical="top"/>
    </xf>
    <xf numFmtId="181" fontId="4" fillId="0" borderId="0">
      <alignment vertical="top"/>
    </xf>
    <xf numFmtId="190" fontId="4" fillId="0" borderId="0">
      <alignment vertical="top"/>
    </xf>
    <xf numFmtId="190" fontId="4" fillId="0" borderId="0">
      <alignment vertical="top"/>
    </xf>
    <xf numFmtId="181" fontId="4" fillId="0" borderId="0">
      <alignment vertical="top"/>
    </xf>
    <xf numFmtId="190" fontId="4" fillId="0" borderId="0">
      <alignment vertical="top"/>
    </xf>
    <xf numFmtId="181" fontId="4" fillId="0" borderId="0">
      <alignment vertical="top"/>
    </xf>
    <xf numFmtId="181" fontId="4" fillId="0" borderId="0">
      <alignment vertical="top"/>
    </xf>
    <xf numFmtId="181" fontId="4" fillId="0" borderId="0">
      <alignment vertical="top"/>
    </xf>
    <xf numFmtId="190" fontId="4" fillId="0" borderId="0">
      <alignment vertical="top"/>
    </xf>
    <xf numFmtId="190" fontId="4" fillId="0" borderId="0">
      <alignment vertical="top"/>
    </xf>
    <xf numFmtId="190" fontId="4" fillId="0" borderId="0">
      <alignment vertical="top"/>
    </xf>
    <xf numFmtId="190" fontId="4" fillId="0" borderId="0">
      <alignment vertical="top"/>
    </xf>
    <xf numFmtId="190" fontId="4" fillId="0" borderId="0">
      <alignment vertical="top"/>
    </xf>
    <xf numFmtId="40" fontId="90" fillId="0" borderId="0" applyFont="0">
      <protection locked="0"/>
    </xf>
    <xf numFmtId="40" fontId="162" fillId="0" borderId="0" applyFont="0">
      <protection locked="0"/>
    </xf>
    <xf numFmtId="289" fontId="95" fillId="0" borderId="0" applyNumberFormat="0" applyFill="0" applyBorder="0" applyAlignment="0" applyProtection="0">
      <alignment horizontal="left"/>
    </xf>
    <xf numFmtId="188" fontId="89" fillId="0" borderId="0"/>
    <xf numFmtId="257" fontId="99" fillId="0" borderId="0">
      <alignment vertical="center"/>
    </xf>
    <xf numFmtId="257" fontId="39" fillId="0" borderId="0">
      <alignment vertical="center"/>
    </xf>
    <xf numFmtId="209" fontId="70" fillId="0" borderId="0">
      <alignment horizontal="left" vertical="center"/>
    </xf>
    <xf numFmtId="330" fontId="70" fillId="0" borderId="0">
      <alignment horizontal="left" vertical="center"/>
    </xf>
    <xf numFmtId="330" fontId="27" fillId="0" borderId="0">
      <alignment horizontal="left" vertical="center"/>
    </xf>
    <xf numFmtId="208" fontId="27" fillId="0" borderId="0">
      <alignment horizontal="left" vertical="center" indent="1"/>
    </xf>
    <xf numFmtId="181" fontId="163" fillId="0" borderId="0" applyNumberFormat="0" applyBorder="0"/>
    <xf numFmtId="181" fontId="5" fillId="0" borderId="26"/>
    <xf numFmtId="181" fontId="5" fillId="0" borderId="26"/>
    <xf numFmtId="181" fontId="39" fillId="0" borderId="0">
      <alignment horizontal="left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164" fillId="0" borderId="41">
      <alignment horizontal="centerContinuous"/>
    </xf>
    <xf numFmtId="181" fontId="5" fillId="0" borderId="69">
      <alignment vertical="center"/>
    </xf>
    <xf numFmtId="208" fontId="165" fillId="0" borderId="70">
      <alignment vertical="center"/>
    </xf>
    <xf numFmtId="276" fontId="166" fillId="0" borderId="0" applyFont="0">
      <alignment horizontal="left"/>
    </xf>
    <xf numFmtId="209" fontId="167" fillId="0" borderId="0" applyNumberFormat="0" applyFill="0" applyBorder="0" applyAlignment="0" applyProtection="0"/>
    <xf numFmtId="0" fontId="132" fillId="94" borderId="0" applyNumberFormat="0" applyBorder="0" applyAlignment="0"/>
    <xf numFmtId="0" fontId="168" fillId="4" borderId="0" applyNumberFormat="0" applyBorder="0" applyAlignment="0"/>
    <xf numFmtId="0" fontId="169" fillId="95" borderId="0" applyNumberFormat="0" applyBorder="0" applyAlignment="0"/>
    <xf numFmtId="0" fontId="170" fillId="0" borderId="71" applyNumberFormat="0" applyAlignment="0"/>
    <xf numFmtId="168" fontId="64" fillId="0" borderId="0" applyFill="0" applyBorder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209" fontId="148" fillId="0" borderId="0">
      <alignment vertical="center"/>
    </xf>
    <xf numFmtId="331" fontId="148" fillId="0" borderId="0">
      <alignment horizontal="left" vertical="center"/>
    </xf>
    <xf numFmtId="181" fontId="172" fillId="0" borderId="41"/>
    <xf numFmtId="332" fontId="5" fillId="0" borderId="0"/>
    <xf numFmtId="0" fontId="5" fillId="0" borderId="0"/>
    <xf numFmtId="236" fontId="5" fillId="0" borderId="0">
      <alignment horizontal="left" wrapText="1"/>
    </xf>
    <xf numFmtId="0" fontId="39" fillId="0" borderId="0"/>
    <xf numFmtId="232" fontId="5" fillId="0" borderId="0" applyNumberFormat="0" applyFill="0" applyBorder="0" applyAlignment="0" applyProtection="0"/>
    <xf numFmtId="181" fontId="5" fillId="0" borderId="0" applyFont="0" applyFill="0" applyBorder="0" applyAlignment="0" applyProtection="0"/>
    <xf numFmtId="236" fontId="5" fillId="0" borderId="0">
      <alignment horizontal="left" wrapText="1"/>
    </xf>
    <xf numFmtId="0" fontId="5" fillId="0" borderId="0"/>
    <xf numFmtId="181" fontId="5" fillId="0" borderId="0">
      <alignment vertical="top"/>
    </xf>
    <xf numFmtId="4" fontId="39" fillId="0" borderId="0" applyFill="0" applyBorder="0" applyProtection="0">
      <alignment horizontal="left"/>
    </xf>
    <xf numFmtId="181" fontId="39" fillId="0" borderId="0" applyNumberFormat="0" applyFill="0" applyBorder="0" applyProtection="0">
      <alignment horizontal="left"/>
    </xf>
    <xf numFmtId="181" fontId="39" fillId="0" borderId="0" applyNumberFormat="0" applyFill="0" applyBorder="0" applyProtection="0">
      <alignment horizontal="center"/>
    </xf>
    <xf numFmtId="283" fontId="39" fillId="0" borderId="0" applyFill="0" applyBorder="0" applyProtection="0">
      <alignment horizontal="center" vertical="top" wrapText="1"/>
    </xf>
    <xf numFmtId="283" fontId="39" fillId="0" borderId="0" applyFill="0" applyBorder="0" applyProtection="0">
      <alignment horizontal="left" vertical="top" wrapText="1"/>
    </xf>
    <xf numFmtId="283" fontId="39" fillId="0" borderId="0" applyFill="0" applyBorder="0" applyProtection="0">
      <alignment horizontal="center" vertical="top" wrapText="1"/>
    </xf>
    <xf numFmtId="283" fontId="39" fillId="0" borderId="0" applyFill="0" applyBorder="0" applyProtection="0">
      <alignment horizontal="right" vertical="top" wrapText="1"/>
    </xf>
    <xf numFmtId="181" fontId="39" fillId="0" borderId="0" applyNumberFormat="0" applyFill="0" applyBorder="0" applyProtection="0">
      <alignment horizontal="right" vertical="top" wrapText="1"/>
    </xf>
    <xf numFmtId="283" fontId="5" fillId="0" borderId="0" applyFill="0" applyBorder="0" applyProtection="0">
      <alignment horizontal="left" vertical="top" wrapText="1"/>
    </xf>
    <xf numFmtId="0" fontId="5" fillId="0" borderId="0" applyNumberFormat="0" applyFill="0" applyBorder="0" applyAlignment="0" applyProtection="0"/>
    <xf numFmtId="181" fontId="5" fillId="0" borderId="0">
      <alignment vertical="top"/>
    </xf>
    <xf numFmtId="181" fontId="74" fillId="0" borderId="0" applyNumberFormat="0" applyFill="0" applyBorder="0" applyProtection="0">
      <alignment vertical="top" wrapText="1"/>
    </xf>
    <xf numFmtId="283" fontId="85" fillId="0" borderId="0" applyFill="0" applyBorder="0" applyProtection="0">
      <alignment horizontal="center" wrapText="1"/>
    </xf>
    <xf numFmtId="3" fontId="85" fillId="0" borderId="0" applyFill="0" applyBorder="0" applyProtection="0">
      <alignment horizontal="left" wrapText="1"/>
    </xf>
    <xf numFmtId="181" fontId="40" fillId="0" borderId="0" applyNumberFormat="0" applyFill="0" applyBorder="0" applyProtection="0">
      <alignment wrapText="1"/>
    </xf>
    <xf numFmtId="333" fontId="39" fillId="0" borderId="0" applyFill="0" applyBorder="0" applyProtection="0">
      <alignment horizontal="left" wrapText="1"/>
    </xf>
    <xf numFmtId="283" fontId="85" fillId="0" borderId="0" applyFill="0" applyBorder="0" applyProtection="0">
      <alignment horizontal="center" wrapText="1"/>
    </xf>
    <xf numFmtId="181" fontId="5" fillId="0" borderId="72" applyNumberFormat="0" applyFill="0" applyProtection="0">
      <alignment horizontal="left" vertical="top"/>
    </xf>
    <xf numFmtId="181" fontId="5" fillId="0" borderId="72" applyNumberFormat="0" applyFill="0" applyProtection="0">
      <alignment horizontal="left"/>
    </xf>
    <xf numFmtId="181" fontId="5" fillId="96" borderId="0" applyNumberFormat="0" applyBorder="0" applyProtection="0">
      <alignment horizontal="left" wrapText="1"/>
    </xf>
    <xf numFmtId="181" fontId="22" fillId="0" borderId="0">
      <alignment vertical="top"/>
    </xf>
    <xf numFmtId="0" fontId="173" fillId="42" borderId="0" applyNumberFormat="0" applyProtection="0">
      <alignment horizontal="center" vertical="center"/>
    </xf>
    <xf numFmtId="4" fontId="127" fillId="42" borderId="0" applyProtection="0">
      <alignment horizontal="center" vertical="center"/>
    </xf>
    <xf numFmtId="181" fontId="5" fillId="96" borderId="0" applyNumberFormat="0" applyBorder="0" applyProtection="0">
      <alignment horizontal="left" wrapText="1"/>
    </xf>
    <xf numFmtId="0" fontId="174" fillId="42" borderId="0" applyNumberFormat="0" applyProtection="0">
      <alignment horizontal="center" vertical="center"/>
    </xf>
    <xf numFmtId="4" fontId="175" fillId="42" borderId="0" applyProtection="0">
      <alignment horizontal="center" vertical="center"/>
    </xf>
    <xf numFmtId="0" fontId="176" fillId="97" borderId="0" applyNumberFormat="0" applyProtection="0">
      <alignment horizontal="center" vertical="center"/>
    </xf>
    <xf numFmtId="4" fontId="103" fillId="97" borderId="0" applyProtection="0">
      <alignment horizontal="center" vertical="center"/>
    </xf>
    <xf numFmtId="0" fontId="177" fillId="42" borderId="0" applyNumberFormat="0" applyProtection="0">
      <alignment horizontal="center" vertical="center"/>
    </xf>
    <xf numFmtId="4" fontId="178" fillId="42" borderId="0" applyProtection="0">
      <alignment horizontal="center" vertical="center"/>
    </xf>
    <xf numFmtId="0" fontId="179" fillId="98" borderId="0" applyNumberFormat="0" applyProtection="0">
      <alignment horizontal="center" vertical="center"/>
    </xf>
    <xf numFmtId="4" fontId="180" fillId="98" borderId="0" applyProtection="0">
      <alignment horizontal="center" vertical="center"/>
    </xf>
    <xf numFmtId="0" fontId="173" fillId="42" borderId="0" applyNumberFormat="0" applyProtection="0">
      <alignment horizontal="center" vertical="center"/>
    </xf>
    <xf numFmtId="4" fontId="32" fillId="42" borderId="0" applyProtection="0">
      <alignment horizontal="center" vertical="center"/>
    </xf>
    <xf numFmtId="0" fontId="174" fillId="42" borderId="0" applyNumberFormat="0" applyProtection="0">
      <alignment horizontal="center" vertical="center"/>
    </xf>
    <xf numFmtId="4" fontId="181" fillId="42" borderId="0" applyProtection="0">
      <alignment horizontal="center" vertical="center"/>
    </xf>
    <xf numFmtId="0" fontId="176" fillId="97" borderId="0" applyNumberFormat="0" applyProtection="0">
      <alignment horizontal="center" vertical="center"/>
    </xf>
    <xf numFmtId="4" fontId="182" fillId="97" borderId="0" applyProtection="0">
      <alignment horizontal="center" vertical="center"/>
    </xf>
    <xf numFmtId="0" fontId="183" fillId="42" borderId="0" applyNumberFormat="0" applyProtection="0">
      <alignment horizontal="center" vertical="center"/>
    </xf>
    <xf numFmtId="4" fontId="184" fillId="42" borderId="0" applyProtection="0">
      <alignment horizontal="center" vertical="center"/>
    </xf>
    <xf numFmtId="0" fontId="179" fillId="98" borderId="0" applyNumberFormat="0" applyProtection="0">
      <alignment horizontal="center" vertical="center"/>
    </xf>
    <xf numFmtId="4" fontId="185" fillId="98" borderId="0" applyProtection="0">
      <alignment horizontal="center" vertical="center"/>
    </xf>
    <xf numFmtId="0" fontId="138" fillId="0" borderId="0"/>
    <xf numFmtId="0" fontId="186" fillId="0" borderId="0" applyNumberFormat="0" applyProtection="0">
      <alignment wrapText="1"/>
      <protection locked="0"/>
    </xf>
    <xf numFmtId="334" fontId="23" fillId="0" borderId="0">
      <alignment horizontal="centerContinuous"/>
    </xf>
    <xf numFmtId="181" fontId="39" fillId="0" borderId="0" applyFill="0" applyBorder="0" applyProtection="0">
      <alignment horizontal="centerContinuous"/>
    </xf>
    <xf numFmtId="181" fontId="39" fillId="0" borderId="0" applyFill="0" applyBorder="0" applyProtection="0">
      <alignment horizontal="centerContinuous"/>
    </xf>
    <xf numFmtId="276" fontId="57" fillId="0" borderId="73">
      <alignment vertical="center"/>
    </xf>
    <xf numFmtId="276" fontId="90" fillId="0" borderId="0" applyFont="0">
      <protection locked="0"/>
    </xf>
    <xf numFmtId="262" fontId="4" fillId="0" borderId="74"/>
    <xf numFmtId="262" fontId="4" fillId="0" borderId="75"/>
    <xf numFmtId="276" fontId="90" fillId="0" borderId="0" applyFill="0" applyProtection="0">
      <protection locked="0"/>
    </xf>
    <xf numFmtId="265" fontId="22" fillId="99" borderId="0" applyNumberFormat="0" applyAlignment="0">
      <alignment horizontal="left" vertical="top"/>
    </xf>
    <xf numFmtId="37" fontId="126" fillId="71" borderId="0">
      <alignment horizontal="right" vertical="center"/>
      <protection locked="0"/>
    </xf>
    <xf numFmtId="181" fontId="32" fillId="87" borderId="7">
      <protection locked="0"/>
    </xf>
    <xf numFmtId="188" fontId="89" fillId="0" borderId="47"/>
    <xf numFmtId="209" fontId="187" fillId="0" borderId="0">
      <alignment horizontal="left"/>
    </xf>
    <xf numFmtId="181" fontId="77" fillId="0" borderId="0" applyBorder="0" applyProtection="0">
      <alignment vertical="center"/>
    </xf>
    <xf numFmtId="181" fontId="77" fillId="0" borderId="40" applyBorder="0" applyProtection="0">
      <alignment horizontal="right" vertical="center"/>
    </xf>
    <xf numFmtId="181" fontId="77" fillId="0" borderId="40" applyBorder="0" applyProtection="0">
      <alignment horizontal="right" vertical="center"/>
    </xf>
    <xf numFmtId="181" fontId="188" fillId="100" borderId="0" applyBorder="0" applyProtection="0">
      <alignment horizontal="centerContinuous" vertical="center"/>
    </xf>
    <xf numFmtId="181" fontId="188" fillId="98" borderId="40" applyBorder="0" applyProtection="0">
      <alignment horizontal="centerContinuous" vertical="center"/>
    </xf>
    <xf numFmtId="181" fontId="188" fillId="98" borderId="40" applyBorder="0" applyProtection="0">
      <alignment horizontal="centerContinuous" vertical="center"/>
    </xf>
    <xf numFmtId="181" fontId="5" fillId="0" borderId="0" applyBorder="0" applyProtection="0">
      <alignment vertical="center"/>
    </xf>
    <xf numFmtId="181" fontId="5" fillId="0" borderId="0"/>
    <xf numFmtId="209" fontId="187" fillId="0" borderId="0" applyFill="0" applyBorder="0" applyProtection="0">
      <alignment horizontal="left"/>
    </xf>
    <xf numFmtId="181" fontId="187" fillId="0" borderId="0" applyFill="0" applyBorder="0" applyProtection="0">
      <alignment horizontal="left"/>
    </xf>
    <xf numFmtId="181" fontId="101" fillId="0" borderId="19" applyFill="0" applyBorder="0" applyProtection="0">
      <alignment horizontal="left" vertical="top"/>
    </xf>
    <xf numFmtId="181" fontId="85" fillId="0" borderId="0" applyNumberFormat="0" applyFill="0" applyBorder="0" applyProtection="0">
      <alignment horizontal="centerContinuous"/>
    </xf>
    <xf numFmtId="181" fontId="7" fillId="0" borderId="0">
      <alignment horizontal="centerContinuous"/>
    </xf>
    <xf numFmtId="181" fontId="38" fillId="0" borderId="0" applyNumberFormat="0">
      <alignment horizontal="left"/>
    </xf>
    <xf numFmtId="37" fontId="189" fillId="0" borderId="0" applyNumberFormat="0" applyFill="0" applyBorder="0" applyAlignment="0" applyProtection="0">
      <alignment horizontal="centerContinuous"/>
    </xf>
    <xf numFmtId="0" fontId="190" fillId="101" borderId="6" applyNumberFormat="0">
      <alignment horizontal="center" wrapText="1"/>
    </xf>
    <xf numFmtId="181" fontId="191" fillId="0" borderId="0" applyNumberFormat="0" applyFill="0" applyBorder="0" applyAlignment="0" applyProtection="0"/>
    <xf numFmtId="37" fontId="39" fillId="0" borderId="34" applyNumberFormat="0" applyFill="0" applyProtection="0">
      <alignment horizontal="centerContinuous"/>
    </xf>
    <xf numFmtId="181" fontId="37" fillId="0" borderId="0" applyFill="0" applyBorder="0" applyProtection="0">
      <alignment horizontal="centerContinuous"/>
    </xf>
    <xf numFmtId="209" fontId="99" fillId="102" borderId="76" applyNumberFormat="0" applyAlignment="0" applyProtection="0"/>
    <xf numFmtId="209" fontId="99" fillId="103" borderId="76"/>
    <xf numFmtId="0" fontId="192" fillId="14" borderId="15" applyNumberFormat="0" applyAlignment="0"/>
    <xf numFmtId="0" fontId="193" fillId="97" borderId="77" applyNumberFormat="0">
      <alignment horizontal="right"/>
    </xf>
    <xf numFmtId="335" fontId="5" fillId="0" borderId="0" applyFont="0" applyFill="0" applyBorder="0" applyAlignment="0"/>
    <xf numFmtId="208" fontId="27" fillId="0" borderId="0">
      <alignment vertical="center"/>
    </xf>
    <xf numFmtId="181" fontId="5" fillId="0" borderId="0"/>
    <xf numFmtId="181" fontId="194" fillId="0" borderId="0"/>
    <xf numFmtId="181" fontId="194" fillId="0" borderId="0"/>
    <xf numFmtId="181" fontId="5" fillId="0" borderId="0"/>
    <xf numFmtId="181" fontId="149" fillId="0" borderId="0" applyNumberFormat="0" applyFill="0" applyBorder="0"/>
    <xf numFmtId="181" fontId="195" fillId="0" borderId="0"/>
    <xf numFmtId="336" fontId="38" fillId="0" borderId="0" applyFill="0" applyBorder="0" applyAlignment="0" applyProtection="0">
      <alignment horizontal="right"/>
    </xf>
    <xf numFmtId="337" fontId="4" fillId="0" borderId="0"/>
    <xf numFmtId="181" fontId="38" fillId="0" borderId="0">
      <alignment horizontal="center"/>
    </xf>
    <xf numFmtId="15" fontId="38" fillId="0" borderId="0">
      <alignment horizontal="center"/>
    </xf>
    <xf numFmtId="181" fontId="5" fillId="0" borderId="0" applyFont="0" applyFill="0" applyBorder="0" applyAlignment="0" applyProtection="0"/>
    <xf numFmtId="181" fontId="4" fillId="0" borderId="0" applyNumberFormat="0" applyFill="0" applyBorder="0" applyAlignment="0" applyProtection="0"/>
    <xf numFmtId="181" fontId="36" fillId="0" borderId="0" applyNumberFormat="0" applyFill="0" applyBorder="0" applyAlignment="0" applyProtection="0"/>
    <xf numFmtId="40" fontId="196" fillId="0" borderId="0"/>
    <xf numFmtId="181" fontId="5" fillId="0" borderId="0" applyFont="0" applyFill="0" applyBorder="0" applyAlignment="0" applyProtection="0"/>
    <xf numFmtId="188" fontId="197" fillId="104" borderId="0"/>
    <xf numFmtId="181" fontId="109" fillId="0" borderId="0" applyNumberFormat="0" applyFill="0" applyBorder="0" applyAlignment="0" applyProtection="0"/>
    <xf numFmtId="181" fontId="198" fillId="0" borderId="0" applyNumberFormat="0" applyFill="0" applyBorder="0" applyAlignment="0" applyProtection="0"/>
    <xf numFmtId="265" fontId="199" fillId="105" borderId="0" applyNumberFormat="0">
      <alignment horizontal="center"/>
    </xf>
    <xf numFmtId="0" fontId="200" fillId="0" borderId="0" applyNumberFormat="0" applyFill="0" applyBorder="0" applyAlignment="0" applyProtection="0"/>
    <xf numFmtId="232" fontId="200" fillId="0" borderId="0" applyNumberFormat="0" applyFill="0" applyBorder="0" applyAlignment="0" applyProtection="0"/>
    <xf numFmtId="265" fontId="199" fillId="105" borderId="0" applyNumberFormat="0">
      <alignment horizontal="center"/>
    </xf>
    <xf numFmtId="265" fontId="199" fillId="105" borderId="0" applyNumberFormat="0">
      <alignment horizontal="center"/>
    </xf>
    <xf numFmtId="265" fontId="201" fillId="0" borderId="78" applyNumberFormat="0" applyFill="0" applyProtection="0">
      <alignment horizontal="center"/>
    </xf>
    <xf numFmtId="338" fontId="69" fillId="0" borderId="0">
      <alignment horizontal="center"/>
    </xf>
    <xf numFmtId="181" fontId="202" fillId="0" borderId="0">
      <alignment horizontal="center"/>
    </xf>
    <xf numFmtId="181" fontId="191" fillId="0" borderId="0" applyNumberFormat="0" applyFill="0" applyBorder="0" applyAlignment="0" applyProtection="0"/>
    <xf numFmtId="181" fontId="37" fillId="0" borderId="0" applyNumberFormat="0" applyFill="0" applyBorder="0" applyAlignment="0" applyProtection="0"/>
    <xf numFmtId="285" fontId="27" fillId="0" borderId="0"/>
    <xf numFmtId="0" fontId="39" fillId="0" borderId="0" applyFont="0" applyFill="0" applyBorder="0">
      <alignment horizontal="left"/>
    </xf>
    <xf numFmtId="276" fontId="90" fillId="0" borderId="0"/>
    <xf numFmtId="0" fontId="92" fillId="0" borderId="79" applyNumberFormat="0" applyFill="0" applyAlignment="0" applyProtection="0"/>
    <xf numFmtId="232" fontId="92" fillId="0" borderId="79" applyNumberFormat="0" applyFill="0" applyAlignment="0" applyProtection="0"/>
    <xf numFmtId="276" fontId="90" fillId="0" borderId="0"/>
    <xf numFmtId="0" fontId="203" fillId="0" borderId="16" applyNumberFormat="0" applyFill="0" applyAlignment="0" applyProtection="0"/>
    <xf numFmtId="276" fontId="90" fillId="0" borderId="0"/>
    <xf numFmtId="276" fontId="162" fillId="0" borderId="0"/>
    <xf numFmtId="188" fontId="107" fillId="0" borderId="80"/>
    <xf numFmtId="188" fontId="107" fillId="0" borderId="47"/>
    <xf numFmtId="33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340" fontId="204" fillId="0" borderId="0">
      <alignment horizontal="left"/>
      <protection locked="0"/>
    </xf>
    <xf numFmtId="181" fontId="5" fillId="0" borderId="0">
      <alignment horizontal="fill"/>
    </xf>
    <xf numFmtId="341" fontId="90" fillId="0" borderId="0" applyFill="0">
      <alignment horizontal="center"/>
    </xf>
    <xf numFmtId="276" fontId="90" fillId="0" borderId="0" applyFont="0">
      <alignment horizontal="center"/>
      <protection locked="0"/>
    </xf>
    <xf numFmtId="0" fontId="205" fillId="0" borderId="0" applyNumberFormat="0" applyFill="0" applyBorder="0" applyAlignment="0"/>
    <xf numFmtId="38" fontId="206" fillId="0" borderId="0" applyNumberFormat="0" applyBorder="0" applyAlignment="0">
      <protection locked="0"/>
    </xf>
    <xf numFmtId="181" fontId="130" fillId="0" borderId="0" applyNumberFormat="0" applyFill="0" applyBorder="0" applyAlignment="0" applyProtection="0"/>
    <xf numFmtId="257" fontId="207" fillId="0" borderId="0">
      <alignment vertical="center"/>
    </xf>
    <xf numFmtId="342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232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289" fontId="210" fillId="0" borderId="0" applyNumberFormat="0" applyFill="0" applyBorder="0" applyAlignment="0" applyProtection="0"/>
    <xf numFmtId="0" fontId="211" fillId="106" borderId="81" applyNumberFormat="0">
      <alignment horizontal="center"/>
    </xf>
    <xf numFmtId="40" fontId="85" fillId="0" borderId="0">
      <alignment horizontal="left" wrapText="1"/>
    </xf>
    <xf numFmtId="188" fontId="22" fillId="0" borderId="0"/>
    <xf numFmtId="344" fontId="85" fillId="0" borderId="40">
      <alignment vertical="center"/>
    </xf>
    <xf numFmtId="344" fontId="85" fillId="0" borderId="40">
      <alignment vertical="center"/>
    </xf>
    <xf numFmtId="344" fontId="85" fillId="0" borderId="40">
      <alignment vertical="center"/>
    </xf>
    <xf numFmtId="181" fontId="5" fillId="0" borderId="40" applyBorder="0" applyProtection="0">
      <alignment horizontal="right"/>
    </xf>
    <xf numFmtId="181" fontId="5" fillId="0" borderId="40" applyBorder="0" applyProtection="0">
      <alignment horizontal="right"/>
    </xf>
    <xf numFmtId="181" fontId="149" fillId="107" borderId="82" applyNumberFormat="0" applyFont="0" applyBorder="0" applyAlignment="0" applyProtection="0">
      <alignment horizontal="right"/>
    </xf>
    <xf numFmtId="345" fontId="64" fillId="0" borderId="0" applyFont="0" applyFill="0" applyBorder="0" applyAlignment="0" applyProtection="0"/>
    <xf numFmtId="181" fontId="212" fillId="0" borderId="0"/>
    <xf numFmtId="209" fontId="213" fillId="0" borderId="0"/>
    <xf numFmtId="0" fontId="36" fillId="0" borderId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1" fontId="5" fillId="0" borderId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/>
    <xf numFmtId="0" fontId="220" fillId="0" borderId="0"/>
    <xf numFmtId="0" fontId="5" fillId="0" borderId="0"/>
    <xf numFmtId="0" fontId="5" fillId="0" borderId="0"/>
    <xf numFmtId="0" fontId="2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>
      <alignment vertical="center"/>
    </xf>
    <xf numFmtId="0" fontId="36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2" fillId="79" borderId="0" applyNumberFormat="0" applyBorder="0" applyAlignment="0" applyProtection="0">
      <alignment vertical="center"/>
    </xf>
    <xf numFmtId="0" fontId="222" fillId="79" borderId="0" applyNumberFormat="0" applyBorder="0" applyAlignment="0" applyProtection="0">
      <alignment vertical="center"/>
    </xf>
    <xf numFmtId="0" fontId="222" fillId="79" borderId="0" applyNumberFormat="0" applyBorder="0" applyAlignment="0" applyProtection="0">
      <alignment vertical="center"/>
    </xf>
    <xf numFmtId="0" fontId="222" fillId="79" borderId="0" applyNumberFormat="0" applyBorder="0" applyAlignment="0" applyProtection="0">
      <alignment vertical="center"/>
    </xf>
    <xf numFmtId="0" fontId="222" fillId="79" borderId="0" applyNumberFormat="0" applyBorder="0" applyAlignment="0" applyProtection="0">
      <alignment vertical="center"/>
    </xf>
    <xf numFmtId="0" fontId="222" fillId="79" borderId="0" applyNumberFormat="0" applyBorder="0" applyAlignment="0" applyProtection="0">
      <alignment vertical="center"/>
    </xf>
    <xf numFmtId="0" fontId="222" fillId="79" borderId="0" applyNumberFormat="0" applyBorder="0" applyAlignment="0" applyProtection="0">
      <alignment vertical="center"/>
    </xf>
    <xf numFmtId="0" fontId="222" fillId="79" borderId="0" applyNumberFormat="0" applyBorder="0" applyAlignment="0" applyProtection="0">
      <alignment vertical="center"/>
    </xf>
    <xf numFmtId="0" fontId="222" fillId="111" borderId="0" applyNumberFormat="0" applyBorder="0" applyAlignment="0" applyProtection="0">
      <alignment vertical="center"/>
    </xf>
    <xf numFmtId="0" fontId="222" fillId="111" borderId="0" applyNumberFormat="0" applyBorder="0" applyAlignment="0" applyProtection="0">
      <alignment vertical="center"/>
    </xf>
    <xf numFmtId="0" fontId="222" fillId="111" borderId="0" applyNumberFormat="0" applyBorder="0" applyAlignment="0" applyProtection="0">
      <alignment vertical="center"/>
    </xf>
    <xf numFmtId="0" fontId="222" fillId="111" borderId="0" applyNumberFormat="0" applyBorder="0" applyAlignment="0" applyProtection="0">
      <alignment vertical="center"/>
    </xf>
    <xf numFmtId="0" fontId="222" fillId="111" borderId="0" applyNumberFormat="0" applyBorder="0" applyAlignment="0" applyProtection="0">
      <alignment vertical="center"/>
    </xf>
    <xf numFmtId="0" fontId="222" fillId="111" borderId="0" applyNumberFormat="0" applyBorder="0" applyAlignment="0" applyProtection="0">
      <alignment vertical="center"/>
    </xf>
    <xf numFmtId="0" fontId="222" fillId="111" borderId="0" applyNumberFormat="0" applyBorder="0" applyAlignment="0" applyProtection="0">
      <alignment vertical="center"/>
    </xf>
    <xf numFmtId="0" fontId="222" fillId="111" borderId="0" applyNumberFormat="0" applyBorder="0" applyAlignment="0" applyProtection="0">
      <alignment vertical="center"/>
    </xf>
    <xf numFmtId="0" fontId="222" fillId="80" borderId="0" applyNumberFormat="0" applyBorder="0" applyAlignment="0" applyProtection="0">
      <alignment vertical="center"/>
    </xf>
    <xf numFmtId="0" fontId="222" fillId="80" borderId="0" applyNumberFormat="0" applyBorder="0" applyAlignment="0" applyProtection="0">
      <alignment vertical="center"/>
    </xf>
    <xf numFmtId="0" fontId="222" fillId="80" borderId="0" applyNumberFormat="0" applyBorder="0" applyAlignment="0" applyProtection="0">
      <alignment vertical="center"/>
    </xf>
    <xf numFmtId="0" fontId="222" fillId="80" borderId="0" applyNumberFormat="0" applyBorder="0" applyAlignment="0" applyProtection="0">
      <alignment vertical="center"/>
    </xf>
    <xf numFmtId="0" fontId="222" fillId="80" borderId="0" applyNumberFormat="0" applyBorder="0" applyAlignment="0" applyProtection="0">
      <alignment vertical="center"/>
    </xf>
    <xf numFmtId="0" fontId="222" fillId="80" borderId="0" applyNumberFormat="0" applyBorder="0" applyAlignment="0" applyProtection="0">
      <alignment vertical="center"/>
    </xf>
    <xf numFmtId="0" fontId="222" fillId="80" borderId="0" applyNumberFormat="0" applyBorder="0" applyAlignment="0" applyProtection="0">
      <alignment vertical="center"/>
    </xf>
    <xf numFmtId="0" fontId="222" fillId="80" borderId="0" applyNumberFormat="0" applyBorder="0" applyAlignment="0" applyProtection="0">
      <alignment vertical="center"/>
    </xf>
    <xf numFmtId="0" fontId="222" fillId="112" borderId="0" applyNumberFormat="0" applyBorder="0" applyAlignment="0" applyProtection="0">
      <alignment vertical="center"/>
    </xf>
    <xf numFmtId="0" fontId="222" fillId="112" borderId="0" applyNumberFormat="0" applyBorder="0" applyAlignment="0" applyProtection="0">
      <alignment vertical="center"/>
    </xf>
    <xf numFmtId="0" fontId="222" fillId="112" borderId="0" applyNumberFormat="0" applyBorder="0" applyAlignment="0" applyProtection="0">
      <alignment vertical="center"/>
    </xf>
    <xf numFmtId="0" fontId="222" fillId="112" borderId="0" applyNumberFormat="0" applyBorder="0" applyAlignment="0" applyProtection="0">
      <alignment vertical="center"/>
    </xf>
    <xf numFmtId="0" fontId="222" fillId="112" borderId="0" applyNumberFormat="0" applyBorder="0" applyAlignment="0" applyProtection="0">
      <alignment vertical="center"/>
    </xf>
    <xf numFmtId="0" fontId="222" fillId="112" borderId="0" applyNumberFormat="0" applyBorder="0" applyAlignment="0" applyProtection="0">
      <alignment vertical="center"/>
    </xf>
    <xf numFmtId="0" fontId="222" fillId="112" borderId="0" applyNumberFormat="0" applyBorder="0" applyAlignment="0" applyProtection="0">
      <alignment vertical="center"/>
    </xf>
    <xf numFmtId="0" fontId="222" fillId="112" borderId="0" applyNumberFormat="0" applyBorder="0" applyAlignment="0" applyProtection="0">
      <alignment vertical="center"/>
    </xf>
    <xf numFmtId="0" fontId="222" fillId="113" borderId="0" applyNumberFormat="0" applyBorder="0" applyAlignment="0" applyProtection="0">
      <alignment vertical="center"/>
    </xf>
    <xf numFmtId="0" fontId="222" fillId="113" borderId="0" applyNumberFormat="0" applyBorder="0" applyAlignment="0" applyProtection="0">
      <alignment vertical="center"/>
    </xf>
    <xf numFmtId="0" fontId="222" fillId="113" borderId="0" applyNumberFormat="0" applyBorder="0" applyAlignment="0" applyProtection="0">
      <alignment vertical="center"/>
    </xf>
    <xf numFmtId="0" fontId="222" fillId="113" borderId="0" applyNumberFormat="0" applyBorder="0" applyAlignment="0" applyProtection="0">
      <alignment vertical="center"/>
    </xf>
    <xf numFmtId="0" fontId="222" fillId="113" borderId="0" applyNumberFormat="0" applyBorder="0" applyAlignment="0" applyProtection="0">
      <alignment vertical="center"/>
    </xf>
    <xf numFmtId="0" fontId="222" fillId="113" borderId="0" applyNumberFormat="0" applyBorder="0" applyAlignment="0" applyProtection="0">
      <alignment vertical="center"/>
    </xf>
    <xf numFmtId="0" fontId="222" fillId="113" borderId="0" applyNumberFormat="0" applyBorder="0" applyAlignment="0" applyProtection="0">
      <alignment vertical="center"/>
    </xf>
    <xf numFmtId="0" fontId="222" fillId="113" borderId="0" applyNumberFormat="0" applyBorder="0" applyAlignment="0" applyProtection="0">
      <alignment vertical="center"/>
    </xf>
    <xf numFmtId="0" fontId="222" fillId="78" borderId="0" applyNumberFormat="0" applyBorder="0" applyAlignment="0" applyProtection="0">
      <alignment vertical="center"/>
    </xf>
    <xf numFmtId="0" fontId="222" fillId="78" borderId="0" applyNumberFormat="0" applyBorder="0" applyAlignment="0" applyProtection="0">
      <alignment vertical="center"/>
    </xf>
    <xf numFmtId="0" fontId="222" fillId="78" borderId="0" applyNumberFormat="0" applyBorder="0" applyAlignment="0" applyProtection="0">
      <alignment vertical="center"/>
    </xf>
    <xf numFmtId="0" fontId="222" fillId="78" borderId="0" applyNumberFormat="0" applyBorder="0" applyAlignment="0" applyProtection="0">
      <alignment vertical="center"/>
    </xf>
    <xf numFmtId="0" fontId="222" fillId="78" borderId="0" applyNumberFormat="0" applyBorder="0" applyAlignment="0" applyProtection="0">
      <alignment vertical="center"/>
    </xf>
    <xf numFmtId="0" fontId="222" fillId="78" borderId="0" applyNumberFormat="0" applyBorder="0" applyAlignment="0" applyProtection="0">
      <alignment vertical="center"/>
    </xf>
    <xf numFmtId="0" fontId="222" fillId="78" borderId="0" applyNumberFormat="0" applyBorder="0" applyAlignment="0" applyProtection="0">
      <alignment vertical="center"/>
    </xf>
    <xf numFmtId="0" fontId="222" fillId="78" borderId="0" applyNumberFormat="0" applyBorder="0" applyAlignment="0" applyProtection="0">
      <alignment vertical="center"/>
    </xf>
    <xf numFmtId="0" fontId="222" fillId="91" borderId="0" applyNumberFormat="0" applyBorder="0" applyAlignment="0" applyProtection="0">
      <alignment vertical="center"/>
    </xf>
    <xf numFmtId="0" fontId="222" fillId="91" borderId="0" applyNumberFormat="0" applyBorder="0" applyAlignment="0" applyProtection="0">
      <alignment vertical="center"/>
    </xf>
    <xf numFmtId="0" fontId="222" fillId="91" borderId="0" applyNumberFormat="0" applyBorder="0" applyAlignment="0" applyProtection="0">
      <alignment vertical="center"/>
    </xf>
    <xf numFmtId="0" fontId="222" fillId="91" borderId="0" applyNumberFormat="0" applyBorder="0" applyAlignment="0" applyProtection="0">
      <alignment vertical="center"/>
    </xf>
    <xf numFmtId="0" fontId="222" fillId="91" borderId="0" applyNumberFormat="0" applyBorder="0" applyAlignment="0" applyProtection="0">
      <alignment vertical="center"/>
    </xf>
    <xf numFmtId="0" fontId="222" fillId="91" borderId="0" applyNumberFormat="0" applyBorder="0" applyAlignment="0" applyProtection="0">
      <alignment vertical="center"/>
    </xf>
    <xf numFmtId="0" fontId="222" fillId="91" borderId="0" applyNumberFormat="0" applyBorder="0" applyAlignment="0" applyProtection="0">
      <alignment vertical="center"/>
    </xf>
    <xf numFmtId="0" fontId="222" fillId="91" borderId="0" applyNumberFormat="0" applyBorder="0" applyAlignment="0" applyProtection="0">
      <alignment vertical="center"/>
    </xf>
    <xf numFmtId="0" fontId="222" fillId="114" borderId="0" applyNumberFormat="0" applyBorder="0" applyAlignment="0" applyProtection="0">
      <alignment vertical="center"/>
    </xf>
    <xf numFmtId="0" fontId="222" fillId="114" borderId="0" applyNumberFormat="0" applyBorder="0" applyAlignment="0" applyProtection="0">
      <alignment vertical="center"/>
    </xf>
    <xf numFmtId="0" fontId="222" fillId="114" borderId="0" applyNumberFormat="0" applyBorder="0" applyAlignment="0" applyProtection="0">
      <alignment vertical="center"/>
    </xf>
    <xf numFmtId="0" fontId="222" fillId="114" borderId="0" applyNumberFormat="0" applyBorder="0" applyAlignment="0" applyProtection="0">
      <alignment vertical="center"/>
    </xf>
    <xf numFmtId="0" fontId="222" fillId="114" borderId="0" applyNumberFormat="0" applyBorder="0" applyAlignment="0" applyProtection="0">
      <alignment vertical="center"/>
    </xf>
    <xf numFmtId="0" fontId="222" fillId="114" borderId="0" applyNumberFormat="0" applyBorder="0" applyAlignment="0" applyProtection="0">
      <alignment vertical="center"/>
    </xf>
    <xf numFmtId="0" fontId="222" fillId="114" borderId="0" applyNumberFormat="0" applyBorder="0" applyAlignment="0" applyProtection="0">
      <alignment vertical="center"/>
    </xf>
    <xf numFmtId="0" fontId="222" fillId="114" borderId="0" applyNumberFormat="0" applyBorder="0" applyAlignment="0" applyProtection="0">
      <alignment vertical="center"/>
    </xf>
    <xf numFmtId="0" fontId="222" fillId="115" borderId="0" applyNumberFormat="0" applyBorder="0" applyAlignment="0" applyProtection="0">
      <alignment vertical="center"/>
    </xf>
    <xf numFmtId="0" fontId="222" fillId="115" borderId="0" applyNumberFormat="0" applyBorder="0" applyAlignment="0" applyProtection="0">
      <alignment vertical="center"/>
    </xf>
    <xf numFmtId="0" fontId="222" fillId="115" borderId="0" applyNumberFormat="0" applyBorder="0" applyAlignment="0" applyProtection="0">
      <alignment vertical="center"/>
    </xf>
    <xf numFmtId="0" fontId="222" fillId="115" borderId="0" applyNumberFormat="0" applyBorder="0" applyAlignment="0" applyProtection="0">
      <alignment vertical="center"/>
    </xf>
    <xf numFmtId="0" fontId="222" fillId="115" borderId="0" applyNumberFormat="0" applyBorder="0" applyAlignment="0" applyProtection="0">
      <alignment vertical="center"/>
    </xf>
    <xf numFmtId="0" fontId="222" fillId="115" borderId="0" applyNumberFormat="0" applyBorder="0" applyAlignment="0" applyProtection="0">
      <alignment vertical="center"/>
    </xf>
    <xf numFmtId="0" fontId="222" fillId="115" borderId="0" applyNumberFormat="0" applyBorder="0" applyAlignment="0" applyProtection="0">
      <alignment vertical="center"/>
    </xf>
    <xf numFmtId="0" fontId="222" fillId="115" borderId="0" applyNumberFormat="0" applyBorder="0" applyAlignment="0" applyProtection="0">
      <alignment vertical="center"/>
    </xf>
    <xf numFmtId="0" fontId="222" fillId="112" borderId="0" applyNumberFormat="0" applyBorder="0" applyAlignment="0" applyProtection="0">
      <alignment vertical="center"/>
    </xf>
    <xf numFmtId="0" fontId="222" fillId="112" borderId="0" applyNumberFormat="0" applyBorder="0" applyAlignment="0" applyProtection="0">
      <alignment vertical="center"/>
    </xf>
    <xf numFmtId="0" fontId="222" fillId="112" borderId="0" applyNumberFormat="0" applyBorder="0" applyAlignment="0" applyProtection="0">
      <alignment vertical="center"/>
    </xf>
    <xf numFmtId="0" fontId="222" fillId="112" borderId="0" applyNumberFormat="0" applyBorder="0" applyAlignment="0" applyProtection="0">
      <alignment vertical="center"/>
    </xf>
    <xf numFmtId="0" fontId="222" fillId="112" borderId="0" applyNumberFormat="0" applyBorder="0" applyAlignment="0" applyProtection="0">
      <alignment vertical="center"/>
    </xf>
    <xf numFmtId="0" fontId="222" fillId="112" borderId="0" applyNumberFormat="0" applyBorder="0" applyAlignment="0" applyProtection="0">
      <alignment vertical="center"/>
    </xf>
    <xf numFmtId="0" fontId="222" fillId="112" borderId="0" applyNumberFormat="0" applyBorder="0" applyAlignment="0" applyProtection="0">
      <alignment vertical="center"/>
    </xf>
    <xf numFmtId="0" fontId="222" fillId="112" borderId="0" applyNumberFormat="0" applyBorder="0" applyAlignment="0" applyProtection="0">
      <alignment vertical="center"/>
    </xf>
    <xf numFmtId="0" fontId="222" fillId="91" borderId="0" applyNumberFormat="0" applyBorder="0" applyAlignment="0" applyProtection="0">
      <alignment vertical="center"/>
    </xf>
    <xf numFmtId="0" fontId="222" fillId="91" borderId="0" applyNumberFormat="0" applyBorder="0" applyAlignment="0" applyProtection="0">
      <alignment vertical="center"/>
    </xf>
    <xf numFmtId="0" fontId="222" fillId="91" borderId="0" applyNumberFormat="0" applyBorder="0" applyAlignment="0" applyProtection="0">
      <alignment vertical="center"/>
    </xf>
    <xf numFmtId="0" fontId="222" fillId="91" borderId="0" applyNumberFormat="0" applyBorder="0" applyAlignment="0" applyProtection="0">
      <alignment vertical="center"/>
    </xf>
    <xf numFmtId="0" fontId="222" fillId="91" borderId="0" applyNumberFormat="0" applyBorder="0" applyAlignment="0" applyProtection="0">
      <alignment vertical="center"/>
    </xf>
    <xf numFmtId="0" fontId="222" fillId="91" borderId="0" applyNumberFormat="0" applyBorder="0" applyAlignment="0" applyProtection="0">
      <alignment vertical="center"/>
    </xf>
    <xf numFmtId="0" fontId="222" fillId="91" borderId="0" applyNumberFormat="0" applyBorder="0" applyAlignment="0" applyProtection="0">
      <alignment vertical="center"/>
    </xf>
    <xf numFmtId="0" fontId="222" fillId="91" borderId="0" applyNumberFormat="0" applyBorder="0" applyAlignment="0" applyProtection="0">
      <alignment vertical="center"/>
    </xf>
    <xf numFmtId="0" fontId="222" fillId="116" borderId="0" applyNumberFormat="0" applyBorder="0" applyAlignment="0" applyProtection="0">
      <alignment vertical="center"/>
    </xf>
    <xf numFmtId="0" fontId="222" fillId="116" borderId="0" applyNumberFormat="0" applyBorder="0" applyAlignment="0" applyProtection="0">
      <alignment vertical="center"/>
    </xf>
    <xf numFmtId="0" fontId="222" fillId="116" borderId="0" applyNumberFormat="0" applyBorder="0" applyAlignment="0" applyProtection="0">
      <alignment vertical="center"/>
    </xf>
    <xf numFmtId="0" fontId="222" fillId="116" borderId="0" applyNumberFormat="0" applyBorder="0" applyAlignment="0" applyProtection="0">
      <alignment vertical="center"/>
    </xf>
    <xf numFmtId="0" fontId="222" fillId="116" borderId="0" applyNumberFormat="0" applyBorder="0" applyAlignment="0" applyProtection="0">
      <alignment vertical="center"/>
    </xf>
    <xf numFmtId="0" fontId="222" fillId="116" borderId="0" applyNumberFormat="0" applyBorder="0" applyAlignment="0" applyProtection="0">
      <alignment vertical="center"/>
    </xf>
    <xf numFmtId="0" fontId="222" fillId="116" borderId="0" applyNumberFormat="0" applyBorder="0" applyAlignment="0" applyProtection="0">
      <alignment vertical="center"/>
    </xf>
    <xf numFmtId="0" fontId="222" fillId="116" borderId="0" applyNumberFormat="0" applyBorder="0" applyAlignment="0" applyProtection="0">
      <alignment vertical="center"/>
    </xf>
    <xf numFmtId="0" fontId="223" fillId="117" borderId="0" applyNumberFormat="0" applyBorder="0" applyAlignment="0" applyProtection="0">
      <alignment vertical="center"/>
    </xf>
    <xf numFmtId="0" fontId="223" fillId="117" borderId="0" applyNumberFormat="0" applyBorder="0" applyAlignment="0" applyProtection="0">
      <alignment vertical="center"/>
    </xf>
    <xf numFmtId="0" fontId="223" fillId="117" borderId="0" applyNumberFormat="0" applyBorder="0" applyAlignment="0" applyProtection="0">
      <alignment vertical="center"/>
    </xf>
    <xf numFmtId="0" fontId="223" fillId="117" borderId="0" applyNumberFormat="0" applyBorder="0" applyAlignment="0" applyProtection="0">
      <alignment vertical="center"/>
    </xf>
    <xf numFmtId="0" fontId="224" fillId="117" borderId="0" applyNumberFormat="0" applyBorder="0" applyAlignment="0" applyProtection="0">
      <alignment vertical="center"/>
    </xf>
    <xf numFmtId="0" fontId="223" fillId="117" borderId="0" applyNumberFormat="0" applyBorder="0" applyAlignment="0" applyProtection="0">
      <alignment vertical="center"/>
    </xf>
    <xf numFmtId="0" fontId="223" fillId="117" borderId="0" applyNumberFormat="0" applyBorder="0" applyAlignment="0" applyProtection="0">
      <alignment vertical="center"/>
    </xf>
    <xf numFmtId="0" fontId="224" fillId="117" borderId="0" applyNumberFormat="0" applyBorder="0" applyAlignment="0" applyProtection="0">
      <alignment vertical="center"/>
    </xf>
    <xf numFmtId="0" fontId="223" fillId="114" borderId="0" applyNumberFormat="0" applyBorder="0" applyAlignment="0" applyProtection="0">
      <alignment vertical="center"/>
    </xf>
    <xf numFmtId="0" fontId="223" fillId="114" borderId="0" applyNumberFormat="0" applyBorder="0" applyAlignment="0" applyProtection="0">
      <alignment vertical="center"/>
    </xf>
    <xf numFmtId="0" fontId="223" fillId="114" borderId="0" applyNumberFormat="0" applyBorder="0" applyAlignment="0" applyProtection="0">
      <alignment vertical="center"/>
    </xf>
    <xf numFmtId="0" fontId="223" fillId="114" borderId="0" applyNumberFormat="0" applyBorder="0" applyAlignment="0" applyProtection="0">
      <alignment vertical="center"/>
    </xf>
    <xf numFmtId="0" fontId="224" fillId="114" borderId="0" applyNumberFormat="0" applyBorder="0" applyAlignment="0" applyProtection="0">
      <alignment vertical="center"/>
    </xf>
    <xf numFmtId="0" fontId="223" fillId="114" borderId="0" applyNumberFormat="0" applyBorder="0" applyAlignment="0" applyProtection="0">
      <alignment vertical="center"/>
    </xf>
    <xf numFmtId="0" fontId="223" fillId="114" borderId="0" applyNumberFormat="0" applyBorder="0" applyAlignment="0" applyProtection="0">
      <alignment vertical="center"/>
    </xf>
    <xf numFmtId="0" fontId="224" fillId="114" borderId="0" applyNumberFormat="0" applyBorder="0" applyAlignment="0" applyProtection="0">
      <alignment vertical="center"/>
    </xf>
    <xf numFmtId="0" fontId="223" fillId="115" borderId="0" applyNumberFormat="0" applyBorder="0" applyAlignment="0" applyProtection="0">
      <alignment vertical="center"/>
    </xf>
    <xf numFmtId="0" fontId="223" fillId="115" borderId="0" applyNumberFormat="0" applyBorder="0" applyAlignment="0" applyProtection="0">
      <alignment vertical="center"/>
    </xf>
    <xf numFmtId="0" fontId="223" fillId="115" borderId="0" applyNumberFormat="0" applyBorder="0" applyAlignment="0" applyProtection="0">
      <alignment vertical="center"/>
    </xf>
    <xf numFmtId="0" fontId="223" fillId="115" borderId="0" applyNumberFormat="0" applyBorder="0" applyAlignment="0" applyProtection="0">
      <alignment vertical="center"/>
    </xf>
    <xf numFmtId="0" fontId="224" fillId="115" borderId="0" applyNumberFormat="0" applyBorder="0" applyAlignment="0" applyProtection="0">
      <alignment vertical="center"/>
    </xf>
    <xf numFmtId="0" fontId="223" fillId="115" borderId="0" applyNumberFormat="0" applyBorder="0" applyAlignment="0" applyProtection="0">
      <alignment vertical="center"/>
    </xf>
    <xf numFmtId="0" fontId="223" fillId="115" borderId="0" applyNumberFormat="0" applyBorder="0" applyAlignment="0" applyProtection="0">
      <alignment vertical="center"/>
    </xf>
    <xf numFmtId="0" fontId="224" fillId="115" borderId="0" applyNumberFormat="0" applyBorder="0" applyAlignment="0" applyProtection="0">
      <alignment vertical="center"/>
    </xf>
    <xf numFmtId="0" fontId="223" fillId="118" borderId="0" applyNumberFormat="0" applyBorder="0" applyAlignment="0" applyProtection="0">
      <alignment vertical="center"/>
    </xf>
    <xf numFmtId="0" fontId="223" fillId="118" borderId="0" applyNumberFormat="0" applyBorder="0" applyAlignment="0" applyProtection="0">
      <alignment vertical="center"/>
    </xf>
    <xf numFmtId="0" fontId="223" fillId="118" borderId="0" applyNumberFormat="0" applyBorder="0" applyAlignment="0" applyProtection="0">
      <alignment vertical="center"/>
    </xf>
    <xf numFmtId="0" fontId="223" fillId="118" borderId="0" applyNumberFormat="0" applyBorder="0" applyAlignment="0" applyProtection="0">
      <alignment vertical="center"/>
    </xf>
    <xf numFmtId="0" fontId="224" fillId="118" borderId="0" applyNumberFormat="0" applyBorder="0" applyAlignment="0" applyProtection="0">
      <alignment vertical="center"/>
    </xf>
    <xf numFmtId="0" fontId="223" fillId="118" borderId="0" applyNumberFormat="0" applyBorder="0" applyAlignment="0" applyProtection="0">
      <alignment vertical="center"/>
    </xf>
    <xf numFmtId="0" fontId="223" fillId="118" borderId="0" applyNumberFormat="0" applyBorder="0" applyAlignment="0" applyProtection="0">
      <alignment vertical="center"/>
    </xf>
    <xf numFmtId="0" fontId="224" fillId="118" borderId="0" applyNumberFormat="0" applyBorder="0" applyAlignment="0" applyProtection="0">
      <alignment vertical="center"/>
    </xf>
    <xf numFmtId="0" fontId="223" fillId="119" borderId="0" applyNumberFormat="0" applyBorder="0" applyAlignment="0" applyProtection="0">
      <alignment vertical="center"/>
    </xf>
    <xf numFmtId="0" fontId="223" fillId="119" borderId="0" applyNumberFormat="0" applyBorder="0" applyAlignment="0" applyProtection="0">
      <alignment vertical="center"/>
    </xf>
    <xf numFmtId="0" fontId="223" fillId="119" borderId="0" applyNumberFormat="0" applyBorder="0" applyAlignment="0" applyProtection="0">
      <alignment vertical="center"/>
    </xf>
    <xf numFmtId="0" fontId="223" fillId="119" borderId="0" applyNumberFormat="0" applyBorder="0" applyAlignment="0" applyProtection="0">
      <alignment vertical="center"/>
    </xf>
    <xf numFmtId="0" fontId="224" fillId="119" borderId="0" applyNumberFormat="0" applyBorder="0" applyAlignment="0" applyProtection="0">
      <alignment vertical="center"/>
    </xf>
    <xf numFmtId="0" fontId="223" fillId="119" borderId="0" applyNumberFormat="0" applyBorder="0" applyAlignment="0" applyProtection="0">
      <alignment vertical="center"/>
    </xf>
    <xf numFmtId="0" fontId="223" fillId="119" borderId="0" applyNumberFormat="0" applyBorder="0" applyAlignment="0" applyProtection="0">
      <alignment vertical="center"/>
    </xf>
    <xf numFmtId="0" fontId="224" fillId="119" borderId="0" applyNumberFormat="0" applyBorder="0" applyAlignment="0" applyProtection="0">
      <alignment vertical="center"/>
    </xf>
    <xf numFmtId="0" fontId="223" fillId="102" borderId="0" applyNumberFormat="0" applyBorder="0" applyAlignment="0" applyProtection="0">
      <alignment vertical="center"/>
    </xf>
    <xf numFmtId="0" fontId="223" fillId="102" borderId="0" applyNumberFormat="0" applyBorder="0" applyAlignment="0" applyProtection="0">
      <alignment vertical="center"/>
    </xf>
    <xf numFmtId="0" fontId="223" fillId="102" borderId="0" applyNumberFormat="0" applyBorder="0" applyAlignment="0" applyProtection="0">
      <alignment vertical="center"/>
    </xf>
    <xf numFmtId="0" fontId="223" fillId="102" borderId="0" applyNumberFormat="0" applyBorder="0" applyAlignment="0" applyProtection="0">
      <alignment vertical="center"/>
    </xf>
    <xf numFmtId="0" fontId="224" fillId="102" borderId="0" applyNumberFormat="0" applyBorder="0" applyAlignment="0" applyProtection="0">
      <alignment vertical="center"/>
    </xf>
    <xf numFmtId="0" fontId="223" fillId="102" borderId="0" applyNumberFormat="0" applyBorder="0" applyAlignment="0" applyProtection="0">
      <alignment vertical="center"/>
    </xf>
    <xf numFmtId="0" fontId="223" fillId="102" borderId="0" applyNumberFormat="0" applyBorder="0" applyAlignment="0" applyProtection="0">
      <alignment vertical="center"/>
    </xf>
    <xf numFmtId="0" fontId="224" fillId="102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top"/>
    </xf>
    <xf numFmtId="0" fontId="85" fillId="0" borderId="96">
      <alignment horizontal="center"/>
    </xf>
    <xf numFmtId="350" fontId="4" fillId="0" borderId="0">
      <alignment horizontal="center"/>
    </xf>
    <xf numFmtId="0" fontId="218" fillId="0" borderId="0" applyNumberFormat="0" applyFill="0" applyBorder="0" applyAlignment="0"/>
    <xf numFmtId="351" fontId="5" fillId="0" borderId="0">
      <protection locked="0"/>
    </xf>
    <xf numFmtId="0" fontId="221" fillId="0" borderId="0"/>
    <xf numFmtId="0" fontId="40" fillId="0" borderId="0" applyNumberFormat="0" applyFill="0" applyBorder="0" applyAlignment="0" applyProtection="0"/>
    <xf numFmtId="169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21" fillId="0" borderId="0" applyFont="0" applyFill="0" applyBorder="0" applyAlignment="0" applyProtection="0">
      <alignment vertical="center"/>
    </xf>
    <xf numFmtId="43" fontId="221" fillId="0" borderId="0" applyFont="0" applyFill="0" applyBorder="0" applyAlignment="0" applyProtection="0">
      <alignment vertical="center"/>
    </xf>
    <xf numFmtId="43" fontId="221" fillId="0" borderId="0" applyFont="0" applyFill="0" applyBorder="0" applyAlignment="0" applyProtection="0">
      <alignment vertical="center"/>
    </xf>
    <xf numFmtId="43" fontId="221" fillId="0" borderId="0" applyFont="0" applyFill="0" applyBorder="0" applyAlignment="0" applyProtection="0">
      <alignment vertical="center"/>
    </xf>
    <xf numFmtId="43" fontId="221" fillId="0" borderId="0" applyFont="0" applyFill="0" applyBorder="0" applyAlignment="0" applyProtection="0">
      <alignment vertical="center"/>
    </xf>
    <xf numFmtId="43" fontId="221" fillId="0" borderId="0" applyFont="0" applyFill="0" applyBorder="0" applyAlignment="0" applyProtection="0">
      <alignment vertical="center"/>
    </xf>
    <xf numFmtId="43" fontId="221" fillId="0" borderId="0" applyFont="0" applyFill="0" applyBorder="0" applyAlignment="0" applyProtection="0">
      <alignment vertical="center"/>
    </xf>
    <xf numFmtId="43" fontId="221" fillId="0" borderId="0" applyFont="0" applyFill="0" applyBorder="0" applyAlignment="0" applyProtection="0">
      <alignment vertical="center"/>
    </xf>
    <xf numFmtId="43" fontId="221" fillId="0" borderId="0" applyFont="0" applyFill="0" applyBorder="0" applyAlignment="0" applyProtection="0"/>
    <xf numFmtId="43" fontId="221" fillId="0" borderId="0" applyFont="0" applyFill="0" applyBorder="0" applyAlignment="0" applyProtection="0"/>
    <xf numFmtId="43" fontId="221" fillId="0" borderId="0" applyFont="0" applyFill="0" applyBorder="0" applyAlignment="0" applyProtection="0"/>
    <xf numFmtId="43" fontId="221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226" fillId="80" borderId="0" applyNumberFormat="0" applyBorder="0" applyAlignment="0" applyProtection="0">
      <alignment vertical="center"/>
    </xf>
    <xf numFmtId="0" fontId="226" fillId="80" borderId="0" applyNumberFormat="0" applyBorder="0" applyAlignment="0" applyProtection="0">
      <alignment vertical="center"/>
    </xf>
    <xf numFmtId="0" fontId="226" fillId="80" borderId="0" applyNumberFormat="0" applyBorder="0" applyAlignment="0" applyProtection="0">
      <alignment vertical="center"/>
    </xf>
    <xf numFmtId="0" fontId="226" fillId="80" borderId="0" applyNumberFormat="0" applyBorder="0" applyAlignment="0" applyProtection="0">
      <alignment vertical="center"/>
    </xf>
    <xf numFmtId="0" fontId="226" fillId="80" borderId="0" applyNumberFormat="0" applyBorder="0" applyAlignment="0" applyProtection="0">
      <alignment vertical="center"/>
    </xf>
    <xf numFmtId="0" fontId="226" fillId="80" borderId="0" applyNumberFormat="0" applyBorder="0" applyAlignment="0" applyProtection="0">
      <alignment vertical="center"/>
    </xf>
    <xf numFmtId="0" fontId="226" fillId="80" borderId="0" applyNumberFormat="0" applyBorder="0" applyAlignment="0" applyProtection="0">
      <alignment vertical="center"/>
    </xf>
    <xf numFmtId="0" fontId="226" fillId="80" borderId="0" applyNumberFormat="0" applyBorder="0" applyAlignment="0" applyProtection="0">
      <alignment vertical="center"/>
    </xf>
    <xf numFmtId="0" fontId="226" fillId="80" borderId="0" applyNumberFormat="0" applyBorder="0" applyAlignment="0" applyProtection="0">
      <alignment vertical="center"/>
    </xf>
    <xf numFmtId="0" fontId="226" fillId="80" borderId="0" applyNumberFormat="0" applyBorder="0" applyAlignment="0" applyProtection="0">
      <alignment vertical="center"/>
    </xf>
    <xf numFmtId="0" fontId="226" fillId="80" borderId="0" applyNumberFormat="0" applyBorder="0" applyAlignment="0" applyProtection="0">
      <alignment vertical="center"/>
    </xf>
    <xf numFmtId="0" fontId="226" fillId="80" borderId="0" applyNumberFormat="0" applyBorder="0" applyAlignment="0" applyProtection="0">
      <alignment vertical="center"/>
    </xf>
    <xf numFmtId="0" fontId="226" fillId="80" borderId="0" applyNumberFormat="0" applyBorder="0" applyAlignment="0" applyProtection="0">
      <alignment vertical="center"/>
    </xf>
    <xf numFmtId="0" fontId="226" fillId="80" borderId="0" applyNumberFormat="0" applyBorder="0" applyAlignment="0" applyProtection="0">
      <alignment vertical="center"/>
    </xf>
    <xf numFmtId="0" fontId="226" fillId="80" borderId="0" applyNumberFormat="0" applyBorder="0" applyAlignment="0" applyProtection="0">
      <alignment vertical="center"/>
    </xf>
    <xf numFmtId="0" fontId="226" fillId="80" borderId="0" applyNumberFormat="0" applyBorder="0" applyAlignment="0" applyProtection="0">
      <alignment vertical="center"/>
    </xf>
    <xf numFmtId="0" fontId="227" fillId="111" borderId="0" applyNumberFormat="0" applyBorder="0" applyAlignment="0" applyProtection="0">
      <alignment vertical="center"/>
    </xf>
    <xf numFmtId="0" fontId="227" fillId="111" borderId="0" applyNumberFormat="0" applyBorder="0" applyAlignment="0" applyProtection="0">
      <alignment vertical="center"/>
    </xf>
    <xf numFmtId="0" fontId="227" fillId="111" borderId="0" applyNumberFormat="0" applyBorder="0" applyAlignment="0" applyProtection="0">
      <alignment vertical="center"/>
    </xf>
    <xf numFmtId="0" fontId="227" fillId="111" borderId="0" applyNumberFormat="0" applyBorder="0" applyAlignment="0" applyProtection="0">
      <alignment vertical="center"/>
    </xf>
    <xf numFmtId="0" fontId="227" fillId="111" borderId="0" applyNumberFormat="0" applyBorder="0" applyAlignment="0" applyProtection="0">
      <alignment vertical="center"/>
    </xf>
    <xf numFmtId="0" fontId="227" fillId="111" borderId="0" applyNumberFormat="0" applyBorder="0" applyAlignment="0" applyProtection="0">
      <alignment vertical="center"/>
    </xf>
    <xf numFmtId="0" fontId="227" fillId="111" borderId="0" applyNumberFormat="0" applyBorder="0" applyAlignment="0" applyProtection="0">
      <alignment vertical="center"/>
    </xf>
    <xf numFmtId="0" fontId="227" fillId="111" borderId="0" applyNumberFormat="0" applyBorder="0" applyAlignment="0" applyProtection="0">
      <alignment vertical="center"/>
    </xf>
    <xf numFmtId="0" fontId="227" fillId="111" borderId="0" applyNumberFormat="0" applyBorder="0" applyAlignment="0" applyProtection="0">
      <alignment vertical="center"/>
    </xf>
    <xf numFmtId="0" fontId="227" fillId="111" borderId="0" applyNumberFormat="0" applyBorder="0" applyAlignment="0" applyProtection="0">
      <alignment vertical="center"/>
    </xf>
    <xf numFmtId="0" fontId="227" fillId="111" borderId="0" applyNumberFormat="0" applyBorder="0" applyAlignment="0" applyProtection="0">
      <alignment vertical="center"/>
    </xf>
    <xf numFmtId="0" fontId="227" fillId="111" borderId="0" applyNumberFormat="0" applyBorder="0" applyAlignment="0" applyProtection="0">
      <alignment vertical="center"/>
    </xf>
    <xf numFmtId="0" fontId="227" fillId="111" borderId="0" applyNumberFormat="0" applyBorder="0" applyAlignment="0" applyProtection="0">
      <alignment vertical="center"/>
    </xf>
    <xf numFmtId="0" fontId="227" fillId="111" borderId="0" applyNumberFormat="0" applyBorder="0" applyAlignment="0" applyProtection="0">
      <alignment vertical="center"/>
    </xf>
    <xf numFmtId="0" fontId="227" fillId="111" borderId="0" applyNumberFormat="0" applyBorder="0" applyAlignment="0" applyProtection="0">
      <alignment vertical="center"/>
    </xf>
    <xf numFmtId="0" fontId="227" fillId="1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21" fillId="0" borderId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1" fillId="0" borderId="0">
      <alignment vertical="center"/>
    </xf>
    <xf numFmtId="0" fontId="221" fillId="0" borderId="0"/>
    <xf numFmtId="0" fontId="221" fillId="0" borderId="0"/>
    <xf numFmtId="0" fontId="221" fillId="0" borderId="0"/>
    <xf numFmtId="0" fontId="5" fillId="0" borderId="0"/>
    <xf numFmtId="0" fontId="221" fillId="0" borderId="0">
      <alignment vertical="center"/>
    </xf>
    <xf numFmtId="0" fontId="221" fillId="0" borderId="0">
      <alignment vertical="center"/>
    </xf>
    <xf numFmtId="0" fontId="221" fillId="0" borderId="0">
      <alignment vertical="center"/>
    </xf>
    <xf numFmtId="0" fontId="221" fillId="0" borderId="0"/>
    <xf numFmtId="0" fontId="5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1" fillId="0" borderId="0"/>
    <xf numFmtId="0" fontId="221" fillId="0" borderId="0"/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>
      <alignment vertical="center"/>
    </xf>
    <xf numFmtId="0" fontId="221" fillId="0" borderId="0">
      <alignment vertical="center"/>
    </xf>
    <xf numFmtId="0" fontId="221" fillId="0" borderId="0">
      <alignment vertical="center"/>
    </xf>
    <xf numFmtId="0" fontId="221" fillId="0" borderId="0">
      <alignment vertical="center"/>
    </xf>
    <xf numFmtId="0" fontId="221" fillId="0" borderId="0">
      <alignment vertical="center"/>
    </xf>
    <xf numFmtId="0" fontId="221" fillId="0" borderId="0">
      <alignment vertical="center"/>
    </xf>
    <xf numFmtId="0" fontId="221" fillId="0" borderId="0">
      <alignment vertical="center"/>
    </xf>
    <xf numFmtId="0" fontId="221" fillId="0" borderId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3" fillId="96" borderId="0" applyNumberFormat="0" applyBorder="0" applyAlignment="0" applyProtection="0">
      <alignment vertical="center"/>
    </xf>
    <xf numFmtId="0" fontId="223" fillId="96" borderId="0" applyNumberFormat="0" applyBorder="0" applyAlignment="0" applyProtection="0">
      <alignment vertical="center"/>
    </xf>
    <xf numFmtId="0" fontId="223" fillId="96" borderId="0" applyNumberFormat="0" applyBorder="0" applyAlignment="0" applyProtection="0">
      <alignment vertical="center"/>
    </xf>
    <xf numFmtId="0" fontId="223" fillId="96" borderId="0" applyNumberFormat="0" applyBorder="0" applyAlignment="0" applyProtection="0">
      <alignment vertical="center"/>
    </xf>
    <xf numFmtId="0" fontId="224" fillId="96" borderId="0" applyNumberFormat="0" applyBorder="0" applyAlignment="0" applyProtection="0">
      <alignment vertical="center"/>
    </xf>
    <xf numFmtId="0" fontId="223" fillId="96" borderId="0" applyNumberFormat="0" applyBorder="0" applyAlignment="0" applyProtection="0">
      <alignment vertical="center"/>
    </xf>
    <xf numFmtId="0" fontId="223" fillId="96" borderId="0" applyNumberFormat="0" applyBorder="0" applyAlignment="0" applyProtection="0">
      <alignment vertical="center"/>
    </xf>
    <xf numFmtId="0" fontId="224" fillId="96" borderId="0" applyNumberFormat="0" applyBorder="0" applyAlignment="0" applyProtection="0">
      <alignment vertical="center"/>
    </xf>
    <xf numFmtId="0" fontId="223" fillId="120" borderId="0" applyNumberFormat="0" applyBorder="0" applyAlignment="0" applyProtection="0">
      <alignment vertical="center"/>
    </xf>
    <xf numFmtId="0" fontId="223" fillId="120" borderId="0" applyNumberFormat="0" applyBorder="0" applyAlignment="0" applyProtection="0">
      <alignment vertical="center"/>
    </xf>
    <xf numFmtId="0" fontId="223" fillId="120" borderId="0" applyNumberFormat="0" applyBorder="0" applyAlignment="0" applyProtection="0">
      <alignment vertical="center"/>
    </xf>
    <xf numFmtId="0" fontId="223" fillId="120" borderId="0" applyNumberFormat="0" applyBorder="0" applyAlignment="0" applyProtection="0">
      <alignment vertical="center"/>
    </xf>
    <xf numFmtId="0" fontId="224" fillId="120" borderId="0" applyNumberFormat="0" applyBorder="0" applyAlignment="0" applyProtection="0">
      <alignment vertical="center"/>
    </xf>
    <xf numFmtId="0" fontId="223" fillId="120" borderId="0" applyNumberFormat="0" applyBorder="0" applyAlignment="0" applyProtection="0">
      <alignment vertical="center"/>
    </xf>
    <xf numFmtId="0" fontId="223" fillId="120" borderId="0" applyNumberFormat="0" applyBorder="0" applyAlignment="0" applyProtection="0">
      <alignment vertical="center"/>
    </xf>
    <xf numFmtId="0" fontId="224" fillId="120" borderId="0" applyNumberFormat="0" applyBorder="0" applyAlignment="0" applyProtection="0">
      <alignment vertical="center"/>
    </xf>
    <xf numFmtId="0" fontId="223" fillId="121" borderId="0" applyNumberFormat="0" applyBorder="0" applyAlignment="0" applyProtection="0">
      <alignment vertical="center"/>
    </xf>
    <xf numFmtId="0" fontId="223" fillId="121" borderId="0" applyNumberFormat="0" applyBorder="0" applyAlignment="0" applyProtection="0">
      <alignment vertical="center"/>
    </xf>
    <xf numFmtId="0" fontId="223" fillId="121" borderId="0" applyNumberFormat="0" applyBorder="0" applyAlignment="0" applyProtection="0">
      <alignment vertical="center"/>
    </xf>
    <xf numFmtId="0" fontId="223" fillId="121" borderId="0" applyNumberFormat="0" applyBorder="0" applyAlignment="0" applyProtection="0">
      <alignment vertical="center"/>
    </xf>
    <xf numFmtId="0" fontId="224" fillId="121" borderId="0" applyNumberFormat="0" applyBorder="0" applyAlignment="0" applyProtection="0">
      <alignment vertical="center"/>
    </xf>
    <xf numFmtId="0" fontId="223" fillId="121" borderId="0" applyNumberFormat="0" applyBorder="0" applyAlignment="0" applyProtection="0">
      <alignment vertical="center"/>
    </xf>
    <xf numFmtId="0" fontId="223" fillId="121" borderId="0" applyNumberFormat="0" applyBorder="0" applyAlignment="0" applyProtection="0">
      <alignment vertical="center"/>
    </xf>
    <xf numFmtId="0" fontId="224" fillId="121" borderId="0" applyNumberFormat="0" applyBorder="0" applyAlignment="0" applyProtection="0">
      <alignment vertical="center"/>
    </xf>
    <xf numFmtId="0" fontId="223" fillId="118" borderId="0" applyNumberFormat="0" applyBorder="0" applyAlignment="0" applyProtection="0">
      <alignment vertical="center"/>
    </xf>
    <xf numFmtId="0" fontId="223" fillId="118" borderId="0" applyNumberFormat="0" applyBorder="0" applyAlignment="0" applyProtection="0">
      <alignment vertical="center"/>
    </xf>
    <xf numFmtId="0" fontId="223" fillId="118" borderId="0" applyNumberFormat="0" applyBorder="0" applyAlignment="0" applyProtection="0">
      <alignment vertical="center"/>
    </xf>
    <xf numFmtId="0" fontId="223" fillId="118" borderId="0" applyNumberFormat="0" applyBorder="0" applyAlignment="0" applyProtection="0">
      <alignment vertical="center"/>
    </xf>
    <xf numFmtId="0" fontId="224" fillId="118" borderId="0" applyNumberFormat="0" applyBorder="0" applyAlignment="0" applyProtection="0">
      <alignment vertical="center"/>
    </xf>
    <xf numFmtId="0" fontId="223" fillId="118" borderId="0" applyNumberFormat="0" applyBorder="0" applyAlignment="0" applyProtection="0">
      <alignment vertical="center"/>
    </xf>
    <xf numFmtId="0" fontId="223" fillId="118" borderId="0" applyNumberFormat="0" applyBorder="0" applyAlignment="0" applyProtection="0">
      <alignment vertical="center"/>
    </xf>
    <xf numFmtId="0" fontId="224" fillId="118" borderId="0" applyNumberFormat="0" applyBorder="0" applyAlignment="0" applyProtection="0">
      <alignment vertical="center"/>
    </xf>
    <xf numFmtId="0" fontId="223" fillId="119" borderId="0" applyNumberFormat="0" applyBorder="0" applyAlignment="0" applyProtection="0">
      <alignment vertical="center"/>
    </xf>
    <xf numFmtId="0" fontId="223" fillId="119" borderId="0" applyNumberFormat="0" applyBorder="0" applyAlignment="0" applyProtection="0">
      <alignment vertical="center"/>
    </xf>
    <xf numFmtId="0" fontId="223" fillId="119" borderId="0" applyNumberFormat="0" applyBorder="0" applyAlignment="0" applyProtection="0">
      <alignment vertical="center"/>
    </xf>
    <xf numFmtId="0" fontId="223" fillId="119" borderId="0" applyNumberFormat="0" applyBorder="0" applyAlignment="0" applyProtection="0">
      <alignment vertical="center"/>
    </xf>
    <xf numFmtId="0" fontId="224" fillId="119" borderId="0" applyNumberFormat="0" applyBorder="0" applyAlignment="0" applyProtection="0">
      <alignment vertical="center"/>
    </xf>
    <xf numFmtId="0" fontId="223" fillId="119" borderId="0" applyNumberFormat="0" applyBorder="0" applyAlignment="0" applyProtection="0">
      <alignment vertical="center"/>
    </xf>
    <xf numFmtId="0" fontId="223" fillId="119" borderId="0" applyNumberFormat="0" applyBorder="0" applyAlignment="0" applyProtection="0">
      <alignment vertical="center"/>
    </xf>
    <xf numFmtId="0" fontId="224" fillId="119" borderId="0" applyNumberFormat="0" applyBorder="0" applyAlignment="0" applyProtection="0">
      <alignment vertical="center"/>
    </xf>
    <xf numFmtId="0" fontId="223" fillId="122" borderId="0" applyNumberFormat="0" applyBorder="0" applyAlignment="0" applyProtection="0">
      <alignment vertical="center"/>
    </xf>
    <xf numFmtId="0" fontId="223" fillId="122" borderId="0" applyNumberFormat="0" applyBorder="0" applyAlignment="0" applyProtection="0">
      <alignment vertical="center"/>
    </xf>
    <xf numFmtId="0" fontId="223" fillId="122" borderId="0" applyNumberFormat="0" applyBorder="0" applyAlignment="0" applyProtection="0">
      <alignment vertical="center"/>
    </xf>
    <xf numFmtId="0" fontId="223" fillId="122" borderId="0" applyNumberFormat="0" applyBorder="0" applyAlignment="0" applyProtection="0">
      <alignment vertical="center"/>
    </xf>
    <xf numFmtId="0" fontId="224" fillId="122" borderId="0" applyNumberFormat="0" applyBorder="0" applyAlignment="0" applyProtection="0">
      <alignment vertical="center"/>
    </xf>
    <xf numFmtId="0" fontId="223" fillId="122" borderId="0" applyNumberFormat="0" applyBorder="0" applyAlignment="0" applyProtection="0">
      <alignment vertical="center"/>
    </xf>
    <xf numFmtId="0" fontId="223" fillId="122" borderId="0" applyNumberFormat="0" applyBorder="0" applyAlignment="0" applyProtection="0">
      <alignment vertical="center"/>
    </xf>
    <xf numFmtId="0" fontId="224" fillId="122" borderId="0" applyNumberFormat="0" applyBorder="0" applyAlignment="0" applyProtection="0">
      <alignment vertical="center"/>
    </xf>
    <xf numFmtId="0" fontId="228" fillId="0" borderId="53" applyNumberFormat="0" applyFill="0" applyAlignment="0" applyProtection="0">
      <alignment vertical="center"/>
    </xf>
    <xf numFmtId="0" fontId="228" fillId="0" borderId="53" applyNumberFormat="0" applyFill="0" applyAlignment="0" applyProtection="0">
      <alignment vertical="center"/>
    </xf>
    <xf numFmtId="0" fontId="228" fillId="0" borderId="53" applyNumberFormat="0" applyFill="0" applyAlignment="0" applyProtection="0">
      <alignment vertical="center"/>
    </xf>
    <xf numFmtId="0" fontId="228" fillId="0" borderId="53" applyNumberFormat="0" applyFill="0" applyAlignment="0" applyProtection="0">
      <alignment vertical="center"/>
    </xf>
    <xf numFmtId="0" fontId="228" fillId="0" borderId="53" applyNumberFormat="0" applyFill="0" applyAlignment="0" applyProtection="0">
      <alignment vertical="center"/>
    </xf>
    <xf numFmtId="0" fontId="228" fillId="0" borderId="53" applyNumberFormat="0" applyFill="0" applyAlignment="0" applyProtection="0">
      <alignment vertical="center"/>
    </xf>
    <xf numFmtId="0" fontId="229" fillId="0" borderId="54" applyNumberFormat="0" applyFill="0" applyAlignment="0" applyProtection="0">
      <alignment vertical="center"/>
    </xf>
    <xf numFmtId="0" fontId="229" fillId="0" borderId="54" applyNumberFormat="0" applyFill="0" applyAlignment="0" applyProtection="0">
      <alignment vertical="center"/>
    </xf>
    <xf numFmtId="0" fontId="229" fillId="0" borderId="54" applyNumberFormat="0" applyFill="0" applyAlignment="0" applyProtection="0">
      <alignment vertical="center"/>
    </xf>
    <xf numFmtId="0" fontId="229" fillId="0" borderId="54" applyNumberFormat="0" applyFill="0" applyAlignment="0" applyProtection="0">
      <alignment vertical="center"/>
    </xf>
    <xf numFmtId="0" fontId="229" fillId="0" borderId="54" applyNumberFormat="0" applyFill="0" applyAlignment="0" applyProtection="0">
      <alignment vertical="center"/>
    </xf>
    <xf numFmtId="0" fontId="229" fillId="0" borderId="54" applyNumberFormat="0" applyFill="0" applyAlignment="0" applyProtection="0">
      <alignment vertical="center"/>
    </xf>
    <xf numFmtId="0" fontId="230" fillId="0" borderId="55" applyNumberFormat="0" applyFill="0" applyAlignment="0" applyProtection="0">
      <alignment vertical="center"/>
    </xf>
    <xf numFmtId="0" fontId="230" fillId="0" borderId="55" applyNumberFormat="0" applyFill="0" applyAlignment="0" applyProtection="0">
      <alignment vertical="center"/>
    </xf>
    <xf numFmtId="0" fontId="230" fillId="0" borderId="55" applyNumberFormat="0" applyFill="0" applyAlignment="0" applyProtection="0">
      <alignment vertical="center"/>
    </xf>
    <xf numFmtId="0" fontId="230" fillId="0" borderId="55" applyNumberFormat="0" applyFill="0" applyAlignment="0" applyProtection="0">
      <alignment vertical="center"/>
    </xf>
    <xf numFmtId="0" fontId="230" fillId="0" borderId="55" applyNumberFormat="0" applyFill="0" applyAlignment="0" applyProtection="0">
      <alignment vertical="center"/>
    </xf>
    <xf numFmtId="0" fontId="230" fillId="0" borderId="55" applyNumberFormat="0" applyFill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36" fillId="0" borderId="0"/>
    <xf numFmtId="0" fontId="5" fillId="0" borderId="0"/>
    <xf numFmtId="0" fontId="5" fillId="0" borderId="0"/>
    <xf numFmtId="0" fontId="36" fillId="0" borderId="0"/>
    <xf numFmtId="0" fontId="232" fillId="123" borderId="38" applyNumberFormat="0" applyAlignment="0" applyProtection="0">
      <alignment vertical="center"/>
    </xf>
    <xf numFmtId="0" fontId="232" fillId="123" borderId="38" applyNumberFormat="0" applyAlignment="0" applyProtection="0">
      <alignment vertical="center"/>
    </xf>
    <xf numFmtId="0" fontId="232" fillId="123" borderId="38" applyNumberFormat="0" applyAlignment="0" applyProtection="0">
      <alignment vertical="center"/>
    </xf>
    <xf numFmtId="0" fontId="232" fillId="123" borderId="38" applyNumberFormat="0" applyAlignment="0" applyProtection="0">
      <alignment vertical="center"/>
    </xf>
    <xf numFmtId="0" fontId="233" fillId="123" borderId="38" applyNumberFormat="0" applyAlignment="0" applyProtection="0">
      <alignment vertical="center"/>
    </xf>
    <xf numFmtId="0" fontId="233" fillId="123" borderId="38" applyNumberFormat="0" applyAlignment="0" applyProtection="0">
      <alignment vertical="center"/>
    </xf>
    <xf numFmtId="0" fontId="234" fillId="0" borderId="79" applyNumberFormat="0" applyFill="0" applyAlignment="0" applyProtection="0">
      <alignment vertical="center"/>
    </xf>
    <xf numFmtId="0" fontId="234" fillId="0" borderId="79" applyNumberFormat="0" applyFill="0" applyAlignment="0" applyProtection="0">
      <alignment vertical="center"/>
    </xf>
    <xf numFmtId="0" fontId="234" fillId="0" borderId="79" applyNumberFormat="0" applyFill="0" applyAlignment="0" applyProtection="0">
      <alignment vertical="center"/>
    </xf>
    <xf numFmtId="0" fontId="234" fillId="0" borderId="79" applyNumberFormat="0" applyFill="0" applyAlignment="0" applyProtection="0">
      <alignment vertical="center"/>
    </xf>
    <xf numFmtId="0" fontId="234" fillId="0" borderId="79" applyNumberFormat="0" applyFill="0" applyAlignment="0" applyProtection="0">
      <alignment vertical="center"/>
    </xf>
    <xf numFmtId="0" fontId="234" fillId="0" borderId="79" applyNumberFormat="0" applyFill="0" applyAlignment="0" applyProtection="0">
      <alignment vertical="center"/>
    </xf>
    <xf numFmtId="0" fontId="5" fillId="81" borderId="62" applyNumberFormat="0" applyFont="0" applyAlignment="0" applyProtection="0">
      <alignment vertical="center"/>
    </xf>
    <xf numFmtId="335" fontId="221" fillId="0" borderId="0" applyFont="0" applyFill="0" applyBorder="0" applyAlignment="0" applyProtection="0"/>
    <xf numFmtId="352" fontId="221" fillId="0" borderId="0" applyFont="0" applyFill="0" applyBorder="0" applyAlignment="0" applyProtection="0"/>
    <xf numFmtId="0" fontId="235" fillId="0" borderId="0" applyNumberFormat="0" applyFill="0" applyBorder="0" applyAlignment="0" applyProtection="0">
      <alignment vertical="center"/>
    </xf>
    <xf numFmtId="0" fontId="235" fillId="0" borderId="0" applyNumberFormat="0" applyFill="0" applyBorder="0" applyAlignment="0" applyProtection="0">
      <alignment vertical="center"/>
    </xf>
    <xf numFmtId="0" fontId="235" fillId="0" borderId="0" applyNumberFormat="0" applyFill="0" applyBorder="0" applyAlignment="0" applyProtection="0">
      <alignment vertical="center"/>
    </xf>
    <xf numFmtId="0" fontId="235" fillId="0" borderId="0" applyNumberFormat="0" applyFill="0" applyBorder="0" applyAlignment="0" applyProtection="0">
      <alignment vertical="center"/>
    </xf>
    <xf numFmtId="0" fontId="235" fillId="0" borderId="0" applyNumberFormat="0" applyFill="0" applyBorder="0" applyAlignment="0" applyProtection="0">
      <alignment vertical="center"/>
    </xf>
    <xf numFmtId="0" fontId="235" fillId="0" borderId="0" applyNumberFormat="0" applyFill="0" applyBorder="0" applyAlignment="0" applyProtection="0">
      <alignment vertical="center"/>
    </xf>
    <xf numFmtId="0" fontId="236" fillId="0" borderId="0" applyNumberFormat="0" applyFill="0" applyBorder="0" applyAlignment="0" applyProtection="0">
      <alignment vertical="center"/>
    </xf>
    <xf numFmtId="0" fontId="236" fillId="0" borderId="0" applyNumberFormat="0" applyFill="0" applyBorder="0" applyAlignment="0" applyProtection="0">
      <alignment vertical="center"/>
    </xf>
    <xf numFmtId="0" fontId="236" fillId="0" borderId="0" applyNumberFormat="0" applyFill="0" applyBorder="0" applyAlignment="0" applyProtection="0">
      <alignment vertical="center"/>
    </xf>
    <xf numFmtId="0" fontId="236" fillId="0" borderId="0" applyNumberFormat="0" applyFill="0" applyBorder="0" applyAlignment="0" applyProtection="0">
      <alignment vertical="center"/>
    </xf>
    <xf numFmtId="0" fontId="236" fillId="0" borderId="0" applyNumberFormat="0" applyFill="0" applyBorder="0" applyAlignment="0" applyProtection="0">
      <alignment vertical="center"/>
    </xf>
    <xf numFmtId="0" fontId="236" fillId="0" borderId="0" applyNumberFormat="0" applyFill="0" applyBorder="0" applyAlignment="0" applyProtection="0">
      <alignment vertical="center"/>
    </xf>
    <xf numFmtId="0" fontId="237" fillId="87" borderId="36" applyNumberFormat="0" applyAlignment="0" applyProtection="0">
      <alignment vertical="center"/>
    </xf>
    <xf numFmtId="0" fontId="237" fillId="87" borderId="36" applyNumberFormat="0" applyAlignment="0" applyProtection="0">
      <alignment vertical="center"/>
    </xf>
    <xf numFmtId="0" fontId="237" fillId="87" borderId="36" applyNumberFormat="0" applyAlignment="0" applyProtection="0">
      <alignment vertical="center"/>
    </xf>
    <xf numFmtId="0" fontId="237" fillId="87" borderId="36" applyNumberFormat="0" applyAlignment="0" applyProtection="0">
      <alignment vertical="center"/>
    </xf>
    <xf numFmtId="0" fontId="237" fillId="87" borderId="36" applyNumberFormat="0" applyAlignment="0" applyProtection="0">
      <alignment vertical="center"/>
    </xf>
    <xf numFmtId="0" fontId="237" fillId="87" borderId="36" applyNumberFormat="0" applyAlignment="0" applyProtection="0">
      <alignment vertical="center"/>
    </xf>
    <xf numFmtId="0" fontId="238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39" fillId="78" borderId="36" applyNumberFormat="0" applyAlignment="0" applyProtection="0">
      <alignment vertical="center"/>
    </xf>
    <xf numFmtId="0" fontId="239" fillId="78" borderId="36" applyNumberFormat="0" applyAlignment="0" applyProtection="0">
      <alignment vertical="center"/>
    </xf>
    <xf numFmtId="0" fontId="239" fillId="78" borderId="36" applyNumberFormat="0" applyAlignment="0" applyProtection="0">
      <alignment vertical="center"/>
    </xf>
    <xf numFmtId="0" fontId="239" fillId="78" borderId="36" applyNumberFormat="0" applyAlignment="0" applyProtection="0">
      <alignment vertical="center"/>
    </xf>
    <xf numFmtId="0" fontId="239" fillId="78" borderId="36" applyNumberFormat="0" applyAlignment="0" applyProtection="0">
      <alignment vertical="center"/>
    </xf>
    <xf numFmtId="0" fontId="239" fillId="78" borderId="36" applyNumberFormat="0" applyAlignment="0" applyProtection="0">
      <alignment vertical="center"/>
    </xf>
    <xf numFmtId="0" fontId="240" fillId="87" borderId="63" applyNumberFormat="0" applyAlignment="0" applyProtection="0">
      <alignment vertical="center"/>
    </xf>
    <xf numFmtId="0" fontId="240" fillId="87" borderId="63" applyNumberFormat="0" applyAlignment="0" applyProtection="0">
      <alignment vertical="center"/>
    </xf>
    <xf numFmtId="0" fontId="240" fillId="87" borderId="63" applyNumberFormat="0" applyAlignment="0" applyProtection="0">
      <alignment vertical="center"/>
    </xf>
    <xf numFmtId="0" fontId="240" fillId="87" borderId="63" applyNumberFormat="0" applyAlignment="0" applyProtection="0">
      <alignment vertical="center"/>
    </xf>
    <xf numFmtId="0" fontId="240" fillId="87" borderId="63" applyNumberFormat="0" applyAlignment="0" applyProtection="0">
      <alignment vertical="center"/>
    </xf>
    <xf numFmtId="0" fontId="240" fillId="87" borderId="63" applyNumberFormat="0" applyAlignment="0" applyProtection="0">
      <alignment vertical="center"/>
    </xf>
    <xf numFmtId="0" fontId="241" fillId="71" borderId="0" applyNumberFormat="0" applyBorder="0" applyAlignment="0" applyProtection="0">
      <alignment vertical="center"/>
    </xf>
    <xf numFmtId="0" fontId="241" fillId="71" borderId="0" applyNumberFormat="0" applyBorder="0" applyAlignment="0" applyProtection="0">
      <alignment vertical="center"/>
    </xf>
    <xf numFmtId="0" fontId="241" fillId="71" borderId="0" applyNumberFormat="0" applyBorder="0" applyAlignment="0" applyProtection="0">
      <alignment vertical="center"/>
    </xf>
    <xf numFmtId="0" fontId="241" fillId="71" borderId="0" applyNumberFormat="0" applyBorder="0" applyAlignment="0" applyProtection="0">
      <alignment vertical="center"/>
    </xf>
    <xf numFmtId="0" fontId="241" fillId="71" borderId="0" applyNumberFormat="0" applyBorder="0" applyAlignment="0" applyProtection="0">
      <alignment vertical="center"/>
    </xf>
    <xf numFmtId="0" fontId="241" fillId="71" borderId="0" applyNumberFormat="0" applyBorder="0" applyAlignment="0" applyProtection="0">
      <alignment vertical="center"/>
    </xf>
    <xf numFmtId="0" fontId="242" fillId="0" borderId="0"/>
    <xf numFmtId="0" fontId="243" fillId="0" borderId="59" applyNumberFormat="0" applyFill="0" applyAlignment="0" applyProtection="0">
      <alignment vertical="center"/>
    </xf>
    <xf numFmtId="0" fontId="243" fillId="0" borderId="59" applyNumberFormat="0" applyFill="0" applyAlignment="0" applyProtection="0">
      <alignment vertical="center"/>
    </xf>
    <xf numFmtId="0" fontId="243" fillId="0" borderId="59" applyNumberFormat="0" applyFill="0" applyAlignment="0" applyProtection="0">
      <alignment vertical="center"/>
    </xf>
    <xf numFmtId="0" fontId="243" fillId="0" borderId="59" applyNumberFormat="0" applyFill="0" applyAlignment="0" applyProtection="0">
      <alignment vertical="center"/>
    </xf>
    <xf numFmtId="0" fontId="243" fillId="0" borderId="59" applyNumberFormat="0" applyFill="0" applyAlignment="0" applyProtection="0">
      <alignment vertical="center"/>
    </xf>
    <xf numFmtId="0" fontId="243" fillId="0" borderId="59" applyNumberFormat="0" applyFill="0" applyAlignment="0" applyProtection="0">
      <alignment vertical="center"/>
    </xf>
    <xf numFmtId="353" fontId="221" fillId="0" borderId="0" applyFont="0" applyFill="0" applyBorder="0" applyAlignment="0" applyProtection="0"/>
    <xf numFmtId="354" fontId="221" fillId="0" borderId="0" applyFont="0" applyFill="0" applyBorder="0" applyAlignment="0" applyProtection="0"/>
  </cellStyleXfs>
  <cellXfs count="655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8" fillId="0" borderId="0" xfId="0" applyFont="1" applyFill="1"/>
    <xf numFmtId="172" fontId="4" fillId="2" borderId="0" xfId="0" applyNumberFormat="1" applyFont="1" applyFill="1" applyBorder="1" applyAlignment="1">
      <alignment horizontal="center"/>
    </xf>
    <xf numFmtId="172" fontId="4" fillId="3" borderId="0" xfId="0" applyNumberFormat="1" applyFont="1" applyFill="1" applyBorder="1" applyAlignment="1">
      <alignment horizontal="center"/>
    </xf>
    <xf numFmtId="172" fontId="4" fillId="3" borderId="3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7" fillId="3" borderId="1" xfId="0" applyFont="1" applyFill="1" applyBorder="1"/>
    <xf numFmtId="173" fontId="7" fillId="3" borderId="1" xfId="1" applyNumberFormat="1" applyFont="1" applyFill="1" applyBorder="1"/>
    <xf numFmtId="0" fontId="7" fillId="3" borderId="2" xfId="0" applyFont="1" applyFill="1" applyBorder="1"/>
    <xf numFmtId="173" fontId="7" fillId="3" borderId="2" xfId="1" applyNumberFormat="1" applyFont="1" applyFill="1" applyBorder="1"/>
    <xf numFmtId="0" fontId="2" fillId="2" borderId="2" xfId="0" applyFont="1" applyFill="1" applyBorder="1" applyAlignment="1">
      <alignment horizontal="left"/>
    </xf>
    <xf numFmtId="0" fontId="10" fillId="4" borderId="0" xfId="0" applyFont="1" applyFill="1"/>
    <xf numFmtId="0" fontId="10" fillId="0" borderId="0" xfId="0" applyFont="1"/>
    <xf numFmtId="0" fontId="11" fillId="4" borderId="0" xfId="0" applyFont="1" applyFill="1"/>
    <xf numFmtId="0" fontId="12" fillId="0" borderId="0" xfId="0" applyFont="1"/>
    <xf numFmtId="0" fontId="4" fillId="3" borderId="4" xfId="0" applyFont="1" applyFill="1" applyBorder="1" applyAlignment="1">
      <alignment horizontal="left" vertical="top"/>
    </xf>
    <xf numFmtId="172" fontId="4" fillId="3" borderId="4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5" fillId="4" borderId="0" xfId="0" applyFont="1" applyFill="1"/>
    <xf numFmtId="0" fontId="16" fillId="4" borderId="0" xfId="0" applyFont="1" applyFill="1"/>
    <xf numFmtId="0" fontId="0" fillId="0" borderId="0" xfId="0" applyBorder="1"/>
    <xf numFmtId="173" fontId="13" fillId="2" borderId="2" xfId="1" applyNumberFormat="1" applyFont="1" applyFill="1" applyBorder="1"/>
    <xf numFmtId="0" fontId="7" fillId="5" borderId="3" xfId="0" applyFont="1" applyFill="1" applyBorder="1"/>
    <xf numFmtId="173" fontId="7" fillId="5" borderId="3" xfId="1" applyNumberFormat="1" applyFont="1" applyFill="1" applyBorder="1"/>
    <xf numFmtId="0" fontId="7" fillId="5" borderId="1" xfId="0" applyFont="1" applyFill="1" applyBorder="1"/>
    <xf numFmtId="173" fontId="7" fillId="5" borderId="1" xfId="1" applyNumberFormat="1" applyFont="1" applyFill="1" applyBorder="1"/>
    <xf numFmtId="0" fontId="2" fillId="2" borderId="0" xfId="0" applyFont="1" applyFill="1" applyBorder="1"/>
    <xf numFmtId="9" fontId="2" fillId="6" borderId="0" xfId="0" applyNumberFormat="1" applyFont="1" applyFill="1" applyBorder="1"/>
    <xf numFmtId="0" fontId="2" fillId="6" borderId="0" xfId="0" applyFont="1" applyFill="1" applyBorder="1"/>
    <xf numFmtId="0" fontId="6" fillId="6" borderId="0" xfId="0" applyFont="1" applyFill="1" applyBorder="1"/>
    <xf numFmtId="9" fontId="2" fillId="6" borderId="0" xfId="0" applyNumberFormat="1" applyFont="1" applyFill="1" applyBorder="1" applyAlignment="1">
      <alignment horizontal="left" indent="1"/>
    </xf>
    <xf numFmtId="0" fontId="2" fillId="6" borderId="0" xfId="0" applyFont="1" applyFill="1" applyBorder="1" applyAlignment="1">
      <alignment horizontal="left" indent="1"/>
    </xf>
    <xf numFmtId="173" fontId="4" fillId="2" borderId="0" xfId="1" applyNumberFormat="1" applyFont="1" applyFill="1" applyBorder="1"/>
    <xf numFmtId="173" fontId="2" fillId="2" borderId="0" xfId="1" applyNumberFormat="1" applyFont="1" applyFill="1" applyBorder="1"/>
    <xf numFmtId="0" fontId="7" fillId="2" borderId="1" xfId="0" applyFont="1" applyFill="1" applyBorder="1"/>
    <xf numFmtId="0" fontId="6" fillId="2" borderId="0" xfId="0" applyFont="1" applyFill="1" applyBorder="1"/>
    <xf numFmtId="0" fontId="2" fillId="2" borderId="0" xfId="0" applyFont="1" applyFill="1" applyBorder="1" applyAlignment="1">
      <alignment horizontal="left" indent="1"/>
    </xf>
    <xf numFmtId="0" fontId="7" fillId="2" borderId="2" xfId="0" applyFont="1" applyFill="1" applyBorder="1"/>
    <xf numFmtId="0" fontId="7" fillId="2" borderId="3" xfId="0" applyFont="1" applyFill="1" applyBorder="1"/>
    <xf numFmtId="0" fontId="2" fillId="2" borderId="5" xfId="0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3" borderId="4" xfId="0" applyFont="1" applyFill="1" applyBorder="1" applyAlignment="1">
      <alignment horizontal="center" vertical="top"/>
    </xf>
    <xf numFmtId="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8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14" fillId="2" borderId="0" xfId="0" applyFont="1" applyFill="1"/>
    <xf numFmtId="0" fontId="2" fillId="2" borderId="0" xfId="0" applyFon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71" fontId="4" fillId="2" borderId="0" xfId="1" applyFont="1" applyFill="1" applyBorder="1"/>
    <xf numFmtId="171" fontId="2" fillId="2" borderId="0" xfId="1" applyFont="1" applyFill="1" applyBorder="1"/>
    <xf numFmtId="171" fontId="7" fillId="3" borderId="1" xfId="1" applyFont="1" applyFill="1" applyBorder="1"/>
    <xf numFmtId="172" fontId="4" fillId="3" borderId="8" xfId="0" applyNumberFormat="1" applyFont="1" applyFill="1" applyBorder="1" applyAlignment="1">
      <alignment horizontal="center"/>
    </xf>
    <xf numFmtId="173" fontId="2" fillId="3" borderId="7" xfId="1" applyNumberFormat="1" applyFont="1" applyFill="1" applyBorder="1" applyAlignment="1">
      <alignment horizontal="left" indent="1"/>
    </xf>
    <xf numFmtId="172" fontId="4" fillId="3" borderId="9" xfId="0" applyNumberFormat="1" applyFont="1" applyFill="1" applyBorder="1" applyAlignment="1">
      <alignment horizontal="center"/>
    </xf>
    <xf numFmtId="0" fontId="7" fillId="2" borderId="10" xfId="0" applyFont="1" applyFill="1" applyBorder="1"/>
    <xf numFmtId="0" fontId="7" fillId="2" borderId="10" xfId="0" applyFont="1" applyFill="1" applyBorder="1" applyAlignment="1">
      <alignment horizontal="center"/>
    </xf>
    <xf numFmtId="0" fontId="7" fillId="5" borderId="10" xfId="0" applyFont="1" applyFill="1" applyBorder="1"/>
    <xf numFmtId="173" fontId="7" fillId="5" borderId="10" xfId="1" applyNumberFormat="1" applyFont="1" applyFill="1" applyBorder="1"/>
    <xf numFmtId="0" fontId="4" fillId="3" borderId="0" xfId="0" applyFont="1" applyFill="1" applyBorder="1" applyAlignment="1">
      <alignment horizontal="left" vertical="top"/>
    </xf>
    <xf numFmtId="171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0" fillId="0" borderId="0" xfId="0" applyNumberFormat="1" applyFont="1"/>
    <xf numFmtId="1" fontId="2" fillId="2" borderId="0" xfId="0" applyNumberFormat="1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center"/>
    </xf>
    <xf numFmtId="10" fontId="2" fillId="2" borderId="0" xfId="0" applyNumberFormat="1" applyFont="1" applyFill="1" applyBorder="1" applyAlignment="1">
      <alignment horizontal="center"/>
    </xf>
    <xf numFmtId="1" fontId="13" fillId="7" borderId="2" xfId="1" applyNumberFormat="1" applyFont="1" applyFill="1" applyBorder="1"/>
    <xf numFmtId="171" fontId="13" fillId="7" borderId="0" xfId="1" applyFont="1" applyFill="1" applyBorder="1"/>
    <xf numFmtId="1" fontId="13" fillId="7" borderId="0" xfId="1" applyNumberFormat="1" applyFont="1" applyFill="1" applyBorder="1"/>
    <xf numFmtId="9" fontId="13" fillId="7" borderId="0" xfId="2" applyFont="1" applyFill="1" applyBorder="1"/>
    <xf numFmtId="171" fontId="13" fillId="7" borderId="5" xfId="1" applyFont="1" applyFill="1" applyBorder="1"/>
    <xf numFmtId="0" fontId="2" fillId="6" borderId="5" xfId="0" applyFont="1" applyFill="1" applyBorder="1" applyAlignment="1">
      <alignment horizontal="left" indent="1"/>
    </xf>
    <xf numFmtId="0" fontId="18" fillId="2" borderId="5" xfId="0" applyFont="1" applyFill="1" applyBorder="1"/>
    <xf numFmtId="0" fontId="2" fillId="2" borderId="5" xfId="0" applyFont="1" applyFill="1" applyBorder="1"/>
    <xf numFmtId="0" fontId="0" fillId="2" borderId="5" xfId="0" applyFill="1" applyBorder="1"/>
    <xf numFmtId="0" fontId="4" fillId="2" borderId="0" xfId="0" applyFont="1" applyFill="1" applyBorder="1" applyAlignment="1">
      <alignment horizontal="left" vertical="top"/>
    </xf>
    <xf numFmtId="49" fontId="4" fillId="2" borderId="0" xfId="0" applyNumberFormat="1" applyFont="1" applyFill="1" applyBorder="1" applyAlignment="1">
      <alignment horizontal="center"/>
    </xf>
    <xf numFmtId="9" fontId="4" fillId="2" borderId="0" xfId="2" applyFont="1" applyFill="1" applyBorder="1" applyAlignment="1">
      <alignment horizontal="center"/>
    </xf>
    <xf numFmtId="173" fontId="4" fillId="2" borderId="0" xfId="1" applyNumberFormat="1" applyFont="1" applyFill="1" applyBorder="1" applyAlignment="1">
      <alignment horizontal="center"/>
    </xf>
    <xf numFmtId="10" fontId="4" fillId="2" borderId="0" xfId="2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/>
    <xf numFmtId="0" fontId="14" fillId="2" borderId="5" xfId="0" applyFont="1" applyFill="1" applyBorder="1"/>
    <xf numFmtId="2" fontId="2" fillId="2" borderId="0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173" fontId="7" fillId="2" borderId="0" xfId="1" applyNumberFormat="1" applyFont="1" applyFill="1" applyBorder="1"/>
    <xf numFmtId="9" fontId="2" fillId="2" borderId="0" xfId="2" applyFont="1" applyFill="1" applyBorder="1" applyAlignment="1">
      <alignment horizontal="center"/>
    </xf>
    <xf numFmtId="0" fontId="12" fillId="2" borderId="0" xfId="0" applyFont="1" applyFill="1"/>
    <xf numFmtId="0" fontId="4" fillId="2" borderId="3" xfId="0" applyFont="1" applyFill="1" applyBorder="1" applyAlignment="1">
      <alignment horizontal="left" vertical="top"/>
    </xf>
    <xf numFmtId="9" fontId="2" fillId="6" borderId="3" xfId="0" applyNumberFormat="1" applyFont="1" applyFill="1" applyBorder="1"/>
    <xf numFmtId="0" fontId="17" fillId="2" borderId="5" xfId="0" applyFont="1" applyFill="1" applyBorder="1"/>
    <xf numFmtId="9" fontId="2" fillId="2" borderId="0" xfId="2" applyFont="1" applyFill="1"/>
    <xf numFmtId="9" fontId="2" fillId="2" borderId="0" xfId="0" applyNumberFormat="1" applyFont="1" applyFill="1"/>
    <xf numFmtId="171" fontId="2" fillId="2" borderId="0" xfId="1" applyFont="1" applyFill="1"/>
    <xf numFmtId="174" fontId="4" fillId="2" borderId="3" xfId="1" applyNumberFormat="1" applyFont="1" applyFill="1" applyBorder="1" applyAlignment="1">
      <alignment horizontal="center"/>
    </xf>
    <xf numFmtId="1" fontId="2" fillId="2" borderId="0" xfId="0" applyNumberFormat="1" applyFont="1" applyFill="1"/>
    <xf numFmtId="171" fontId="2" fillId="2" borderId="0" xfId="0" applyNumberFormat="1" applyFont="1" applyFill="1"/>
    <xf numFmtId="173" fontId="2" fillId="2" borderId="0" xfId="1" applyNumberFormat="1" applyFont="1" applyFill="1"/>
    <xf numFmtId="9" fontId="2" fillId="3" borderId="6" xfId="2" applyFont="1" applyFill="1" applyBorder="1"/>
    <xf numFmtId="173" fontId="2" fillId="3" borderId="1" xfId="1" applyNumberFormat="1" applyFont="1" applyFill="1" applyBorder="1"/>
    <xf numFmtId="0" fontId="17" fillId="2" borderId="0" xfId="0" applyFont="1" applyFill="1" applyBorder="1"/>
    <xf numFmtId="171" fontId="2" fillId="2" borderId="0" xfId="1" applyNumberFormat="1" applyFont="1" applyFill="1"/>
    <xf numFmtId="171" fontId="7" fillId="5" borderId="10" xfId="1" applyFont="1" applyFill="1" applyBorder="1"/>
    <xf numFmtId="0" fontId="2" fillId="4" borderId="0" xfId="0" applyFont="1" applyFill="1"/>
    <xf numFmtId="0" fontId="3" fillId="4" borderId="0" xfId="0" applyFont="1" applyFill="1"/>
    <xf numFmtId="10" fontId="4" fillId="2" borderId="2" xfId="2" applyNumberFormat="1" applyFont="1" applyFill="1" applyBorder="1" applyAlignment="1">
      <alignment horizontal="right"/>
    </xf>
    <xf numFmtId="173" fontId="7" fillId="3" borderId="10" xfId="1" applyNumberFormat="1" applyFont="1" applyFill="1" applyBorder="1"/>
    <xf numFmtId="10" fontId="4" fillId="2" borderId="0" xfId="2" applyNumberFormat="1" applyFont="1" applyFill="1" applyBorder="1" applyAlignment="1">
      <alignment horizontal="right"/>
    </xf>
    <xf numFmtId="10" fontId="7" fillId="2" borderId="10" xfId="0" applyNumberFormat="1" applyFont="1" applyFill="1" applyBorder="1" applyAlignment="1">
      <alignment horizontal="center"/>
    </xf>
    <xf numFmtId="0" fontId="19" fillId="2" borderId="0" xfId="0" applyFont="1" applyFill="1" applyBorder="1"/>
    <xf numFmtId="10" fontId="2" fillId="2" borderId="0" xfId="0" applyNumberFormat="1" applyFont="1" applyFill="1" applyBorder="1"/>
    <xf numFmtId="10" fontId="2" fillId="2" borderId="2" xfId="0" applyNumberFormat="1" applyFont="1" applyFill="1" applyBorder="1"/>
    <xf numFmtId="1" fontId="4" fillId="3" borderId="3" xfId="0" applyNumberFormat="1" applyFont="1" applyFill="1" applyBorder="1" applyAlignment="1">
      <alignment horizontal="left" vertical="top"/>
    </xf>
    <xf numFmtId="1" fontId="4" fillId="3" borderId="3" xfId="0" applyNumberFormat="1" applyFont="1" applyFill="1" applyBorder="1" applyAlignment="1">
      <alignment horizontal="center"/>
    </xf>
    <xf numFmtId="1" fontId="12" fillId="0" borderId="0" xfId="0" applyNumberFormat="1" applyFont="1"/>
    <xf numFmtId="0" fontId="20" fillId="2" borderId="5" xfId="0" applyFont="1" applyFill="1" applyBorder="1"/>
    <xf numFmtId="0" fontId="4" fillId="3" borderId="4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17" fillId="2" borderId="0" xfId="0" applyFont="1" applyFill="1"/>
    <xf numFmtId="173" fontId="7" fillId="5" borderId="10" xfId="0" applyNumberFormat="1" applyFont="1" applyFill="1" applyBorder="1"/>
    <xf numFmtId="173" fontId="2" fillId="2" borderId="0" xfId="0" applyNumberFormat="1" applyFont="1" applyFill="1"/>
    <xf numFmtId="175" fontId="2" fillId="2" borderId="0" xfId="0" applyNumberFormat="1" applyFont="1" applyFill="1"/>
    <xf numFmtId="172" fontId="4" fillId="2" borderId="2" xfId="0" applyNumberFormat="1" applyFont="1" applyFill="1" applyBorder="1" applyAlignment="1">
      <alignment horizontal="center"/>
    </xf>
    <xf numFmtId="172" fontId="4" fillId="2" borderId="3" xfId="0" applyNumberFormat="1" applyFont="1" applyFill="1" applyBorder="1" applyAlignment="1">
      <alignment horizontal="center"/>
    </xf>
    <xf numFmtId="9" fontId="7" fillId="2" borderId="1" xfId="0" applyNumberFormat="1" applyFont="1" applyFill="1" applyBorder="1" applyAlignment="1">
      <alignment horizontal="center"/>
    </xf>
    <xf numFmtId="0" fontId="20" fillId="2" borderId="0" xfId="0" applyFont="1" applyFill="1" applyBorder="1"/>
    <xf numFmtId="0" fontId="6" fillId="2" borderId="1" xfId="0" applyFont="1" applyFill="1" applyBorder="1"/>
    <xf numFmtId="173" fontId="12" fillId="2" borderId="0" xfId="0" applyNumberFormat="1" applyFont="1" applyFill="1"/>
    <xf numFmtId="9" fontId="7" fillId="3" borderId="1" xfId="2" applyFont="1" applyFill="1" applyBorder="1"/>
    <xf numFmtId="0" fontId="12" fillId="2" borderId="5" xfId="0" applyFont="1" applyFill="1" applyBorder="1"/>
    <xf numFmtId="173" fontId="2" fillId="2" borderId="5" xfId="0" applyNumberFormat="1" applyFont="1" applyFill="1" applyBorder="1"/>
    <xf numFmtId="0" fontId="12" fillId="0" borderId="0" xfId="4" applyFont="1"/>
    <xf numFmtId="0" fontId="12" fillId="0" borderId="0" xfId="4" applyFont="1" applyAlignment="1">
      <alignment horizontal="center" vertical="center"/>
    </xf>
    <xf numFmtId="172" fontId="12" fillId="0" borderId="0" xfId="4" applyNumberFormat="1" applyFont="1"/>
    <xf numFmtId="0" fontId="16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2" fillId="2" borderId="0" xfId="4" applyFont="1" applyFill="1"/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/>
    <xf numFmtId="0" fontId="4" fillId="2" borderId="0" xfId="0" applyFont="1" applyFill="1"/>
    <xf numFmtId="0" fontId="214" fillId="2" borderId="0" xfId="0" applyFont="1" applyFill="1"/>
    <xf numFmtId="0" fontId="2" fillId="2" borderId="0" xfId="4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4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346" fontId="4" fillId="2" borderId="0" xfId="0" applyNumberFormat="1" applyFont="1" applyFill="1"/>
    <xf numFmtId="346" fontId="4" fillId="2" borderId="0" xfId="0" applyNumberFormat="1" applyFont="1" applyFill="1" applyAlignment="1">
      <alignment horizontal="center"/>
    </xf>
    <xf numFmtId="10" fontId="4" fillId="2" borderId="0" xfId="2" applyNumberFormat="1" applyFont="1" applyFill="1" applyAlignment="1">
      <alignment horizontal="center"/>
    </xf>
    <xf numFmtId="10" fontId="2" fillId="2" borderId="0" xfId="2" applyNumberFormat="1" applyFont="1" applyFill="1"/>
    <xf numFmtId="0" fontId="2" fillId="2" borderId="0" xfId="0" applyFont="1" applyFill="1" applyAlignment="1">
      <alignment horizontal="left" indent="1"/>
    </xf>
    <xf numFmtId="165" fontId="2" fillId="2" borderId="0" xfId="0" applyNumberFormat="1" applyFont="1" applyFill="1"/>
    <xf numFmtId="172" fontId="2" fillId="0" borderId="0" xfId="0" applyNumberFormat="1" applyFont="1"/>
    <xf numFmtId="0" fontId="2" fillId="0" borderId="0" xfId="0" applyFont="1" applyFill="1"/>
    <xf numFmtId="49" fontId="4" fillId="3" borderId="0" xfId="0" applyNumberFormat="1" applyFont="1" applyFill="1" applyBorder="1" applyAlignment="1">
      <alignment horizontal="center"/>
    </xf>
    <xf numFmtId="0" fontId="7" fillId="2" borderId="0" xfId="2787" applyFont="1" applyFill="1" applyBorder="1"/>
    <xf numFmtId="0" fontId="4" fillId="2" borderId="0" xfId="2787" applyFont="1" applyFill="1" applyBorder="1"/>
    <xf numFmtId="0" fontId="4" fillId="2" borderId="0" xfId="0" applyFont="1" applyFill="1" applyBorder="1"/>
    <xf numFmtId="171" fontId="4" fillId="2" borderId="0" xfId="2787" applyNumberFormat="1" applyFont="1" applyFill="1" applyBorder="1"/>
    <xf numFmtId="173" fontId="4" fillId="2" borderId="0" xfId="2787" applyNumberFormat="1" applyFont="1" applyFill="1" applyBorder="1"/>
    <xf numFmtId="171" fontId="4" fillId="2" borderId="0" xfId="2250" applyFont="1" applyFill="1" applyBorder="1"/>
    <xf numFmtId="173" fontId="4" fillId="2" borderId="0" xfId="2250" applyNumberFormat="1" applyFont="1" applyFill="1" applyBorder="1"/>
    <xf numFmtId="10" fontId="4" fillId="2" borderId="0" xfId="2" applyNumberFormat="1" applyFont="1" applyFill="1" applyBorder="1"/>
    <xf numFmtId="347" fontId="4" fillId="2" borderId="0" xfId="2" applyNumberFormat="1" applyFont="1" applyFill="1" applyBorder="1"/>
    <xf numFmtId="173" fontId="7" fillId="2" borderId="0" xfId="2787" applyNumberFormat="1" applyFont="1" applyFill="1" applyBorder="1"/>
    <xf numFmtId="10" fontId="2" fillId="0" borderId="0" xfId="0" applyNumberFormat="1" applyFont="1"/>
    <xf numFmtId="9" fontId="4" fillId="2" borderId="0" xfId="0" applyNumberFormat="1" applyFont="1" applyFill="1" applyBorder="1" applyAlignment="1">
      <alignment horizontal="center"/>
    </xf>
    <xf numFmtId="0" fontId="2" fillId="2" borderId="83" xfId="0" applyFont="1" applyFill="1" applyBorder="1"/>
    <xf numFmtId="9" fontId="2" fillId="2" borderId="83" xfId="0" applyNumberFormat="1" applyFont="1" applyFill="1" applyBorder="1"/>
    <xf numFmtId="171" fontId="7" fillId="2" borderId="0" xfId="1" applyFont="1" applyFill="1" applyBorder="1"/>
    <xf numFmtId="171" fontId="2" fillId="2" borderId="5" xfId="0" applyNumberFormat="1" applyFont="1" applyFill="1" applyBorder="1"/>
    <xf numFmtId="9" fontId="2" fillId="2" borderId="83" xfId="2" applyFont="1" applyFill="1" applyBorder="1"/>
    <xf numFmtId="10" fontId="2" fillId="2" borderId="83" xfId="2" applyNumberFormat="1" applyFont="1" applyFill="1" applyBorder="1"/>
    <xf numFmtId="0" fontId="215" fillId="2" borderId="0" xfId="0" applyFont="1" applyFill="1" applyAlignment="1"/>
    <xf numFmtId="0" fontId="2" fillId="2" borderId="84" xfId="0" applyFont="1" applyFill="1" applyBorder="1"/>
    <xf numFmtId="0" fontId="215" fillId="2" borderId="0" xfId="0" applyFont="1" applyFill="1"/>
    <xf numFmtId="0" fontId="215" fillId="2" borderId="85" xfId="0" applyFont="1" applyFill="1" applyBorder="1"/>
    <xf numFmtId="0" fontId="2" fillId="2" borderId="85" xfId="0" applyFont="1" applyFill="1" applyBorder="1"/>
    <xf numFmtId="9" fontId="2" fillId="108" borderId="83" xfId="0" applyNumberFormat="1" applyFont="1" applyFill="1" applyBorder="1"/>
    <xf numFmtId="9" fontId="2" fillId="2" borderId="0" xfId="2" applyFont="1" applyFill="1" applyBorder="1"/>
    <xf numFmtId="9" fontId="2" fillId="2" borderId="85" xfId="2" applyFont="1" applyFill="1" applyBorder="1"/>
    <xf numFmtId="0" fontId="2" fillId="109" borderId="83" xfId="0" applyFont="1" applyFill="1" applyBorder="1"/>
    <xf numFmtId="346" fontId="2" fillId="2" borderId="83" xfId="0" applyNumberFormat="1" applyFont="1" applyFill="1" applyBorder="1"/>
    <xf numFmtId="2" fontId="2" fillId="2" borderId="83" xfId="0" applyNumberFormat="1" applyFont="1" applyFill="1" applyBorder="1"/>
    <xf numFmtId="0" fontId="215" fillId="2" borderId="0" xfId="0" applyFont="1" applyFill="1" applyBorder="1"/>
    <xf numFmtId="0" fontId="11" fillId="2" borderId="0" xfId="0" applyFont="1" applyFill="1" applyBorder="1"/>
    <xf numFmtId="10" fontId="2" fillId="2" borderId="83" xfId="0" applyNumberFormat="1" applyFont="1" applyFill="1" applyBorder="1"/>
    <xf numFmtId="171" fontId="2" fillId="2" borderId="83" xfId="1" applyFont="1" applyFill="1" applyBorder="1"/>
    <xf numFmtId="171" fontId="2" fillId="2" borderId="83" xfId="0" applyNumberFormat="1" applyFont="1" applyFill="1" applyBorder="1"/>
    <xf numFmtId="175" fontId="2" fillId="2" borderId="83" xfId="0" applyNumberFormat="1" applyFont="1" applyFill="1" applyBorder="1"/>
    <xf numFmtId="0" fontId="7" fillId="3" borderId="83" xfId="0" applyFont="1" applyFill="1" applyBorder="1"/>
    <xf numFmtId="0" fontId="4" fillId="3" borderId="83" xfId="0" applyFont="1" applyFill="1" applyBorder="1" applyAlignment="1">
      <alignment horizontal="center"/>
    </xf>
    <xf numFmtId="0" fontId="4" fillId="3" borderId="83" xfId="0" applyFont="1" applyFill="1" applyBorder="1"/>
    <xf numFmtId="172" fontId="2" fillId="0" borderId="83" xfId="4" applyNumberFormat="1" applyFont="1" applyFill="1" applyBorder="1" applyAlignment="1">
      <alignment horizontal="left" vertical="center" wrapText="1"/>
    </xf>
    <xf numFmtId="0" fontId="2" fillId="0" borderId="83" xfId="4" applyFont="1" applyFill="1" applyBorder="1" applyAlignment="1">
      <alignment horizontal="center" vertical="center" wrapText="1"/>
    </xf>
    <xf numFmtId="10" fontId="2" fillId="0" borderId="83" xfId="4" applyNumberFormat="1" applyFont="1" applyFill="1" applyBorder="1" applyAlignment="1">
      <alignment horizontal="center" vertical="center" wrapText="1"/>
    </xf>
    <xf numFmtId="0" fontId="2" fillId="0" borderId="83" xfId="4" applyFont="1" applyFill="1" applyBorder="1" applyAlignment="1">
      <alignment horizontal="center" vertical="center"/>
    </xf>
    <xf numFmtId="178" fontId="2" fillId="0" borderId="83" xfId="4" applyNumberFormat="1" applyFont="1" applyFill="1" applyBorder="1" applyAlignment="1">
      <alignment horizontal="center" vertical="center" wrapText="1"/>
    </xf>
    <xf numFmtId="178" fontId="2" fillId="0" borderId="83" xfId="4" applyNumberFormat="1" applyFont="1" applyFill="1" applyBorder="1" applyAlignment="1">
      <alignment horizontal="center" vertical="center"/>
    </xf>
    <xf numFmtId="172" fontId="2" fillId="0" borderId="83" xfId="4" applyNumberFormat="1" applyFont="1" applyFill="1" applyBorder="1"/>
    <xf numFmtId="177" fontId="2" fillId="0" borderId="83" xfId="4" applyNumberFormat="1" applyFont="1" applyFill="1" applyBorder="1" applyAlignment="1">
      <alignment horizontal="center" vertical="center"/>
    </xf>
    <xf numFmtId="1" fontId="2" fillId="0" borderId="83" xfId="4" applyNumberFormat="1" applyFont="1" applyFill="1" applyBorder="1" applyAlignment="1">
      <alignment horizontal="center" vertical="center"/>
    </xf>
    <xf numFmtId="179" fontId="2" fillId="0" borderId="83" xfId="4" applyNumberFormat="1" applyFont="1" applyFill="1" applyBorder="1" applyAlignment="1">
      <alignment horizontal="center" vertical="center"/>
    </xf>
    <xf numFmtId="178" fontId="2" fillId="0" borderId="83" xfId="4" applyNumberFormat="1" applyFont="1" applyFill="1" applyBorder="1" applyAlignment="1">
      <alignment horizontal="center"/>
    </xf>
    <xf numFmtId="9" fontId="2" fillId="0" borderId="83" xfId="2" applyFont="1" applyFill="1" applyBorder="1" applyAlignment="1">
      <alignment horizontal="center"/>
    </xf>
    <xf numFmtId="0" fontId="2" fillId="0" borderId="83" xfId="4" applyFont="1" applyFill="1" applyBorder="1"/>
    <xf numFmtId="176" fontId="2" fillId="0" borderId="83" xfId="4" applyNumberFormat="1" applyFont="1" applyFill="1" applyBorder="1" applyAlignment="1">
      <alignment horizontal="center" vertical="center"/>
    </xf>
    <xf numFmtId="10" fontId="2" fillId="0" borderId="83" xfId="2" applyNumberFormat="1" applyFont="1" applyFill="1" applyBorder="1" applyAlignment="1">
      <alignment horizontal="center" vertical="center"/>
    </xf>
    <xf numFmtId="9" fontId="2" fillId="0" borderId="83" xfId="2" applyFont="1" applyFill="1" applyBorder="1" applyAlignment="1">
      <alignment horizontal="center" vertical="center"/>
    </xf>
    <xf numFmtId="323" fontId="2" fillId="0" borderId="83" xfId="1" applyNumberFormat="1" applyFont="1" applyFill="1" applyBorder="1" applyAlignment="1">
      <alignment horizontal="center" vertical="center"/>
    </xf>
    <xf numFmtId="347" fontId="2" fillId="0" borderId="83" xfId="4" applyNumberFormat="1" applyFont="1" applyFill="1" applyBorder="1" applyAlignment="1">
      <alignment horizontal="center" vertical="center"/>
    </xf>
    <xf numFmtId="10" fontId="2" fillId="0" borderId="83" xfId="4" applyNumberFormat="1" applyFont="1" applyFill="1" applyBorder="1" applyAlignment="1">
      <alignment horizontal="center" vertical="center"/>
    </xf>
    <xf numFmtId="178" fontId="6" fillId="0" borderId="83" xfId="4" applyNumberFormat="1" applyFont="1" applyFill="1" applyBorder="1" applyAlignment="1">
      <alignment horizontal="center" vertical="center"/>
    </xf>
    <xf numFmtId="0" fontId="4" fillId="2" borderId="83" xfId="4" applyFont="1" applyFill="1" applyBorder="1"/>
    <xf numFmtId="10" fontId="4" fillId="2" borderId="83" xfId="0" applyNumberFormat="1" applyFont="1" applyFill="1" applyBorder="1"/>
    <xf numFmtId="0" fontId="4" fillId="2" borderId="83" xfId="0" applyFont="1" applyFill="1" applyBorder="1"/>
    <xf numFmtId="165" fontId="2" fillId="2" borderId="0" xfId="0" applyNumberFormat="1" applyFont="1" applyFill="1" applyBorder="1"/>
    <xf numFmtId="173" fontId="2" fillId="2" borderId="0" xfId="0" applyNumberFormat="1" applyFont="1" applyFill="1" applyBorder="1"/>
    <xf numFmtId="171" fontId="0" fillId="2" borderId="0" xfId="1" applyFont="1" applyFill="1" applyBorder="1"/>
    <xf numFmtId="0" fontId="217" fillId="2" borderId="0" xfId="0" applyFont="1" applyFill="1"/>
    <xf numFmtId="178" fontId="4" fillId="2" borderId="0" xfId="4" applyNumberFormat="1" applyFont="1" applyFill="1"/>
    <xf numFmtId="171" fontId="0" fillId="2" borderId="0" xfId="0" applyNumberFormat="1" applyFill="1" applyBorder="1"/>
    <xf numFmtId="9" fontId="2" fillId="2" borderId="5" xfId="0" applyNumberFormat="1" applyFont="1" applyFill="1" applyBorder="1"/>
    <xf numFmtId="171" fontId="2" fillId="2" borderId="5" xfId="1" applyFont="1" applyFill="1" applyBorder="1"/>
    <xf numFmtId="9" fontId="0" fillId="2" borderId="0" xfId="0" applyNumberFormat="1" applyFill="1" applyBorder="1"/>
    <xf numFmtId="10" fontId="7" fillId="2" borderId="1" xfId="0" applyNumberFormat="1" applyFont="1" applyFill="1" applyBorder="1" applyAlignment="1">
      <alignment horizontal="center"/>
    </xf>
    <xf numFmtId="171" fontId="7" fillId="5" borderId="1" xfId="1" applyFont="1" applyFill="1" applyBorder="1"/>
    <xf numFmtId="0" fontId="2" fillId="2" borderId="3" xfId="0" applyFont="1" applyFill="1" applyBorder="1"/>
    <xf numFmtId="0" fontId="2" fillId="0" borderId="3" xfId="0" applyFont="1" applyBorder="1"/>
    <xf numFmtId="171" fontId="12" fillId="0" borderId="0" xfId="1" applyFont="1"/>
    <xf numFmtId="171" fontId="0" fillId="0" borderId="0" xfId="0" applyNumberFormat="1"/>
    <xf numFmtId="0" fontId="2" fillId="2" borderId="83" xfId="0" applyFont="1" applyFill="1" applyBorder="1" applyAlignment="1">
      <alignment horizontal="center"/>
    </xf>
    <xf numFmtId="173" fontId="2" fillId="109" borderId="83" xfId="1" applyNumberFormat="1" applyFont="1" applyFill="1" applyBorder="1"/>
    <xf numFmtId="10" fontId="2" fillId="109" borderId="83" xfId="0" applyNumberFormat="1" applyFont="1" applyFill="1" applyBorder="1"/>
    <xf numFmtId="1" fontId="4" fillId="3" borderId="0" xfId="0" applyNumberFormat="1" applyFont="1" applyFill="1" applyBorder="1" applyAlignment="1">
      <alignment horizontal="center"/>
    </xf>
    <xf numFmtId="171" fontId="2" fillId="0" borderId="0" xfId="0" applyNumberFormat="1" applyFont="1"/>
    <xf numFmtId="0" fontId="2" fillId="2" borderId="86" xfId="0" applyFont="1" applyFill="1" applyBorder="1"/>
    <xf numFmtId="171" fontId="2" fillId="2" borderId="86" xfId="0" applyNumberFormat="1" applyFont="1" applyFill="1" applyBorder="1"/>
    <xf numFmtId="171" fontId="12" fillId="2" borderId="0" xfId="1" applyFont="1" applyFill="1"/>
    <xf numFmtId="173" fontId="2" fillId="2" borderId="86" xfId="0" applyNumberFormat="1" applyFont="1" applyFill="1" applyBorder="1"/>
    <xf numFmtId="43" fontId="2" fillId="2" borderId="0" xfId="0" applyNumberFormat="1" applyFont="1" applyFill="1"/>
    <xf numFmtId="10" fontId="4" fillId="2" borderId="83" xfId="0" applyNumberFormat="1" applyFont="1" applyFill="1" applyBorder="1" applyAlignment="1">
      <alignment horizontal="center"/>
    </xf>
    <xf numFmtId="171" fontId="0" fillId="0" borderId="0" xfId="1" applyFont="1"/>
    <xf numFmtId="171" fontId="0" fillId="2" borderId="0" xfId="0" applyNumberFormat="1" applyFill="1"/>
    <xf numFmtId="171" fontId="2" fillId="109" borderId="83" xfId="1" applyNumberFormat="1" applyFont="1" applyFill="1" applyBorder="1"/>
    <xf numFmtId="171" fontId="2" fillId="109" borderId="83" xfId="1" applyFont="1" applyFill="1" applyBorder="1"/>
    <xf numFmtId="9" fontId="0" fillId="2" borderId="0" xfId="1" applyNumberFormat="1" applyFont="1" applyFill="1" applyBorder="1"/>
    <xf numFmtId="1" fontId="12" fillId="2" borderId="0" xfId="0" applyNumberFormat="1" applyFont="1" applyFill="1"/>
    <xf numFmtId="171" fontId="7" fillId="3" borderId="10" xfId="1" applyFont="1" applyFill="1" applyBorder="1"/>
    <xf numFmtId="0" fontId="4" fillId="3" borderId="4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173" fontId="4" fillId="110" borderId="0" xfId="1" applyNumberFormat="1" applyFont="1" applyFill="1" applyBorder="1" applyAlignment="1">
      <alignment horizontal="center"/>
    </xf>
    <xf numFmtId="0" fontId="219" fillId="4" borderId="0" xfId="0" applyFont="1" applyFill="1" applyAlignment="1">
      <alignment horizontal="center"/>
    </xf>
    <xf numFmtId="0" fontId="219" fillId="4" borderId="0" xfId="0" applyFont="1" applyFill="1"/>
    <xf numFmtId="0" fontId="3" fillId="4" borderId="0" xfId="0" applyFont="1" applyFill="1" applyAlignment="1">
      <alignment horizontal="center"/>
    </xf>
    <xf numFmtId="0" fontId="214" fillId="4" borderId="0" xfId="0" applyFont="1" applyFill="1" applyAlignment="1">
      <alignment horizontal="center"/>
    </xf>
    <xf numFmtId="0" fontId="214" fillId="4" borderId="0" xfId="0" applyFont="1" applyFill="1"/>
    <xf numFmtId="0" fontId="19" fillId="2" borderId="5" xfId="0" applyFont="1" applyFill="1" applyBorder="1"/>
    <xf numFmtId="0" fontId="214" fillId="2" borderId="5" xfId="0" applyFont="1" applyFill="1" applyBorder="1" applyAlignment="1">
      <alignment horizontal="center"/>
    </xf>
    <xf numFmtId="0" fontId="214" fillId="2" borderId="5" xfId="0" applyFont="1" applyFill="1" applyBorder="1"/>
    <xf numFmtId="173" fontId="2" fillId="2" borderId="83" xfId="1" applyNumberFormat="1" applyFont="1" applyFill="1" applyBorder="1"/>
    <xf numFmtId="346" fontId="2" fillId="2" borderId="0" xfId="0" applyNumberFormat="1" applyFont="1" applyFill="1" applyBorder="1"/>
    <xf numFmtId="0" fontId="6" fillId="2" borderId="87" xfId="0" applyFont="1" applyFill="1" applyBorder="1"/>
    <xf numFmtId="0" fontId="2" fillId="2" borderId="88" xfId="0" applyFont="1" applyFill="1" applyBorder="1"/>
    <xf numFmtId="171" fontId="2" fillId="2" borderId="88" xfId="1" applyFont="1" applyFill="1" applyBorder="1"/>
    <xf numFmtId="323" fontId="2" fillId="2" borderId="83" xfId="1" applyNumberFormat="1" applyFont="1" applyFill="1" applyBorder="1"/>
    <xf numFmtId="0" fontId="6" fillId="2" borderId="0" xfId="0" applyFont="1" applyFill="1"/>
    <xf numFmtId="0" fontId="6" fillId="0" borderId="0" xfId="0" applyFont="1"/>
    <xf numFmtId="173" fontId="6" fillId="2" borderId="83" xfId="1" applyNumberFormat="1" applyFont="1" applyFill="1" applyBorder="1"/>
    <xf numFmtId="323" fontId="6" fillId="2" borderId="83" xfId="1" applyNumberFormat="1" applyFont="1" applyFill="1" applyBorder="1"/>
    <xf numFmtId="171" fontId="6" fillId="2" borderId="83" xfId="2" applyNumberFormat="1" applyFont="1" applyFill="1" applyBorder="1"/>
    <xf numFmtId="0" fontId="6" fillId="2" borderId="88" xfId="0" applyFont="1" applyFill="1" applyBorder="1"/>
    <xf numFmtId="172" fontId="4" fillId="0" borderId="83" xfId="0" applyNumberFormat="1" applyFont="1" applyFill="1" applyBorder="1" applyAlignment="1">
      <alignment horizontal="center"/>
    </xf>
    <xf numFmtId="171" fontId="2" fillId="2" borderId="83" xfId="1" applyNumberFormat="1" applyFont="1" applyFill="1" applyBorder="1"/>
    <xf numFmtId="0" fontId="2" fillId="109" borderId="90" xfId="0" applyFont="1" applyFill="1" applyBorder="1" applyAlignment="1"/>
    <xf numFmtId="172" fontId="2" fillId="2" borderId="0" xfId="0" applyNumberFormat="1" applyFont="1" applyFill="1"/>
    <xf numFmtId="0" fontId="6" fillId="2" borderId="88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71" fontId="6" fillId="2" borderId="0" xfId="1" applyFont="1" applyFill="1"/>
    <xf numFmtId="10" fontId="6" fillId="108" borderId="1" xfId="2" applyNumberFormat="1" applyFont="1" applyFill="1" applyBorder="1"/>
    <xf numFmtId="171" fontId="6" fillId="108" borderId="1" xfId="1" applyFont="1" applyFill="1" applyBorder="1"/>
    <xf numFmtId="10" fontId="2" fillId="108" borderId="1" xfId="2" applyNumberFormat="1" applyFont="1" applyFill="1" applyBorder="1"/>
    <xf numFmtId="0" fontId="2" fillId="108" borderId="1" xfId="0" applyFont="1" applyFill="1" applyBorder="1"/>
    <xf numFmtId="0" fontId="2" fillId="108" borderId="91" xfId="0" applyFont="1" applyFill="1" applyBorder="1"/>
    <xf numFmtId="171" fontId="6" fillId="108" borderId="91" xfId="1" applyFont="1" applyFill="1" applyBorder="1"/>
    <xf numFmtId="0" fontId="4" fillId="0" borderId="0" xfId="0" applyFont="1" applyFill="1"/>
    <xf numFmtId="0" fontId="2" fillId="2" borderId="92" xfId="0" applyFont="1" applyFill="1" applyBorder="1"/>
    <xf numFmtId="172" fontId="2" fillId="2" borderId="92" xfId="0" applyNumberFormat="1" applyFont="1" applyFill="1" applyBorder="1"/>
    <xf numFmtId="171" fontId="2" fillId="2" borderId="92" xfId="1" applyFont="1" applyFill="1" applyBorder="1"/>
    <xf numFmtId="0" fontId="6" fillId="2" borderId="92" xfId="0" applyFont="1" applyFill="1" applyBorder="1"/>
    <xf numFmtId="171" fontId="6" fillId="2" borderId="92" xfId="1" applyFont="1" applyFill="1" applyBorder="1"/>
    <xf numFmtId="9" fontId="2" fillId="2" borderId="92" xfId="0" applyNumberFormat="1" applyFont="1" applyFill="1" applyBorder="1"/>
    <xf numFmtId="10" fontId="2" fillId="2" borderId="92" xfId="0" applyNumberFormat="1" applyFont="1" applyFill="1" applyBorder="1"/>
    <xf numFmtId="9" fontId="2" fillId="2" borderId="92" xfId="1" applyNumberFormat="1" applyFont="1" applyFill="1" applyBorder="1"/>
    <xf numFmtId="0" fontId="2" fillId="2" borderId="92" xfId="0" applyFont="1" applyFill="1" applyBorder="1" applyAlignment="1">
      <alignment horizontal="right"/>
    </xf>
    <xf numFmtId="173" fontId="2" fillId="2" borderId="92" xfId="1" applyNumberFormat="1" applyFont="1" applyFill="1" applyBorder="1"/>
    <xf numFmtId="172" fontId="2" fillId="2" borderId="92" xfId="1" applyNumberFormat="1" applyFont="1" applyFill="1" applyBorder="1"/>
    <xf numFmtId="172" fontId="3" fillId="2" borderId="92" xfId="0" applyNumberFormat="1" applyFont="1" applyFill="1" applyBorder="1"/>
    <xf numFmtId="10" fontId="2" fillId="2" borderId="92" xfId="2" applyNumberFormat="1" applyFont="1" applyFill="1" applyBorder="1"/>
    <xf numFmtId="173" fontId="2" fillId="0" borderId="0" xfId="0" applyNumberFormat="1" applyFont="1"/>
    <xf numFmtId="171" fontId="2" fillId="0" borderId="0" xfId="1" applyFont="1"/>
    <xf numFmtId="0" fontId="10" fillId="2" borderId="0" xfId="0" applyFont="1" applyFill="1"/>
    <xf numFmtId="9" fontId="7" fillId="2" borderId="0" xfId="2903" applyFont="1" applyFill="1" applyBorder="1" applyAlignment="1">
      <alignment horizontal="center" vertical="center"/>
    </xf>
    <xf numFmtId="0" fontId="7" fillId="2" borderId="0" xfId="2581" applyFont="1" applyFill="1" applyBorder="1" applyAlignment="1">
      <alignment horizontal="center" vertical="center"/>
    </xf>
    <xf numFmtId="0" fontId="7" fillId="2" borderId="0" xfId="2581" applyFont="1" applyFill="1" applyAlignment="1">
      <alignment vertical="center"/>
    </xf>
    <xf numFmtId="9" fontId="4" fillId="110" borderId="4" xfId="2903" applyFont="1" applyFill="1" applyBorder="1" applyAlignment="1">
      <alignment horizontal="left" vertical="center"/>
    </xf>
    <xf numFmtId="9" fontId="4" fillId="110" borderId="4" xfId="2903" applyFont="1" applyFill="1" applyBorder="1" applyAlignment="1">
      <alignment horizontal="center" vertical="center"/>
    </xf>
    <xf numFmtId="348" fontId="4" fillId="110" borderId="93" xfId="2581" applyNumberFormat="1" applyFont="1" applyFill="1" applyBorder="1" applyAlignment="1">
      <alignment vertical="center"/>
    </xf>
    <xf numFmtId="0" fontId="4" fillId="2" borderId="0" xfId="2581" applyFont="1" applyFill="1" applyAlignment="1">
      <alignment vertical="center"/>
    </xf>
    <xf numFmtId="0" fontId="4" fillId="2" borderId="2" xfId="2581" applyFont="1" applyFill="1" applyBorder="1" applyAlignment="1">
      <alignment vertical="center"/>
    </xf>
    <xf numFmtId="43" fontId="4" fillId="2" borderId="2" xfId="2581" applyNumberFormat="1" applyFont="1" applyFill="1" applyBorder="1" applyAlignment="1">
      <alignment vertical="center"/>
    </xf>
    <xf numFmtId="43" fontId="4" fillId="2" borderId="2" xfId="3235" applyFont="1" applyFill="1" applyBorder="1" applyAlignment="1">
      <alignment vertical="center"/>
    </xf>
    <xf numFmtId="9" fontId="4" fillId="2" borderId="2" xfId="2903" applyFont="1" applyFill="1" applyBorder="1" applyAlignment="1">
      <alignment vertical="center"/>
    </xf>
    <xf numFmtId="236" fontId="4" fillId="2" borderId="2" xfId="2903" applyNumberFormat="1" applyFont="1" applyFill="1" applyBorder="1" applyAlignment="1">
      <alignment vertical="center"/>
    </xf>
    <xf numFmtId="0" fontId="4" fillId="2" borderId="0" xfId="2581" applyFont="1" applyFill="1" applyBorder="1" applyAlignment="1">
      <alignment vertical="center"/>
    </xf>
    <xf numFmtId="43" fontId="4" fillId="2" borderId="3" xfId="2581" applyNumberFormat="1" applyFont="1" applyFill="1" applyBorder="1" applyAlignment="1">
      <alignment vertical="center"/>
    </xf>
    <xf numFmtId="43" fontId="4" fillId="2" borderId="3" xfId="3235" applyFont="1" applyFill="1" applyBorder="1" applyAlignment="1">
      <alignment vertical="center"/>
    </xf>
    <xf numFmtId="9" fontId="4" fillId="2" borderId="3" xfId="2903" applyFont="1" applyFill="1" applyBorder="1" applyAlignment="1">
      <alignment vertical="center"/>
    </xf>
    <xf numFmtId="236" fontId="4" fillId="2" borderId="3" xfId="2903" applyNumberFormat="1" applyFont="1" applyFill="1" applyBorder="1" applyAlignment="1">
      <alignment vertical="center"/>
    </xf>
    <xf numFmtId="10" fontId="4" fillId="2" borderId="0" xfId="2" applyNumberFormat="1" applyFont="1" applyFill="1" applyBorder="1" applyAlignment="1">
      <alignment vertical="center"/>
    </xf>
    <xf numFmtId="43" fontId="4" fillId="2" borderId="0" xfId="3235" applyFont="1" applyFill="1" applyBorder="1" applyAlignment="1">
      <alignment vertical="center"/>
    </xf>
    <xf numFmtId="9" fontId="4" fillId="2" borderId="0" xfId="2903" applyFont="1" applyFill="1" applyBorder="1" applyAlignment="1">
      <alignment vertical="center"/>
    </xf>
    <xf numFmtId="2" fontId="4" fillId="2" borderId="0" xfId="2581" applyNumberFormat="1" applyFont="1" applyFill="1" applyBorder="1" applyAlignment="1">
      <alignment vertical="center"/>
    </xf>
    <xf numFmtId="9" fontId="4" fillId="2" borderId="0" xfId="2903" applyNumberFormat="1" applyFont="1" applyFill="1" applyBorder="1" applyAlignment="1">
      <alignment vertical="center"/>
    </xf>
    <xf numFmtId="10" fontId="4" fillId="2" borderId="3" xfId="2903" applyNumberFormat="1" applyFont="1" applyFill="1" applyBorder="1" applyAlignment="1">
      <alignment vertical="center"/>
    </xf>
    <xf numFmtId="0" fontId="4" fillId="2" borderId="3" xfId="2581" applyFont="1" applyFill="1" applyBorder="1" applyAlignment="1">
      <alignment vertical="center"/>
    </xf>
    <xf numFmtId="43" fontId="4" fillId="2" borderId="0" xfId="2581" applyNumberFormat="1" applyFont="1" applyFill="1" applyBorder="1" applyAlignment="1">
      <alignment vertical="center"/>
    </xf>
    <xf numFmtId="0" fontId="4" fillId="2" borderId="0" xfId="2581" applyFont="1" applyFill="1" applyBorder="1" applyAlignment="1">
      <alignment vertical="center" wrapText="1"/>
    </xf>
    <xf numFmtId="43" fontId="4" fillId="2" borderId="3" xfId="3235" applyFont="1" applyFill="1" applyBorder="1" applyAlignment="1">
      <alignment horizontal="center" vertical="center"/>
    </xf>
    <xf numFmtId="43" fontId="4" fillId="2" borderId="3" xfId="2581" applyNumberFormat="1" applyFont="1" applyFill="1" applyBorder="1" applyAlignment="1">
      <alignment horizontal="center" vertical="center"/>
    </xf>
    <xf numFmtId="236" fontId="4" fillId="2" borderId="3" xfId="2903" applyNumberFormat="1" applyFont="1" applyFill="1" applyBorder="1"/>
    <xf numFmtId="9" fontId="4" fillId="2" borderId="3" xfId="2903" applyFont="1" applyFill="1" applyBorder="1"/>
    <xf numFmtId="9" fontId="4" fillId="2" borderId="0" xfId="2581" applyNumberFormat="1" applyFont="1" applyFill="1" applyBorder="1" applyAlignment="1">
      <alignment vertical="center"/>
    </xf>
    <xf numFmtId="43" fontId="4" fillId="2" borderId="0" xfId="3235" applyFont="1" applyFill="1" applyBorder="1" applyAlignment="1">
      <alignment horizontal="right" vertical="center"/>
    </xf>
    <xf numFmtId="2" fontId="4" fillId="2" borderId="0" xfId="2581" applyNumberFormat="1" applyFont="1" applyFill="1" applyBorder="1" applyAlignment="1">
      <alignment horizontal="right" vertical="center"/>
    </xf>
    <xf numFmtId="43" fontId="4" fillId="2" borderId="0" xfId="3235" applyFont="1" applyFill="1" applyBorder="1" applyAlignment="1">
      <alignment horizontal="center" vertical="center"/>
    </xf>
    <xf numFmtId="43" fontId="4" fillId="2" borderId="0" xfId="2581" applyNumberFormat="1" applyFont="1" applyFill="1" applyBorder="1" applyAlignment="1">
      <alignment horizontal="center" vertical="center"/>
    </xf>
    <xf numFmtId="171" fontId="4" fillId="2" borderId="0" xfId="2581" applyNumberFormat="1" applyFont="1" applyFill="1" applyBorder="1" applyAlignment="1">
      <alignment vertical="center"/>
    </xf>
    <xf numFmtId="43" fontId="4" fillId="2" borderId="94" xfId="2581" applyNumberFormat="1" applyFont="1" applyFill="1" applyBorder="1" applyAlignment="1">
      <alignment vertical="center"/>
    </xf>
    <xf numFmtId="43" fontId="4" fillId="2" borderId="94" xfId="3235" applyFont="1" applyFill="1" applyBorder="1" applyAlignment="1">
      <alignment vertical="center"/>
    </xf>
    <xf numFmtId="9" fontId="4" fillId="2" borderId="94" xfId="2903" applyFont="1" applyFill="1" applyBorder="1" applyAlignment="1">
      <alignment vertical="center"/>
    </xf>
    <xf numFmtId="236" fontId="4" fillId="2" borderId="94" xfId="2903" applyNumberFormat="1" applyFont="1" applyFill="1" applyBorder="1" applyAlignment="1">
      <alignment vertical="center"/>
    </xf>
    <xf numFmtId="0" fontId="4" fillId="110" borderId="93" xfId="2581" applyFont="1" applyFill="1" applyBorder="1" applyAlignment="1">
      <alignment vertical="center"/>
    </xf>
    <xf numFmtId="9" fontId="4" fillId="110" borderId="93" xfId="2903" applyFont="1" applyFill="1" applyBorder="1" applyAlignment="1">
      <alignment horizontal="center" vertical="center"/>
    </xf>
    <xf numFmtId="43" fontId="4" fillId="110" borderId="0" xfId="3235" applyFont="1" applyFill="1" applyBorder="1" applyAlignment="1">
      <alignment vertical="center"/>
    </xf>
    <xf numFmtId="349" fontId="4" fillId="2" borderId="0" xfId="3235" applyNumberFormat="1" applyFont="1" applyFill="1" applyBorder="1" applyAlignment="1">
      <alignment vertical="center"/>
    </xf>
    <xf numFmtId="349" fontId="4" fillId="2" borderId="0" xfId="2581" applyNumberFormat="1" applyFont="1" applyFill="1" applyBorder="1" applyAlignment="1">
      <alignment vertical="center"/>
    </xf>
    <xf numFmtId="0" fontId="7" fillId="2" borderId="0" xfId="2581" applyFont="1" applyFill="1" applyBorder="1" applyAlignment="1">
      <alignment vertical="center"/>
    </xf>
    <xf numFmtId="349" fontId="7" fillId="110" borderId="1" xfId="2581" applyNumberFormat="1" applyFont="1" applyFill="1" applyBorder="1" applyAlignment="1">
      <alignment vertical="center"/>
    </xf>
    <xf numFmtId="43" fontId="4" fillId="110" borderId="0" xfId="3235" applyFont="1" applyFill="1" applyBorder="1" applyAlignment="1">
      <alignment horizontal="center" vertical="center"/>
    </xf>
    <xf numFmtId="349" fontId="4" fillId="2" borderId="0" xfId="2581" applyNumberFormat="1" applyFont="1" applyFill="1" applyBorder="1" applyAlignment="1">
      <alignment horizontal="center" vertical="center"/>
    </xf>
    <xf numFmtId="349" fontId="4" fillId="2" borderId="0" xfId="3235" applyNumberFormat="1" applyFont="1" applyFill="1" applyBorder="1"/>
    <xf numFmtId="10" fontId="4" fillId="110" borderId="2" xfId="2" applyNumberFormat="1" applyFont="1" applyFill="1" applyBorder="1" applyAlignment="1">
      <alignment vertical="center"/>
    </xf>
    <xf numFmtId="349" fontId="4" fillId="110" borderId="2" xfId="3235" applyNumberFormat="1" applyFont="1" applyFill="1" applyBorder="1" applyAlignment="1">
      <alignment vertical="center"/>
    </xf>
    <xf numFmtId="10" fontId="4" fillId="110" borderId="0" xfId="2" applyNumberFormat="1" applyFont="1" applyFill="1" applyBorder="1" applyAlignment="1">
      <alignment vertical="center"/>
    </xf>
    <xf numFmtId="349" fontId="4" fillId="110" borderId="0" xfId="3235" applyNumberFormat="1" applyFont="1" applyFill="1" applyBorder="1" applyAlignment="1">
      <alignment vertical="center"/>
    </xf>
    <xf numFmtId="10" fontId="4" fillId="110" borderId="0" xfId="2" applyNumberFormat="1" applyFont="1" applyFill="1" applyBorder="1" applyAlignment="1">
      <alignment horizontal="center" vertical="center"/>
    </xf>
    <xf numFmtId="349" fontId="4" fillId="110" borderId="0" xfId="3235" applyNumberFormat="1" applyFont="1" applyFill="1" applyBorder="1" applyAlignment="1">
      <alignment horizontal="center" vertical="center"/>
    </xf>
    <xf numFmtId="10" fontId="7" fillId="110" borderId="0" xfId="2" applyNumberFormat="1" applyFont="1" applyFill="1" applyBorder="1" applyAlignment="1">
      <alignment vertical="center"/>
    </xf>
    <xf numFmtId="43" fontId="7" fillId="110" borderId="0" xfId="3235" applyFont="1" applyFill="1" applyBorder="1" applyAlignment="1">
      <alignment vertical="center"/>
    </xf>
    <xf numFmtId="349" fontId="7" fillId="2" borderId="0" xfId="2903" applyNumberFormat="1" applyFont="1" applyFill="1" applyBorder="1" applyAlignment="1">
      <alignment vertical="center"/>
    </xf>
    <xf numFmtId="349" fontId="7" fillId="2" borderId="0" xfId="2581" applyNumberFormat="1" applyFont="1" applyFill="1" applyBorder="1" applyAlignment="1">
      <alignment vertical="center"/>
    </xf>
    <xf numFmtId="0" fontId="7" fillId="2" borderId="94" xfId="2581" applyFont="1" applyFill="1" applyBorder="1" applyAlignment="1">
      <alignment vertical="center"/>
    </xf>
    <xf numFmtId="9" fontId="2" fillId="2" borderId="83" xfId="2903" applyFont="1" applyFill="1" applyBorder="1"/>
    <xf numFmtId="173" fontId="2" fillId="2" borderId="83" xfId="3235" applyNumberFormat="1" applyFont="1" applyFill="1" applyBorder="1"/>
    <xf numFmtId="43" fontId="2" fillId="2" borderId="0" xfId="3235" applyFont="1" applyFill="1" applyBorder="1"/>
    <xf numFmtId="171" fontId="2" fillId="2" borderId="83" xfId="3235" applyNumberFormat="1" applyFont="1" applyFill="1" applyBorder="1"/>
    <xf numFmtId="173" fontId="2" fillId="6" borderId="0" xfId="1" applyNumberFormat="1" applyFont="1" applyFill="1" applyBorder="1" applyAlignment="1">
      <alignment horizontal="left" indent="1"/>
    </xf>
    <xf numFmtId="173" fontId="4" fillId="2" borderId="0" xfId="1" applyNumberFormat="1" applyFont="1" applyFill="1" applyBorder="1" applyAlignment="1">
      <alignment vertical="center"/>
    </xf>
    <xf numFmtId="349" fontId="2" fillId="2" borderId="83" xfId="3235" applyNumberFormat="1" applyFont="1" applyFill="1" applyBorder="1"/>
    <xf numFmtId="10" fontId="4" fillId="2" borderId="0" xfId="2581" applyNumberFormat="1" applyFont="1" applyFill="1" applyBorder="1" applyAlignment="1">
      <alignment vertical="center"/>
    </xf>
    <xf numFmtId="0" fontId="4" fillId="2" borderId="5" xfId="2581" applyFont="1" applyFill="1" applyBorder="1" applyAlignment="1">
      <alignment vertical="center"/>
    </xf>
    <xf numFmtId="43" fontId="4" fillId="2" borderId="5" xfId="3235" applyFont="1" applyFill="1" applyBorder="1" applyAlignment="1">
      <alignment vertical="center"/>
    </xf>
    <xf numFmtId="43" fontId="4" fillId="2" borderId="5" xfId="2581" applyNumberFormat="1" applyFont="1" applyFill="1" applyBorder="1" applyAlignment="1">
      <alignment vertical="center"/>
    </xf>
    <xf numFmtId="9" fontId="4" fillId="2" borderId="0" xfId="2903" applyFont="1" applyFill="1" applyAlignment="1">
      <alignment vertical="center"/>
    </xf>
    <xf numFmtId="0" fontId="217" fillId="110" borderId="1" xfId="0" applyFont="1" applyFill="1" applyBorder="1"/>
    <xf numFmtId="171" fontId="217" fillId="110" borderId="1" xfId="0" applyNumberFormat="1" applyFont="1" applyFill="1" applyBorder="1"/>
    <xf numFmtId="10" fontId="2" fillId="2" borderId="0" xfId="0" applyNumberFormat="1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wrapText="1"/>
    </xf>
    <xf numFmtId="173" fontId="4" fillId="2" borderId="0" xfId="1" applyNumberFormat="1" applyFont="1" applyFill="1" applyAlignment="1">
      <alignment vertical="center" wrapText="1"/>
    </xf>
    <xf numFmtId="173" fontId="2" fillId="2" borderId="0" xfId="1" applyNumberFormat="1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173" fontId="2" fillId="2" borderId="0" xfId="1" applyNumberFormat="1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173" fontId="217" fillId="110" borderId="1" xfId="1" applyNumberFormat="1" applyFont="1" applyFill="1" applyBorder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wrapText="1"/>
    </xf>
    <xf numFmtId="173" fontId="7" fillId="2" borderId="0" xfId="1" applyNumberFormat="1" applyFont="1" applyFill="1" applyAlignment="1">
      <alignment vertical="center" wrapText="1"/>
    </xf>
    <xf numFmtId="171" fontId="7" fillId="2" borderId="0" xfId="1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96" fillId="2" borderId="0" xfId="0" applyFont="1" applyFill="1" applyAlignment="1">
      <alignment vertical="center" wrapText="1"/>
    </xf>
    <xf numFmtId="171" fontId="4" fillId="2" borderId="0" xfId="1" applyFont="1" applyFill="1" applyAlignment="1">
      <alignment vertical="center" wrapText="1"/>
    </xf>
    <xf numFmtId="0" fontId="217" fillId="110" borderId="10" xfId="0" applyFont="1" applyFill="1" applyBorder="1"/>
    <xf numFmtId="0" fontId="12" fillId="110" borderId="10" xfId="0" applyFont="1" applyFill="1" applyBorder="1"/>
    <xf numFmtId="171" fontId="217" fillId="110" borderId="10" xfId="0" applyNumberFormat="1" applyFont="1" applyFill="1" applyBorder="1"/>
    <xf numFmtId="0" fontId="2" fillId="2" borderId="95" xfId="0" applyFont="1" applyFill="1" applyBorder="1"/>
    <xf numFmtId="173" fontId="2" fillId="2" borderId="95" xfId="1" applyNumberFormat="1" applyFont="1" applyFill="1" applyBorder="1"/>
    <xf numFmtId="171" fontId="2" fillId="2" borderId="95" xfId="1" applyFont="1" applyFill="1" applyBorder="1"/>
    <xf numFmtId="0" fontId="6" fillId="2" borderId="95" xfId="0" applyFont="1" applyFill="1" applyBorder="1"/>
    <xf numFmtId="171" fontId="6" fillId="2" borderId="95" xfId="1" applyFont="1" applyFill="1" applyBorder="1"/>
    <xf numFmtId="0" fontId="217" fillId="2" borderId="2" xfId="0" applyFont="1" applyFill="1" applyBorder="1"/>
    <xf numFmtId="0" fontId="2" fillId="2" borderId="2" xfId="0" applyFont="1" applyFill="1" applyBorder="1"/>
    <xf numFmtId="171" fontId="2" fillId="2" borderId="2" xfId="1" applyFont="1" applyFill="1" applyBorder="1"/>
    <xf numFmtId="0" fontId="7" fillId="2" borderId="20" xfId="2581" applyFont="1" applyFill="1" applyBorder="1" applyAlignment="1"/>
    <xf numFmtId="0" fontId="7" fillId="2" borderId="21" xfId="2581" applyFont="1" applyFill="1" applyBorder="1" applyAlignment="1"/>
    <xf numFmtId="0" fontId="7" fillId="2" borderId="7" xfId="2581" applyFont="1" applyFill="1" applyBorder="1" applyAlignment="1">
      <alignment vertical="center"/>
    </xf>
    <xf numFmtId="43" fontId="7" fillId="2" borderId="7" xfId="3235" applyFont="1" applyFill="1" applyBorder="1" applyAlignment="1">
      <alignment horizontal="center" vertical="center"/>
    </xf>
    <xf numFmtId="0" fontId="4" fillId="2" borderId="7" xfId="2581" applyFont="1" applyFill="1" applyBorder="1" applyAlignment="1">
      <alignment vertical="center" wrapText="1"/>
    </xf>
    <xf numFmtId="43" fontId="4" fillId="2" borderId="7" xfId="3235" applyFont="1" applyFill="1" applyBorder="1" applyAlignment="1">
      <alignment horizontal="right" vertical="center"/>
    </xf>
    <xf numFmtId="43" fontId="4" fillId="2" borderId="23" xfId="3235" applyFont="1" applyFill="1" applyBorder="1" applyAlignment="1">
      <alignment horizontal="right" vertical="center"/>
    </xf>
    <xf numFmtId="0" fontId="7" fillId="2" borderId="7" xfId="2581" applyFont="1" applyFill="1" applyBorder="1"/>
    <xf numFmtId="43" fontId="7" fillId="2" borderId="7" xfId="3235" applyFont="1" applyFill="1" applyBorder="1"/>
    <xf numFmtId="1" fontId="4" fillId="2" borderId="0" xfId="2581" applyNumberFormat="1" applyFont="1" applyFill="1" applyBorder="1" applyAlignment="1">
      <alignment vertical="center"/>
    </xf>
    <xf numFmtId="173" fontId="4" fillId="3" borderId="1" xfId="1" applyNumberFormat="1" applyFont="1" applyFill="1" applyBorder="1"/>
    <xf numFmtId="43" fontId="4" fillId="2" borderId="1" xfId="2581" applyNumberFormat="1" applyFont="1" applyFill="1" applyBorder="1" applyAlignment="1">
      <alignment vertical="center"/>
    </xf>
    <xf numFmtId="43" fontId="4" fillId="2" borderId="1" xfId="3235" applyFont="1" applyFill="1" applyBorder="1" applyAlignment="1">
      <alignment vertical="center"/>
    </xf>
    <xf numFmtId="9" fontId="4" fillId="2" borderId="1" xfId="2903" applyFont="1" applyFill="1" applyBorder="1" applyAlignment="1">
      <alignment vertical="center"/>
    </xf>
    <xf numFmtId="0" fontId="4" fillId="2" borderId="1" xfId="2581" applyFont="1" applyFill="1" applyBorder="1" applyAlignment="1">
      <alignment vertical="center"/>
    </xf>
    <xf numFmtId="173" fontId="2" fillId="124" borderId="0" xfId="1" applyNumberFormat="1" applyFont="1" applyFill="1"/>
    <xf numFmtId="171" fontId="12" fillId="2" borderId="0" xfId="0" applyNumberFormat="1" applyFont="1" applyFill="1"/>
    <xf numFmtId="9" fontId="4" fillId="110" borderId="0" xfId="2903" applyFont="1" applyFill="1" applyBorder="1" applyAlignment="1">
      <alignment horizontal="left" vertical="center"/>
    </xf>
    <xf numFmtId="9" fontId="4" fillId="110" borderId="0" xfId="2903" applyFont="1" applyFill="1" applyBorder="1" applyAlignment="1">
      <alignment horizontal="center" vertical="center"/>
    </xf>
    <xf numFmtId="348" fontId="4" fillId="110" borderId="0" xfId="2581" applyNumberFormat="1" applyFont="1" applyFill="1" applyBorder="1" applyAlignment="1">
      <alignment vertical="center"/>
    </xf>
    <xf numFmtId="171" fontId="2" fillId="6" borderId="0" xfId="1" applyFont="1" applyFill="1" applyBorder="1" applyAlignment="1">
      <alignment horizontal="left" indent="1"/>
    </xf>
    <xf numFmtId="173" fontId="4" fillId="2" borderId="5" xfId="1" applyNumberFormat="1" applyFont="1" applyFill="1" applyBorder="1" applyAlignment="1">
      <alignment vertical="center"/>
    </xf>
    <xf numFmtId="171" fontId="2" fillId="6" borderId="0" xfId="1" applyNumberFormat="1" applyFont="1" applyFill="1" applyBorder="1" applyAlignment="1">
      <alignment horizontal="left" indent="1"/>
    </xf>
    <xf numFmtId="0" fontId="4" fillId="3" borderId="4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171" fontId="4" fillId="2" borderId="0" xfId="1" applyFont="1" applyFill="1" applyBorder="1" applyAlignment="1">
      <alignment vertical="center"/>
    </xf>
    <xf numFmtId="171" fontId="4" fillId="2" borderId="5" xfId="1" applyFont="1" applyFill="1" applyBorder="1" applyAlignment="1">
      <alignment vertical="center"/>
    </xf>
    <xf numFmtId="173" fontId="4" fillId="108" borderId="0" xfId="1" applyNumberFormat="1" applyFont="1" applyFill="1" applyBorder="1" applyAlignment="1">
      <alignment vertical="center"/>
    </xf>
    <xf numFmtId="171" fontId="2" fillId="6" borderId="0" xfId="0" applyNumberFormat="1" applyFont="1" applyFill="1" applyBorder="1" applyAlignment="1">
      <alignment horizontal="left" indent="1"/>
    </xf>
    <xf numFmtId="171" fontId="10" fillId="4" borderId="0" xfId="0" applyNumberFormat="1" applyFont="1" applyFill="1"/>
    <xf numFmtId="14" fontId="4" fillId="2" borderId="0" xfId="0" applyNumberFormat="1" applyFont="1" applyFill="1" applyAlignment="1">
      <alignment horizontal="center"/>
    </xf>
    <xf numFmtId="172" fontId="2" fillId="0" borderId="0" xfId="4" applyNumberFormat="1" applyFont="1" applyFill="1" applyBorder="1"/>
    <xf numFmtId="1" fontId="2" fillId="0" borderId="0" xfId="4" applyNumberFormat="1" applyFont="1" applyFill="1" applyBorder="1" applyAlignment="1">
      <alignment horizontal="center" vertical="center"/>
    </xf>
    <xf numFmtId="176" fontId="2" fillId="0" borderId="0" xfId="4" applyNumberFormat="1" applyFont="1" applyFill="1" applyBorder="1" applyAlignment="1">
      <alignment horizontal="center" vertical="center"/>
    </xf>
    <xf numFmtId="178" fontId="2" fillId="0" borderId="0" xfId="4" applyNumberFormat="1" applyFont="1" applyFill="1" applyBorder="1" applyAlignment="1">
      <alignment horizontal="center" vertical="center"/>
    </xf>
    <xf numFmtId="323" fontId="2" fillId="0" borderId="0" xfId="1" applyNumberFormat="1" applyFont="1" applyFill="1" applyBorder="1" applyAlignment="1">
      <alignment horizontal="center" vertical="center"/>
    </xf>
    <xf numFmtId="171" fontId="11" fillId="4" borderId="0" xfId="0" applyNumberFormat="1" applyFont="1" applyFill="1"/>
    <xf numFmtId="173" fontId="4" fillId="2" borderId="0" xfId="2581" applyNumberFormat="1" applyFont="1" applyFill="1" applyAlignment="1">
      <alignment vertical="center"/>
    </xf>
    <xf numFmtId="323" fontId="2" fillId="2" borderId="0" xfId="1" applyNumberFormat="1" applyFont="1" applyFill="1"/>
    <xf numFmtId="323" fontId="7" fillId="3" borderId="1" xfId="1" applyNumberFormat="1" applyFont="1" applyFill="1" applyBorder="1"/>
    <xf numFmtId="10" fontId="2" fillId="2" borderId="0" xfId="1" applyNumberFormat="1" applyFont="1" applyFill="1"/>
    <xf numFmtId="173" fontId="7" fillId="2" borderId="0" xfId="0" applyNumberFormat="1" applyFont="1" applyFill="1" applyBorder="1"/>
    <xf numFmtId="10" fontId="7" fillId="3" borderId="1" xfId="2" applyNumberFormat="1" applyFont="1" applyFill="1" applyBorder="1"/>
    <xf numFmtId="195" fontId="7" fillId="2" borderId="0" xfId="2" applyNumberFormat="1" applyFont="1" applyFill="1" applyBorder="1"/>
    <xf numFmtId="0" fontId="2" fillId="2" borderId="0" xfId="0" applyFont="1" applyFill="1" applyAlignment="1">
      <alignment horizontal="left" indent="2"/>
    </xf>
    <xf numFmtId="171" fontId="4" fillId="2" borderId="0" xfId="2581" applyNumberFormat="1" applyFont="1" applyFill="1" applyAlignment="1">
      <alignment vertical="center"/>
    </xf>
    <xf numFmtId="173" fontId="4" fillId="2" borderId="0" xfId="2903" applyNumberFormat="1" applyFont="1" applyFill="1" applyAlignment="1">
      <alignment vertical="center"/>
    </xf>
    <xf numFmtId="0" fontId="6" fillId="125" borderId="0" xfId="0" applyFont="1" applyFill="1"/>
    <xf numFmtId="0" fontId="2" fillId="125" borderId="0" xfId="0" applyFont="1" applyFill="1"/>
    <xf numFmtId="9" fontId="2" fillId="125" borderId="83" xfId="2" applyFont="1" applyFill="1" applyBorder="1"/>
    <xf numFmtId="9" fontId="2" fillId="125" borderId="0" xfId="2" applyFont="1" applyFill="1"/>
    <xf numFmtId="171" fontId="0" fillId="2" borderId="5" xfId="0" applyNumberFormat="1" applyFill="1" applyBorder="1"/>
    <xf numFmtId="171" fontId="7" fillId="3" borderId="1" xfId="1" applyNumberFormat="1" applyFont="1" applyFill="1" applyBorder="1"/>
    <xf numFmtId="171" fontId="4" fillId="2" borderId="0" xfId="1" applyFont="1" applyFill="1" applyAlignment="1">
      <alignment vertical="center"/>
    </xf>
    <xf numFmtId="0" fontId="246" fillId="2" borderId="85" xfId="0" applyFont="1" applyFill="1" applyBorder="1"/>
    <xf numFmtId="0" fontId="247" fillId="2" borderId="0" xfId="0" applyFont="1" applyFill="1" applyBorder="1"/>
    <xf numFmtId="0" fontId="247" fillId="2" borderId="95" xfId="0" applyFont="1" applyFill="1" applyBorder="1"/>
    <xf numFmtId="10" fontId="12" fillId="2" borderId="0" xfId="0" applyNumberFormat="1" applyFont="1" applyFill="1"/>
    <xf numFmtId="10" fontId="12" fillId="2" borderId="0" xfId="2" applyNumberFormat="1" applyFont="1" applyFill="1"/>
    <xf numFmtId="171" fontId="2" fillId="125" borderId="83" xfId="1" applyNumberFormat="1" applyFont="1" applyFill="1" applyBorder="1"/>
    <xf numFmtId="171" fontId="10" fillId="4" borderId="0" xfId="1" applyFont="1" applyFill="1"/>
    <xf numFmtId="171" fontId="11" fillId="4" borderId="0" xfId="1" applyFont="1" applyFill="1"/>
    <xf numFmtId="171" fontId="4" fillId="3" borderId="4" xfId="1" applyFont="1" applyFill="1" applyBorder="1" applyAlignment="1">
      <alignment horizontal="center" vertical="center"/>
    </xf>
    <xf numFmtId="171" fontId="4" fillId="3" borderId="0" xfId="1" applyFont="1" applyFill="1" applyBorder="1" applyAlignment="1">
      <alignment horizontal="center"/>
    </xf>
    <xf numFmtId="171" fontId="4" fillId="3" borderId="3" xfId="1" applyFont="1" applyFill="1" applyBorder="1" applyAlignment="1">
      <alignment horizontal="center"/>
    </xf>
    <xf numFmtId="43" fontId="4" fillId="125" borderId="0" xfId="2581" applyNumberFormat="1" applyFont="1" applyFill="1" applyBorder="1" applyAlignment="1">
      <alignment vertical="center"/>
    </xf>
    <xf numFmtId="0" fontId="4" fillId="125" borderId="0" xfId="2581" applyFont="1" applyFill="1" applyBorder="1" applyAlignment="1">
      <alignment vertical="center"/>
    </xf>
    <xf numFmtId="171" fontId="2" fillId="0" borderId="0" xfId="1" applyNumberFormat="1" applyFont="1" applyFill="1"/>
    <xf numFmtId="172" fontId="4" fillId="125" borderId="4" xfId="0" applyNumberFormat="1" applyFont="1" applyFill="1" applyBorder="1" applyAlignment="1">
      <alignment horizontal="center" vertical="center"/>
    </xf>
    <xf numFmtId="172" fontId="4" fillId="125" borderId="0" xfId="0" applyNumberFormat="1" applyFont="1" applyFill="1" applyBorder="1" applyAlignment="1">
      <alignment horizontal="center"/>
    </xf>
    <xf numFmtId="1" fontId="4" fillId="125" borderId="3" xfId="0" applyNumberFormat="1" applyFont="1" applyFill="1" applyBorder="1" applyAlignment="1">
      <alignment horizontal="center"/>
    </xf>
    <xf numFmtId="10" fontId="4" fillId="125" borderId="2" xfId="2" applyNumberFormat="1" applyFont="1" applyFill="1" applyBorder="1" applyAlignment="1">
      <alignment horizontal="right"/>
    </xf>
    <xf numFmtId="173" fontId="4" fillId="0" borderId="0" xfId="1" applyNumberFormat="1" applyFont="1" applyFill="1"/>
    <xf numFmtId="10" fontId="4" fillId="125" borderId="0" xfId="2" applyNumberFormat="1" applyFont="1" applyFill="1" applyBorder="1" applyAlignment="1">
      <alignment horizontal="right"/>
    </xf>
    <xf numFmtId="173" fontId="2" fillId="125" borderId="0" xfId="1" applyNumberFormat="1" applyFont="1" applyFill="1"/>
    <xf numFmtId="349" fontId="2" fillId="2" borderId="0" xfId="1" applyNumberFormat="1" applyFont="1" applyFill="1"/>
    <xf numFmtId="171" fontId="17" fillId="2" borderId="5" xfId="1" applyFont="1" applyFill="1" applyBorder="1"/>
    <xf numFmtId="195" fontId="2" fillId="2" borderId="5" xfId="0" applyNumberFormat="1" applyFont="1" applyFill="1" applyBorder="1"/>
    <xf numFmtId="10" fontId="248" fillId="0" borderId="2" xfId="2" applyNumberFormat="1" applyFont="1" applyFill="1" applyBorder="1" applyAlignment="1">
      <alignment horizontal="right"/>
    </xf>
    <xf numFmtId="173" fontId="2" fillId="0" borderId="0" xfId="1" applyNumberFormat="1" applyFont="1" applyFill="1"/>
    <xf numFmtId="171" fontId="4" fillId="0" borderId="0" xfId="0" applyNumberFormat="1" applyFont="1" applyFill="1"/>
    <xf numFmtId="171" fontId="2" fillId="0" borderId="0" xfId="1" applyFont="1" applyFill="1"/>
    <xf numFmtId="173" fontId="4" fillId="0" borderId="0" xfId="0" applyNumberFormat="1" applyFont="1" applyFill="1"/>
    <xf numFmtId="355" fontId="4" fillId="0" borderId="0" xfId="0" applyNumberFormat="1" applyFont="1" applyFill="1"/>
    <xf numFmtId="171" fontId="4" fillId="0" borderId="0" xfId="1" applyFont="1" applyFill="1"/>
    <xf numFmtId="9" fontId="2" fillId="125" borderId="83" xfId="0" applyNumberFormat="1" applyFont="1" applyFill="1" applyBorder="1"/>
    <xf numFmtId="0" fontId="2" fillId="125" borderId="83" xfId="0" applyFont="1" applyFill="1" applyBorder="1"/>
    <xf numFmtId="173" fontId="2" fillId="125" borderId="83" xfId="1" applyNumberFormat="1" applyFont="1" applyFill="1" applyBorder="1"/>
    <xf numFmtId="2" fontId="2" fillId="125" borderId="83" xfId="0" applyNumberFormat="1" applyFont="1" applyFill="1" applyBorder="1"/>
    <xf numFmtId="10" fontId="2" fillId="125" borderId="83" xfId="0" applyNumberFormat="1" applyFont="1" applyFill="1" applyBorder="1"/>
    <xf numFmtId="346" fontId="2" fillId="125" borderId="83" xfId="0" applyNumberFormat="1" applyFont="1" applyFill="1" applyBorder="1"/>
    <xf numFmtId="348" fontId="4" fillId="125" borderId="93" xfId="2581" applyNumberFormat="1" applyFont="1" applyFill="1" applyBorder="1" applyAlignment="1">
      <alignment vertical="center"/>
    </xf>
    <xf numFmtId="2" fontId="2" fillId="126" borderId="0" xfId="0" applyNumberFormat="1" applyFont="1" applyFill="1" applyBorder="1"/>
    <xf numFmtId="0" fontId="2" fillId="0" borderId="83" xfId="0" applyFont="1" applyFill="1" applyBorder="1"/>
    <xf numFmtId="43" fontId="2" fillId="6" borderId="0" xfId="0" applyNumberFormat="1" applyFont="1" applyFill="1" applyBorder="1" applyAlignment="1">
      <alignment horizontal="left" indent="1"/>
    </xf>
    <xf numFmtId="171" fontId="219" fillId="4" borderId="0" xfId="0" applyNumberFormat="1" applyFont="1" applyFill="1"/>
    <xf numFmtId="43" fontId="0" fillId="0" borderId="0" xfId="0" applyNumberFormat="1"/>
    <xf numFmtId="2" fontId="4" fillId="125" borderId="0" xfId="0" applyNumberFormat="1" applyFont="1" applyFill="1" applyBorder="1" applyAlignment="1">
      <alignment horizontal="center"/>
    </xf>
    <xf numFmtId="2" fontId="9" fillId="125" borderId="5" xfId="0" applyNumberFormat="1" applyFont="1" applyFill="1" applyBorder="1"/>
    <xf numFmtId="173" fontId="2" fillId="125" borderId="0" xfId="0" applyNumberFormat="1" applyFont="1" applyFill="1"/>
    <xf numFmtId="171" fontId="2" fillId="125" borderId="0" xfId="0" applyNumberFormat="1" applyFont="1" applyFill="1"/>
    <xf numFmtId="171" fontId="2" fillId="125" borderId="0" xfId="1" applyFont="1" applyFill="1"/>
    <xf numFmtId="0" fontId="2" fillId="125" borderId="5" xfId="0" applyFont="1" applyFill="1" applyBorder="1"/>
    <xf numFmtId="171" fontId="2" fillId="125" borderId="5" xfId="1" applyFont="1" applyFill="1" applyBorder="1"/>
    <xf numFmtId="1" fontId="2" fillId="125" borderId="0" xfId="0" applyNumberFormat="1" applyFont="1" applyFill="1"/>
    <xf numFmtId="0" fontId="219" fillId="0" borderId="0" xfId="0" applyFont="1" applyFill="1"/>
    <xf numFmtId="171" fontId="219" fillId="0" borderId="0" xfId="0" applyNumberFormat="1" applyFont="1" applyFill="1"/>
    <xf numFmtId="173" fontId="219" fillId="0" borderId="0" xfId="0" applyNumberFormat="1" applyFont="1" applyFill="1"/>
    <xf numFmtId="9" fontId="219" fillId="0" borderId="0" xfId="2" applyFont="1" applyFill="1"/>
    <xf numFmtId="171" fontId="219" fillId="0" borderId="0" xfId="1" applyFont="1" applyFill="1"/>
    <xf numFmtId="0" fontId="46" fillId="0" borderId="5" xfId="0" applyFont="1" applyFill="1" applyBorder="1"/>
    <xf numFmtId="0" fontId="4" fillId="0" borderId="4" xfId="0" applyFont="1" applyFill="1" applyBorder="1" applyAlignment="1">
      <alignment horizontal="center" vertical="top"/>
    </xf>
    <xf numFmtId="172" fontId="4" fillId="0" borderId="4" xfId="0" applyNumberFormat="1" applyFont="1" applyFill="1" applyBorder="1" applyAlignment="1">
      <alignment horizontal="center" vertical="center"/>
    </xf>
    <xf numFmtId="172" fontId="4" fillId="0" borderId="0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1" fontId="4" fillId="0" borderId="0" xfId="0" applyNumberFormat="1" applyFont="1" applyFill="1"/>
    <xf numFmtId="171" fontId="4" fillId="0" borderId="0" xfId="1" applyNumberFormat="1" applyFont="1" applyFill="1"/>
    <xf numFmtId="9" fontId="4" fillId="0" borderId="0" xfId="0" applyNumberFormat="1" applyFont="1" applyFill="1"/>
    <xf numFmtId="0" fontId="7" fillId="0" borderId="1" xfId="0" applyFont="1" applyFill="1" applyBorder="1"/>
    <xf numFmtId="173" fontId="7" fillId="0" borderId="1" xfId="1" applyNumberFormat="1" applyFont="1" applyFill="1" applyBorder="1"/>
    <xf numFmtId="171" fontId="7" fillId="0" borderId="1" xfId="1" applyNumberFormat="1" applyFont="1" applyFill="1" applyBorder="1"/>
    <xf numFmtId="0" fontId="7" fillId="0" borderId="10" xfId="0" applyFont="1" applyFill="1" applyBorder="1"/>
    <xf numFmtId="10" fontId="7" fillId="0" borderId="10" xfId="0" applyNumberFormat="1" applyFont="1" applyFill="1" applyBorder="1" applyAlignment="1">
      <alignment horizontal="center"/>
    </xf>
    <xf numFmtId="173" fontId="7" fillId="0" borderId="10" xfId="1" applyNumberFormat="1" applyFont="1" applyFill="1" applyBorder="1"/>
    <xf numFmtId="171" fontId="7" fillId="0" borderId="10" xfId="1" applyNumberFormat="1" applyFont="1" applyFill="1" applyBorder="1"/>
    <xf numFmtId="0" fontId="4" fillId="0" borderId="5" xfId="0" applyFont="1" applyFill="1" applyBorder="1"/>
    <xf numFmtId="173" fontId="4" fillId="0" borderId="5" xfId="0" applyNumberFormat="1" applyFont="1" applyFill="1" applyBorder="1"/>
    <xf numFmtId="171" fontId="4" fillId="0" borderId="5" xfId="0" applyNumberFormat="1" applyFont="1" applyFill="1" applyBorder="1"/>
    <xf numFmtId="0" fontId="57" fillId="0" borderId="0" xfId="0" applyFont="1" applyFill="1"/>
    <xf numFmtId="171" fontId="2" fillId="0" borderId="0" xfId="0" applyNumberFormat="1" applyFont="1" applyFill="1"/>
    <xf numFmtId="355" fontId="6" fillId="0" borderId="1" xfId="1" applyNumberFormat="1" applyFont="1" applyFill="1" applyBorder="1"/>
    <xf numFmtId="171" fontId="6" fillId="0" borderId="1" xfId="1" applyNumberFormat="1" applyFont="1" applyFill="1" applyBorder="1"/>
    <xf numFmtId="173" fontId="6" fillId="0" borderId="1" xfId="1" applyNumberFormat="1" applyFont="1" applyFill="1" applyBorder="1"/>
    <xf numFmtId="173" fontId="2" fillId="0" borderId="0" xfId="0" applyNumberFormat="1" applyFont="1" applyFill="1"/>
    <xf numFmtId="173" fontId="7" fillId="0" borderId="10" xfId="0" applyNumberFormat="1" applyFont="1" applyFill="1" applyBorder="1"/>
    <xf numFmtId="2" fontId="4" fillId="0" borderId="0" xfId="0" applyNumberFormat="1" applyFont="1" applyFill="1"/>
    <xf numFmtId="2" fontId="7" fillId="0" borderId="1" xfId="1" applyNumberFormat="1" applyFont="1" applyFill="1" applyBorder="1"/>
    <xf numFmtId="2" fontId="4" fillId="0" borderId="0" xfId="1" applyNumberFormat="1" applyFont="1" applyFill="1"/>
    <xf numFmtId="323" fontId="4" fillId="0" borderId="0" xfId="1" applyNumberFormat="1" applyFont="1" applyFill="1"/>
    <xf numFmtId="9" fontId="4" fillId="0" borderId="0" xfId="2" applyFont="1" applyFill="1"/>
    <xf numFmtId="171" fontId="4" fillId="0" borderId="0" xfId="2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244" fillId="0" borderId="0" xfId="0" applyFont="1" applyFill="1"/>
    <xf numFmtId="14" fontId="4" fillId="0" borderId="0" xfId="0" applyNumberFormat="1" applyFont="1" applyFill="1"/>
    <xf numFmtId="171" fontId="219" fillId="125" borderId="0" xfId="0" applyNumberFormat="1" applyFont="1" applyFill="1"/>
    <xf numFmtId="1" fontId="7" fillId="0" borderId="1" xfId="1" applyNumberFormat="1" applyFont="1" applyFill="1" applyBorder="1"/>
    <xf numFmtId="1" fontId="4" fillId="0" borderId="0" xfId="1" applyNumberFormat="1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73" fontId="7" fillId="0" borderId="0" xfId="1" applyNumberFormat="1" applyFont="1" applyFill="1" applyBorder="1"/>
    <xf numFmtId="0" fontId="7" fillId="0" borderId="0" xfId="0" applyFont="1" applyFill="1"/>
    <xf numFmtId="10" fontId="7" fillId="0" borderId="0" xfId="0" applyNumberFormat="1" applyFont="1" applyFill="1" applyBorder="1" applyAlignment="1">
      <alignment horizontal="center"/>
    </xf>
    <xf numFmtId="173" fontId="7" fillId="0" borderId="0" xfId="0" applyNumberFormat="1" applyFont="1" applyFill="1" applyBorder="1"/>
    <xf numFmtId="1" fontId="7" fillId="0" borderId="10" xfId="0" applyNumberFormat="1" applyFont="1" applyFill="1" applyBorder="1"/>
    <xf numFmtId="236" fontId="2" fillId="125" borderId="83" xfId="0" applyNumberFormat="1" applyFont="1" applyFill="1" applyBorder="1"/>
    <xf numFmtId="9" fontId="2" fillId="125" borderId="0" xfId="0" applyNumberFormat="1" applyFont="1" applyFill="1"/>
    <xf numFmtId="0" fontId="249" fillId="125" borderId="0" xfId="0" applyFont="1" applyFill="1"/>
    <xf numFmtId="171" fontId="7" fillId="125" borderId="1" xfId="1" applyNumberFormat="1" applyFont="1" applyFill="1" applyBorder="1"/>
    <xf numFmtId="173" fontId="7" fillId="125" borderId="1" xfId="1" applyNumberFormat="1" applyFont="1" applyFill="1" applyBorder="1"/>
    <xf numFmtId="10" fontId="2" fillId="0" borderId="83" xfId="2" applyNumberFormat="1" applyFont="1" applyFill="1" applyBorder="1"/>
    <xf numFmtId="9" fontId="2" fillId="0" borderId="0" xfId="2" applyFont="1" applyFill="1"/>
    <xf numFmtId="0" fontId="4" fillId="2" borderId="0" xfId="0" applyFont="1" applyFill="1" applyBorder="1" applyAlignment="1">
      <alignment horizontal="center"/>
    </xf>
    <xf numFmtId="0" fontId="4" fillId="125" borderId="0" xfId="0" applyFont="1" applyFill="1" applyBorder="1"/>
    <xf numFmtId="0" fontId="245" fillId="125" borderId="83" xfId="0" applyFont="1" applyFill="1" applyBorder="1"/>
    <xf numFmtId="171" fontId="5" fillId="125" borderId="0" xfId="1" applyFont="1" applyFill="1" applyBorder="1"/>
    <xf numFmtId="43" fontId="250" fillId="0" borderId="0" xfId="0" applyNumberFormat="1" applyFont="1"/>
    <xf numFmtId="0" fontId="18" fillId="125" borderId="5" xfId="0" applyFont="1" applyFill="1" applyBorder="1"/>
    <xf numFmtId="0" fontId="7" fillId="125" borderId="1" xfId="0" applyFont="1" applyFill="1" applyBorder="1"/>
    <xf numFmtId="9" fontId="7" fillId="125" borderId="1" xfId="2" applyFont="1" applyFill="1" applyBorder="1"/>
    <xf numFmtId="1" fontId="7" fillId="125" borderId="1" xfId="0" applyNumberFormat="1" applyFont="1" applyFill="1" applyBorder="1"/>
    <xf numFmtId="1" fontId="4" fillId="2" borderId="0" xfId="2" applyNumberFormat="1" applyFont="1" applyFill="1" applyBorder="1" applyAlignment="1">
      <alignment horizontal="center"/>
    </xf>
    <xf numFmtId="0" fontId="251" fillId="0" borderId="97" xfId="0" applyFont="1" applyBorder="1" applyAlignment="1">
      <alignment vertical="center" wrapText="1"/>
    </xf>
    <xf numFmtId="0" fontId="0" fillId="0" borderId="97" xfId="0" applyBorder="1"/>
    <xf numFmtId="0" fontId="0" fillId="0" borderId="97" xfId="0" applyBorder="1" applyAlignment="1">
      <alignment horizontal="center"/>
    </xf>
    <xf numFmtId="0" fontId="251" fillId="0" borderId="97" xfId="0" applyFont="1" applyBorder="1" applyAlignment="1">
      <alignment horizontal="center" vertical="center" wrapText="1"/>
    </xf>
    <xf numFmtId="0" fontId="251" fillId="0" borderId="97" xfId="0" applyFont="1" applyFill="1" applyBorder="1" applyAlignment="1">
      <alignment horizontal="center" vertical="center" wrapText="1"/>
    </xf>
    <xf numFmtId="0" fontId="251" fillId="0" borderId="7" xfId="0" applyFont="1" applyBorder="1"/>
    <xf numFmtId="0" fontId="251" fillId="0" borderId="24" xfId="0" applyFont="1" applyBorder="1"/>
    <xf numFmtId="1" fontId="0" fillId="0" borderId="24" xfId="0" applyNumberFormat="1" applyBorder="1"/>
    <xf numFmtId="1" fontId="0" fillId="0" borderId="7" xfId="0" applyNumberFormat="1" applyBorder="1"/>
    <xf numFmtId="0" fontId="251" fillId="0" borderId="97" xfId="0" applyFont="1" applyBorder="1" applyAlignment="1">
      <alignment horizontal="center" wrapText="1"/>
    </xf>
    <xf numFmtId="1" fontId="0" fillId="0" borderId="24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71" fontId="7" fillId="0" borderId="0" xfId="1" applyNumberFormat="1" applyFont="1" applyFill="1" applyBorder="1"/>
    <xf numFmtId="43" fontId="2" fillId="2" borderId="0" xfId="1" applyNumberFormat="1" applyFont="1" applyFill="1" applyBorder="1"/>
    <xf numFmtId="2" fontId="4" fillId="125" borderId="0" xfId="0" applyNumberFormat="1" applyFont="1" applyFill="1"/>
    <xf numFmtId="1" fontId="4" fillId="125" borderId="0" xfId="0" applyNumberFormat="1" applyFont="1" applyFill="1"/>
    <xf numFmtId="0" fontId="4" fillId="125" borderId="0" xfId="0" applyFont="1" applyFill="1"/>
    <xf numFmtId="173" fontId="7" fillId="125" borderId="10" xfId="0" applyNumberFormat="1" applyFont="1" applyFill="1" applyBorder="1"/>
    <xf numFmtId="10" fontId="2" fillId="0" borderId="83" xfId="0" applyNumberFormat="1" applyFont="1" applyFill="1" applyBorder="1"/>
    <xf numFmtId="9" fontId="2" fillId="0" borderId="83" xfId="0" applyNumberFormat="1" applyFont="1" applyFill="1" applyBorder="1"/>
    <xf numFmtId="0" fontId="251" fillId="0" borderId="98" xfId="0" applyFont="1" applyBorder="1" applyAlignment="1">
      <alignment horizontal="center" vertical="center" wrapText="1"/>
    </xf>
    <xf numFmtId="173" fontId="7" fillId="3" borderId="103" xfId="1" applyNumberFormat="1" applyFont="1" applyFill="1" applyBorder="1"/>
    <xf numFmtId="173" fontId="7" fillId="3" borderId="102" xfId="1" applyNumberFormat="1" applyFont="1" applyFill="1" applyBorder="1"/>
    <xf numFmtId="171" fontId="7" fillId="3" borderId="101" xfId="1" applyFont="1" applyFill="1" applyBorder="1"/>
    <xf numFmtId="173" fontId="7" fillId="3" borderId="101" xfId="1" applyNumberFormat="1" applyFont="1" applyFill="1" applyBorder="1"/>
    <xf numFmtId="0" fontId="251" fillId="0" borderId="100" xfId="0" applyFont="1" applyBorder="1"/>
    <xf numFmtId="0" fontId="0" fillId="0" borderId="0" xfId="0"/>
    <xf numFmtId="173" fontId="7" fillId="3" borderId="1" xfId="1" applyNumberFormat="1" applyFont="1" applyFill="1" applyBorder="1"/>
    <xf numFmtId="171" fontId="7" fillId="3" borderId="1" xfId="1" applyFont="1" applyFill="1" applyBorder="1"/>
    <xf numFmtId="171" fontId="7" fillId="3" borderId="1" xfId="1" applyNumberFormat="1" applyFont="1" applyFill="1" applyBorder="1"/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251" fillId="0" borderId="98" xfId="0" applyFont="1" applyBorder="1" applyAlignment="1">
      <alignment horizontal="center" vertical="center" wrapText="1"/>
    </xf>
    <xf numFmtId="0" fontId="251" fillId="0" borderId="52" xfId="0" applyFont="1" applyBorder="1" applyAlignment="1">
      <alignment horizontal="center" vertical="center" wrapText="1"/>
    </xf>
    <xf numFmtId="0" fontId="251" fillId="0" borderId="99" xfId="0" applyFont="1" applyBorder="1" applyAlignment="1">
      <alignment horizontal="center" vertical="center" wrapText="1"/>
    </xf>
    <xf numFmtId="0" fontId="251" fillId="0" borderId="4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3" borderId="4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8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346" fontId="6" fillId="2" borderId="89" xfId="0" applyNumberFormat="1" applyFont="1" applyFill="1" applyBorder="1" applyAlignment="1">
      <alignment horizontal="center"/>
    </xf>
    <xf numFmtId="0" fontId="7" fillId="2" borderId="0" xfId="2581" applyFont="1" applyFill="1" applyBorder="1" applyAlignment="1">
      <alignment horizontal="center" vertical="center"/>
    </xf>
    <xf numFmtId="0" fontId="4" fillId="110" borderId="93" xfId="2581" applyFont="1" applyFill="1" applyBorder="1" applyAlignment="1">
      <alignment horizontal="center" vertical="center"/>
    </xf>
  </cellXfs>
  <cellStyles count="3698">
    <cellStyle name=" " xfId="7"/>
    <cellStyle name=" _Bank Loan Reco SBU II_28.2.10" xfId="8"/>
    <cellStyle name=" _Book1 (3)" xfId="9"/>
    <cellStyle name=" _Consolidated Finance Report 30.6.2010_RKS" xfId="10"/>
    <cellStyle name=" _Debt Servicing as on 31.5.2009_SBU II_cross check" xfId="11"/>
    <cellStyle name=" _Interest &amp; Budget Detail FY2010-11 (1)" xfId="12"/>
    <cellStyle name=" _JSWEL Group's Financial Exposure_31.01.2010Final" xfId="13"/>
    <cellStyle name=" _JSWEL GROUP'S FINANCIAL EXPOSURE-31.12.09_Final" xfId="14"/>
    <cellStyle name=" _Loan Balance Confirmation &amp; Reco. Dec. 2009_14.01.2010" xfId="15"/>
    <cellStyle name=" _Xl0000004" xfId="16"/>
    <cellStyle name="_x000a_network.drv=" xfId="3236"/>
    <cellStyle name="$" xfId="17"/>
    <cellStyle name="%" xfId="18"/>
    <cellStyle name=";;;" xfId="19"/>
    <cellStyle name="??_0N-HANDLING " xfId="3237"/>
    <cellStyle name="_%(SignOnly)" xfId="20"/>
    <cellStyle name="_%(SignOnly) 2" xfId="21"/>
    <cellStyle name="_%(SignOnly)_02_Proj. Cloud - Mgmt Case2" xfId="22"/>
    <cellStyle name="_%(SignOnly)_03 VUP operating model 21 Sep v4" xfId="23"/>
    <cellStyle name="_%(SignOnly)_Bridge" xfId="24"/>
    <cellStyle name="_%(SignOnly)_Draft Final Sources  Uses V4" xfId="25"/>
    <cellStyle name="_%(SignOnly)_Force Operating Model 050202 01" xfId="26"/>
    <cellStyle name="_%(SignOnly)_Nobu Model.v.4" xfId="27"/>
    <cellStyle name="_%(SignOnly)_Operating Model v2" xfId="28"/>
    <cellStyle name="_%(SignOnly)_Operating Model v4" xfId="29"/>
    <cellStyle name="_%(SignOnly)_TdF Model v2.1" xfId="30"/>
    <cellStyle name="_%(SignOnly)_TIM Hellas LBO Model DMCC II" xfId="31"/>
    <cellStyle name="_%(SignSpaceOnly)" xfId="32"/>
    <cellStyle name="_%(SignSpaceOnly) 2" xfId="33"/>
    <cellStyle name="_%(SignSpaceOnly)_02_Proj. Cloud - Mgmt Case2" xfId="34"/>
    <cellStyle name="_%(SignSpaceOnly)_03 VUP operating model 21 Sep v4" xfId="35"/>
    <cellStyle name="_%(SignSpaceOnly)_TIM Hellas LBO Model DMCC II" xfId="36"/>
    <cellStyle name="_036-05" xfId="37"/>
    <cellStyle name="_036-05_Xl0000004" xfId="38"/>
    <cellStyle name="_1000" xfId="39"/>
    <cellStyle name="_1000_Xl0000004" xfId="40"/>
    <cellStyle name="_1002" xfId="41"/>
    <cellStyle name="_1002_Xl0000004" xfId="42"/>
    <cellStyle name="_1005" xfId="43"/>
    <cellStyle name="_1005_Xl0000004" xfId="44"/>
    <cellStyle name="_1006" xfId="45"/>
    <cellStyle name="_1006_Xl0000004" xfId="46"/>
    <cellStyle name="_1007" xfId="47"/>
    <cellStyle name="_1007_Xl0000004" xfId="48"/>
    <cellStyle name="_1008" xfId="49"/>
    <cellStyle name="_1008_Xl0000004" xfId="50"/>
    <cellStyle name="_1009" xfId="51"/>
    <cellStyle name="_1009_Xl0000004" xfId="52"/>
    <cellStyle name="_1011_(Revised)" xfId="53"/>
    <cellStyle name="_1011_(Revised)_Xl0000004" xfId="54"/>
    <cellStyle name="_1012" xfId="55"/>
    <cellStyle name="_1012_Xl0000004" xfId="56"/>
    <cellStyle name="_1018" xfId="57"/>
    <cellStyle name="_1018_Xl0000004" xfId="58"/>
    <cellStyle name="_1020" xfId="59"/>
    <cellStyle name="_1020_Xl0000004" xfId="60"/>
    <cellStyle name="_1021" xfId="61"/>
    <cellStyle name="_1021_Xl0000004" xfId="62"/>
    <cellStyle name="_1024" xfId="63"/>
    <cellStyle name="_1024_Xl0000004" xfId="64"/>
    <cellStyle name="_1025" xfId="65"/>
    <cellStyle name="_1025_Xl0000004" xfId="66"/>
    <cellStyle name="_1028 R1" xfId="67"/>
    <cellStyle name="_1028 R1_Xl0000004" xfId="68"/>
    <cellStyle name="_1030" xfId="69"/>
    <cellStyle name="_1030_Xl0000004" xfId="70"/>
    <cellStyle name="_1031" xfId="71"/>
    <cellStyle name="_1031_Xl0000004" xfId="72"/>
    <cellStyle name="_1032" xfId="73"/>
    <cellStyle name="_1032_Xl0000004" xfId="74"/>
    <cellStyle name="_1033" xfId="75"/>
    <cellStyle name="_1033_Xl0000004" xfId="76"/>
    <cellStyle name="_1035" xfId="77"/>
    <cellStyle name="_1035_Xl0000004" xfId="78"/>
    <cellStyle name="_1038" xfId="79"/>
    <cellStyle name="_1038_Xl0000004" xfId="80"/>
    <cellStyle name="_1039" xfId="81"/>
    <cellStyle name="_1039_Xl0000004" xfId="82"/>
    <cellStyle name="_1040" xfId="83"/>
    <cellStyle name="_1040_Xl0000004" xfId="84"/>
    <cellStyle name="_1043" xfId="85"/>
    <cellStyle name="_1043_Xl0000004" xfId="86"/>
    <cellStyle name="_1047" xfId="87"/>
    <cellStyle name="_1047_Xl0000004" xfId="88"/>
    <cellStyle name="_1051" xfId="89"/>
    <cellStyle name="_1051_Xl0000004" xfId="90"/>
    <cellStyle name="_1054" xfId="91"/>
    <cellStyle name="_1054_Xl0000004" xfId="92"/>
    <cellStyle name="_1056" xfId="93"/>
    <cellStyle name="_1056_Xl0000004" xfId="94"/>
    <cellStyle name="_1057" xfId="95"/>
    <cellStyle name="_1057_Xl0000004" xfId="96"/>
    <cellStyle name="_1058 (1)" xfId="97"/>
    <cellStyle name="_1058 (1)_Xl0000004" xfId="98"/>
    <cellStyle name="_1061" xfId="99"/>
    <cellStyle name="_1061_Xl0000004" xfId="100"/>
    <cellStyle name="_1062" xfId="101"/>
    <cellStyle name="_1062_Xl0000004" xfId="102"/>
    <cellStyle name="_1063" xfId="103"/>
    <cellStyle name="_1063_Xl0000004" xfId="104"/>
    <cellStyle name="_1065" xfId="105"/>
    <cellStyle name="_1065_Xl0000004" xfId="106"/>
    <cellStyle name="_1066" xfId="107"/>
    <cellStyle name="_1066_Xl0000004" xfId="108"/>
    <cellStyle name="_1067" xfId="109"/>
    <cellStyle name="_1067_Xl0000004" xfId="110"/>
    <cellStyle name="_1068" xfId="111"/>
    <cellStyle name="_1068_Xl0000004" xfId="112"/>
    <cellStyle name="_1069" xfId="113"/>
    <cellStyle name="_1069_Xl0000004" xfId="114"/>
    <cellStyle name="_1070" xfId="115"/>
    <cellStyle name="_1070_Xl0000004" xfId="116"/>
    <cellStyle name="_1073" xfId="117"/>
    <cellStyle name="_1073_Xl0000004" xfId="118"/>
    <cellStyle name="_1076" xfId="119"/>
    <cellStyle name="_1076_Xl0000004" xfId="120"/>
    <cellStyle name="_1077" xfId="121"/>
    <cellStyle name="_1077_Xl0000004" xfId="122"/>
    <cellStyle name="_1078" xfId="123"/>
    <cellStyle name="_1078_Xl0000004" xfId="124"/>
    <cellStyle name="_1079" xfId="125"/>
    <cellStyle name="_1079_Xl0000004" xfId="126"/>
    <cellStyle name="_1080" xfId="127"/>
    <cellStyle name="_1080_Xl0000004" xfId="128"/>
    <cellStyle name="_1088 (1)" xfId="129"/>
    <cellStyle name="_1088 (1)_Xl0000004" xfId="130"/>
    <cellStyle name="_1090" xfId="131"/>
    <cellStyle name="_1090_Xl0000004" xfId="132"/>
    <cellStyle name="_1091" xfId="133"/>
    <cellStyle name="_1091_Xl0000004" xfId="134"/>
    <cellStyle name="_1092" xfId="135"/>
    <cellStyle name="_1092_Xl0000004" xfId="136"/>
    <cellStyle name="_1096" xfId="137"/>
    <cellStyle name="_1096_Xl0000004" xfId="138"/>
    <cellStyle name="_1097" xfId="139"/>
    <cellStyle name="_1097_Xl0000004" xfId="140"/>
    <cellStyle name="_1098" xfId="141"/>
    <cellStyle name="_1098_Xl0000004" xfId="142"/>
    <cellStyle name="_1099" xfId="143"/>
    <cellStyle name="_1099_Xl0000004" xfId="144"/>
    <cellStyle name="_1100" xfId="145"/>
    <cellStyle name="_1100_Xl0000004" xfId="146"/>
    <cellStyle name="_1101" xfId="147"/>
    <cellStyle name="_1101_Xl0000004" xfId="148"/>
    <cellStyle name="_1103" xfId="149"/>
    <cellStyle name="_1103_Xl0000004" xfId="150"/>
    <cellStyle name="_1108" xfId="151"/>
    <cellStyle name="_1108_Xl0000004" xfId="152"/>
    <cellStyle name="_1110" xfId="153"/>
    <cellStyle name="_1110_Xl0000004" xfId="154"/>
    <cellStyle name="_1111 (1)" xfId="155"/>
    <cellStyle name="_1111 (1)_Xl0000004" xfId="156"/>
    <cellStyle name="_1113" xfId="157"/>
    <cellStyle name="_1113_Xl0000004" xfId="158"/>
    <cellStyle name="_1115" xfId="159"/>
    <cellStyle name="_1115_Xl0000004" xfId="160"/>
    <cellStyle name="_1116" xfId="161"/>
    <cellStyle name="_1116_Xl0000004" xfId="162"/>
    <cellStyle name="_1117 (1)" xfId="163"/>
    <cellStyle name="_1117 (1)_Xl0000004" xfId="164"/>
    <cellStyle name="_1128" xfId="165"/>
    <cellStyle name="_1128_Xl0000004" xfId="166"/>
    <cellStyle name="_1131" xfId="167"/>
    <cellStyle name="_1131_Xl0000004" xfId="168"/>
    <cellStyle name="_1134" xfId="169"/>
    <cellStyle name="_1134_Xl0000004" xfId="170"/>
    <cellStyle name="_1135" xfId="171"/>
    <cellStyle name="_1135_Xl0000004" xfId="172"/>
    <cellStyle name="_1137" xfId="173"/>
    <cellStyle name="_1137_Xl0000004" xfId="174"/>
    <cellStyle name="_1138 (1)" xfId="175"/>
    <cellStyle name="_1138 (1)_Xl0000004" xfId="176"/>
    <cellStyle name="_1144" xfId="177"/>
    <cellStyle name="_1144_Xl0000004" xfId="178"/>
    <cellStyle name="_1145" xfId="179"/>
    <cellStyle name="_1145_Xl0000004" xfId="180"/>
    <cellStyle name="_1146" xfId="181"/>
    <cellStyle name="_1146_Xl0000004" xfId="182"/>
    <cellStyle name="_1149" xfId="183"/>
    <cellStyle name="_1149_Xl0000004" xfId="184"/>
    <cellStyle name="_1150" xfId="185"/>
    <cellStyle name="_1150_Xl0000004" xfId="186"/>
    <cellStyle name="_1154" xfId="187"/>
    <cellStyle name="_1154_Xl0000004" xfId="188"/>
    <cellStyle name="_1156" xfId="189"/>
    <cellStyle name="_1156_Xl0000004" xfId="190"/>
    <cellStyle name="_1157" xfId="191"/>
    <cellStyle name="_1157_Xl0000004" xfId="192"/>
    <cellStyle name="_1159" xfId="193"/>
    <cellStyle name="_1159_Xl0000004" xfId="194"/>
    <cellStyle name="_1160" xfId="195"/>
    <cellStyle name="_1160_Xl0000004" xfId="196"/>
    <cellStyle name="_1162" xfId="197"/>
    <cellStyle name="_1162_Xl0000004" xfId="198"/>
    <cellStyle name="_1165" xfId="199"/>
    <cellStyle name="_1165_Xl0000004" xfId="200"/>
    <cellStyle name="_1166" xfId="201"/>
    <cellStyle name="_1166_Xl0000004" xfId="202"/>
    <cellStyle name="_1169" xfId="203"/>
    <cellStyle name="_1169_Xl0000004" xfId="204"/>
    <cellStyle name="_1170" xfId="205"/>
    <cellStyle name="_1170_Xl0000004" xfId="206"/>
    <cellStyle name="_1175" xfId="207"/>
    <cellStyle name="_1175_Xl0000004" xfId="208"/>
    <cellStyle name="_1186" xfId="209"/>
    <cellStyle name="_1186_Xl0000004" xfId="210"/>
    <cellStyle name="_1188" xfId="211"/>
    <cellStyle name="_1188_Xl0000004" xfId="212"/>
    <cellStyle name="_1191" xfId="213"/>
    <cellStyle name="_1191_Xl0000004" xfId="214"/>
    <cellStyle name="_1192" xfId="215"/>
    <cellStyle name="_1192_Xl0000004" xfId="216"/>
    <cellStyle name="_1197" xfId="217"/>
    <cellStyle name="_1197_Xl0000004" xfId="218"/>
    <cellStyle name="_1201" xfId="219"/>
    <cellStyle name="_1201_Xl0000004" xfId="220"/>
    <cellStyle name="_1208" xfId="221"/>
    <cellStyle name="_1208_Xl0000004" xfId="222"/>
    <cellStyle name="_1209" xfId="223"/>
    <cellStyle name="_1209_Xl0000004" xfId="224"/>
    <cellStyle name="_158-07 (LOT-2)" xfId="225"/>
    <cellStyle name="_158-07 (LOT-2)_Xl0000004" xfId="226"/>
    <cellStyle name="_5-2" xfId="227"/>
    <cellStyle name="_5-2_Xl0000004" xfId="228"/>
    <cellStyle name="_564_(Revised)" xfId="229"/>
    <cellStyle name="_564_(Revised)_Xl0000004" xfId="230"/>
    <cellStyle name="_582" xfId="231"/>
    <cellStyle name="_582_Xl0000004" xfId="232"/>
    <cellStyle name="_585" xfId="233"/>
    <cellStyle name="_585_Xl0000004" xfId="234"/>
    <cellStyle name="_586" xfId="235"/>
    <cellStyle name="_586_Xl0000004" xfId="236"/>
    <cellStyle name="_588" xfId="237"/>
    <cellStyle name="_588_Xl0000004" xfId="238"/>
    <cellStyle name="_590" xfId="239"/>
    <cellStyle name="_590_Xl0000004" xfId="240"/>
    <cellStyle name="_591" xfId="241"/>
    <cellStyle name="_591_Xl0000004" xfId="242"/>
    <cellStyle name="_594" xfId="243"/>
    <cellStyle name="_594_Xl0000004" xfId="244"/>
    <cellStyle name="_603" xfId="245"/>
    <cellStyle name="_603_Xl0000004" xfId="246"/>
    <cellStyle name="_608" xfId="247"/>
    <cellStyle name="_608_Xl0000004" xfId="248"/>
    <cellStyle name="_610 (1)" xfId="249"/>
    <cellStyle name="_610 (1)_Xl0000004" xfId="250"/>
    <cellStyle name="_612" xfId="251"/>
    <cellStyle name="_612_Xl0000004" xfId="252"/>
    <cellStyle name="_630" xfId="253"/>
    <cellStyle name="_630_Xl0000004" xfId="254"/>
    <cellStyle name="_639" xfId="255"/>
    <cellStyle name="_639_Xl0000004" xfId="256"/>
    <cellStyle name="_640" xfId="257"/>
    <cellStyle name="_640_Xl0000004" xfId="258"/>
    <cellStyle name="_648" xfId="259"/>
    <cellStyle name="_648_Xl0000004" xfId="260"/>
    <cellStyle name="_649" xfId="261"/>
    <cellStyle name="_649_Xl0000004" xfId="262"/>
    <cellStyle name="_650" xfId="263"/>
    <cellStyle name="_650_Xl0000004" xfId="264"/>
    <cellStyle name="_651" xfId="265"/>
    <cellStyle name="_651_Xl0000004" xfId="266"/>
    <cellStyle name="_655" xfId="267"/>
    <cellStyle name="_655_Xl0000004" xfId="268"/>
    <cellStyle name="_659 (1)" xfId="269"/>
    <cellStyle name="_659 (1)_Xl0000004" xfId="270"/>
    <cellStyle name="_663_Revised" xfId="271"/>
    <cellStyle name="_663_Revised_Xl0000004" xfId="272"/>
    <cellStyle name="_664 (1)_18_11_04" xfId="273"/>
    <cellStyle name="_664 (1)_18_11_04_Xl0000004" xfId="274"/>
    <cellStyle name="_664(X)" xfId="275"/>
    <cellStyle name="_664(X)_Xl0000004" xfId="276"/>
    <cellStyle name="_668" xfId="277"/>
    <cellStyle name="_668_Xl0000004" xfId="278"/>
    <cellStyle name="_669" xfId="279"/>
    <cellStyle name="_669_Xl0000004" xfId="280"/>
    <cellStyle name="_670_(Revised)" xfId="281"/>
    <cellStyle name="_670_(Revised)_Xl0000004" xfId="282"/>
    <cellStyle name="_672-03{ADDTN}" xfId="283"/>
    <cellStyle name="_672-03{ADDTN}_Xl0000004" xfId="284"/>
    <cellStyle name="_678" xfId="285"/>
    <cellStyle name="_678_Xl0000004" xfId="286"/>
    <cellStyle name="_684" xfId="287"/>
    <cellStyle name="_684_Xl0000004" xfId="288"/>
    <cellStyle name="_685" xfId="289"/>
    <cellStyle name="_685_Xl0000004" xfId="290"/>
    <cellStyle name="_687" xfId="291"/>
    <cellStyle name="_687_Xl0000004" xfId="292"/>
    <cellStyle name="_689" xfId="293"/>
    <cellStyle name="_689_Xl0000004" xfId="294"/>
    <cellStyle name="_693" xfId="295"/>
    <cellStyle name="_693_Xl0000004" xfId="296"/>
    <cellStyle name="_713-05" xfId="297"/>
    <cellStyle name="_713-05_Xl0000004" xfId="298"/>
    <cellStyle name="_77325 PASS SHEET Revised_5.8.2009" xfId="299"/>
    <cellStyle name="_Accounts - Dec'08" xfId="300"/>
    <cellStyle name="_Accounts - Dec'08_Accounts_200809 (After discussion with bafnaji) (4May09)" xfId="301"/>
    <cellStyle name="_Accounts - Dec'08_Bank Loan Reco SBU II_28.2.10" xfId="302"/>
    <cellStyle name="_Accounts - Dec'08_Debt Servicing as on 31.5.2009_SBU II_cross check" xfId="303"/>
    <cellStyle name="_Accounts - Dec'08_Drawdown Working_JSWEL SBU II (JSWEVL)_Rs.15 CR._16.7.2009" xfId="304"/>
    <cellStyle name="_Accounts - Dec'08_Drawdown Working_JSWEL SBU II (JSWEVL)_Rs.15 CR._16.7.2009_Reply to Audit queries_22.4.2010(1)" xfId="305"/>
    <cellStyle name="_Accounts - Dec'08_Drawdown Working_JSWEL SBU II (JSWEVL)_Rs.21 CR._20.6.2009" xfId="306"/>
    <cellStyle name="_Accounts - Dec'08_Drawdown Working_JSWEL SBU II (JSWEVL)_Rs.21 CR._20.6.2009_Reply to Audit queries_22.4.2010(1)" xfId="307"/>
    <cellStyle name="_Accounts - Dec'08_Interest &amp; Budget Detail FY2010-11 (1)" xfId="308"/>
    <cellStyle name="_Accounts - Dec'08_LC MIS" xfId="309"/>
    <cellStyle name="_Accounts - Dec'08_LC MIS_Consolidated Finance Report 30.6.2010_RKS" xfId="310"/>
    <cellStyle name="_Accounts - Dec'08_Loan Balance Confirmation &amp; Reco. Dec. 2009_14.01.2010" xfId="311"/>
    <cellStyle name="_Accounts - Dec'08_Reply to Audit queries_22.4.2010(1)" xfId="312"/>
    <cellStyle name="_Accounts - Dec'08_Xl0000004" xfId="313"/>
    <cellStyle name="_Accounts - Mar'09_SBU2" xfId="314"/>
    <cellStyle name="_Accounts - Mar'09_SBU2_Xl0000004" xfId="315"/>
    <cellStyle name="_Accounts_200809 (After discussion with bafnaji) (4May09)" xfId="316"/>
    <cellStyle name="_Accounts_200910_June'09_Revised_DRHP" xfId="317"/>
    <cellStyle name="_Accts SBU II - Aug - COD '09_Revised" xfId="318"/>
    <cellStyle name="_Accts SBU II - July '09 (2)" xfId="319"/>
    <cellStyle name="_Accts SBU II - June '09" xfId="320"/>
    <cellStyle name="_Accts SBU II - June '09_Xl0000004" xfId="321"/>
    <cellStyle name="_Admi_Expenses_Revised_Dec'08_Monthly_Consolidated" xfId="322"/>
    <cellStyle name="_Atena - 520(R)" xfId="323"/>
    <cellStyle name="_Atena - 520(R)_Xl0000004" xfId="324"/>
    <cellStyle name="_BANK RECONCILIATION 11.07.2008" xfId="325"/>
    <cellStyle name="_BANK RECONCILIATION 11.07.2008_JSWEL Group's Financial Exposure_31.01.2010Final" xfId="326"/>
    <cellStyle name="_BANK RECONCILIATION 11.07.2008_JSWEL GROUP'S FINANCIAL EXPOSURE-31.12.09_Final" xfId="327"/>
    <cellStyle name="_BANK RECONCILIATION 11.07.2008_JSWEL GROUP'S FINANCIAL EXPOSURE-31.12.09_Final_Consolidated Finance Report 30.6.2010_RKS" xfId="328"/>
    <cellStyle name="_BANK RECONCILIATION 11.07.2008_Reply to Audit queries_22.4.2010(1)" xfId="329"/>
    <cellStyle name="_Book1" xfId="330"/>
    <cellStyle name="_Book1_1" xfId="331"/>
    <cellStyle name="_Book1_Book1" xfId="332"/>
    <cellStyle name="_Book1_LC MIS" xfId="333"/>
    <cellStyle name="_Book1_Sales_ Fuel data_200910" xfId="334"/>
    <cellStyle name="_Book1_Sales_Fuel_Cost_200910_SBU2" xfId="335"/>
    <cellStyle name="_Book1_SBU II Sales &amp; Fuel" xfId="336"/>
    <cellStyle name="_Book1_Xl0000004" xfId="337"/>
    <cellStyle name="_Book4" xfId="338"/>
    <cellStyle name="_Book4_Xl0000004" xfId="339"/>
    <cellStyle name="_Book5" xfId="340"/>
    <cellStyle name="_BOP  BTG_Value of Asset" xfId="341"/>
    <cellStyle name="_BPB - 478" xfId="342"/>
    <cellStyle name="_BPB - 478_Xl0000004" xfId="343"/>
    <cellStyle name="_Caschera - 554_REALL_20_10_04" xfId="344"/>
    <cellStyle name="_Caschera - 554_REALL_20_10_04_Xl0000004" xfId="345"/>
    <cellStyle name="_coal recpts" xfId="346"/>
    <cellStyle name="_COATING WT ANY" xfId="347"/>
    <cellStyle name="_COATING WT ANY_Xl0000004" xfId="348"/>
    <cellStyle name="_Comma" xfId="349"/>
    <cellStyle name="_Comma 2" xfId="350"/>
    <cellStyle name="_Comma_02_Proj. Cloud - Mgmt Case2" xfId="351"/>
    <cellStyle name="_Comma_03 VUP operating model 21 Sep v4" xfId="352"/>
    <cellStyle name="_Comma_Bridge" xfId="353"/>
    <cellStyle name="_Comma_Data S&amp;T Acquisition charts" xfId="354"/>
    <cellStyle name="_Comma_Data S&amp;T Acquisition charts_Bridge" xfId="355"/>
    <cellStyle name="_Comma_Data S&amp;T Acquisition charts_Draft Final Sources  Uses V4" xfId="356"/>
    <cellStyle name="_Comma_Data S&amp;T Acquisition charts_Nobu Model.v.4" xfId="357"/>
    <cellStyle name="_Comma_Data S&amp;T Acquisition charts_Operating Model v2" xfId="358"/>
    <cellStyle name="_Comma_Data S&amp;T Acquisition charts_Operating Model v4" xfId="359"/>
    <cellStyle name="_Comma_Data S&amp;T Acquisition charts_TdF Model v2.1" xfId="360"/>
    <cellStyle name="_Comma_dcf" xfId="361"/>
    <cellStyle name="_Comma_Draft Final Sources  Uses V4" xfId="362"/>
    <cellStyle name="_Comma_Nobu Model.v.4" xfId="363"/>
    <cellStyle name="_Comma_Operating Model v2" xfId="364"/>
    <cellStyle name="_Comma_Operating Model v4" xfId="365"/>
    <cellStyle name="_Comma_TdF Model v2.1" xfId="366"/>
    <cellStyle name="_Comma_TIM Hellas LBO Model DMCC II" xfId="367"/>
    <cellStyle name="_Commit S.P.A - 493" xfId="368"/>
    <cellStyle name="_Commit S.P.A - 493_Xl0000004" xfId="369"/>
    <cellStyle name="_Condor SRL - 482" xfId="370"/>
    <cellStyle name="_Condor SRL - 482_Xl0000004" xfId="371"/>
    <cellStyle name="_Consolidated Finance Report 31.3.2010_RKS" xfId="372"/>
    <cellStyle name="_Consolidated Finance Report-11.2.09" xfId="373"/>
    <cellStyle name="_Consolidated Finance Report-11.2.09_Reply to Audit queries_22.4.2010(1)" xfId="374"/>
    <cellStyle name="_Consolidated Finance Report-13.4.09" xfId="375"/>
    <cellStyle name="_Consolidated Finance Report-13.4.09_Reply to Audit queries_22.4.2010(1)" xfId="376"/>
    <cellStyle name="_Consolidated Finance Report-14.7.09" xfId="377"/>
    <cellStyle name="_Consolidated Finance Report-14.7.09_Reply to Audit queries_22.4.2010(1)" xfId="378"/>
    <cellStyle name="_Consolidated Finance Report-15.12.08" xfId="379"/>
    <cellStyle name="_Consolidated Finance Report-15.12.08_JSWEL SBU I" xfId="380"/>
    <cellStyle name="_Consolidated Finance Report-15.12.08_JSWEL SBU II" xfId="381"/>
    <cellStyle name="_Consolidated Finance Report-15.12.08_JSWERL " xfId="382"/>
    <cellStyle name="_Consolidated Finance Report-15.12.08_RWPL " xfId="383"/>
    <cellStyle name="_Consolidated Finance Report-15.12.08_Xl0000004" xfId="384"/>
    <cellStyle name="_Consolidated Finance Report-17.11.08" xfId="385"/>
    <cellStyle name="_Consolidated Finance Report-17.11.08_JSWEL SBU I" xfId="386"/>
    <cellStyle name="_Consolidated Finance Report-17.11.08_JSWEL SBU II" xfId="387"/>
    <cellStyle name="_Consolidated Finance Report-17.11.08_JSWERL " xfId="388"/>
    <cellStyle name="_Consolidated Finance Report-17.11.08_RWPL " xfId="389"/>
    <cellStyle name="_Consolidated Finance Report-17.11.08_Xl0000004" xfId="390"/>
    <cellStyle name="_Consolidated Finance Report-19.6.09" xfId="391"/>
    <cellStyle name="_Consolidated Finance Report-19.6.09_Reply to Audit queries_22.4.2010(1)" xfId="392"/>
    <cellStyle name="_Consolidated Finance Report-21.2.09" xfId="393"/>
    <cellStyle name="_Consolidated Finance Report-21.2.09_Reply to Audit queries_22.4.2010(1)" xfId="394"/>
    <cellStyle name="_Consolidated Finance Report-22.1.09" xfId="395"/>
    <cellStyle name="_Consolidated Finance Report-22.1.09_Xl0000004" xfId="396"/>
    <cellStyle name="_Consolidated Finance Report-22.10.2009" xfId="397"/>
    <cellStyle name="_Consolidated Finance Report-22.10.2009_Consolidated Finance Report 30.6.2010_RKS" xfId="398"/>
    <cellStyle name="_Consolidated Finance Report-23.3.09" xfId="399"/>
    <cellStyle name="_Consolidated Finance Report-23.3.09_Reply to Audit queries_22.4.2010(1)" xfId="400"/>
    <cellStyle name="_Consolidated Finance Report-23.4.09" xfId="401"/>
    <cellStyle name="_Consolidated Finance Report-23.4.09_Reply to Audit queries_22.4.2010(1)" xfId="402"/>
    <cellStyle name="_Consolidated Finance Report-25.09.2009" xfId="403"/>
    <cellStyle name="_Consolidated Finance Report-25.09.2009_Reply to Audit queries_22.4.2010(1)" xfId="404"/>
    <cellStyle name="_Consolidated Finance Report-25.7.09" xfId="405"/>
    <cellStyle name="_Consolidated Finance Report-25.7.09_Reply to Audit queries_22.4.2010(1)" xfId="406"/>
    <cellStyle name="_Consolidated Finance Report-27.8.09" xfId="407"/>
    <cellStyle name="_Consolidated Finance Report-27.8.09_Reply to Audit queries_22.4.2010(1)" xfId="408"/>
    <cellStyle name="_Consolidated Finance Report-31.12.08" xfId="409"/>
    <cellStyle name="_Consolidated Finance Report-31.12.08_Xl0000004" xfId="410"/>
    <cellStyle name="_Consolidated Finance Report-31.12.2009" xfId="411"/>
    <cellStyle name="_Copy of Accts SBU II - July - COD '09" xfId="412"/>
    <cellStyle name="_cost_dre_final_tally_sch5_011" xfId="413"/>
    <cellStyle name="_cost_dre_final_tally_sch5_011_JSWEL SBU I" xfId="414"/>
    <cellStyle name="_cost_dre_final_tally_sch5_011_JSWEL SBU II" xfId="415"/>
    <cellStyle name="_cost_dre_final_tally_sch5_011_JSWERL " xfId="416"/>
    <cellStyle name="_cost_dre_final_tally_sch5_011_RWPL " xfId="417"/>
    <cellStyle name="_cost_dre_final_tally_sch5_011_Xl0000004" xfId="418"/>
    <cellStyle name="_Currency" xfId="419"/>
    <cellStyle name="_Currency 2" xfId="420"/>
    <cellStyle name="_Currency_02_Proj. Cloud - Mgmt Case2" xfId="421"/>
    <cellStyle name="_Currency_03 VUP operating model 21 Sep v4" xfId="422"/>
    <cellStyle name="_Currency_Anaya_02" xfId="423"/>
    <cellStyle name="_Currency_Anaya_05" xfId="424"/>
    <cellStyle name="_Currency_Copy of Fidji Financial Model - tdw - 19 September " xfId="425"/>
    <cellStyle name="_Currency_CSEB LBO Shell v11.1-cs" xfId="426"/>
    <cellStyle name="_Currency_CSEB Model CS v56.3" xfId="427"/>
    <cellStyle name="_Currency_Data S&amp;T Acquisition charts" xfId="428"/>
    <cellStyle name="_Currency_Data S&amp;T Acquisition charts_Bridge" xfId="429"/>
    <cellStyle name="_Currency_Data S&amp;T Acquisition charts_Draft Final Sources  Uses V4" xfId="430"/>
    <cellStyle name="_Currency_Data S&amp;T Acquisition charts_Nobu Model.v.4" xfId="431"/>
    <cellStyle name="_Currency_Data S&amp;T Acquisition charts_Operating Model v2" xfId="432"/>
    <cellStyle name="_Currency_Data S&amp;T Acquisition charts_Operating Model v4" xfId="433"/>
    <cellStyle name="_Currency_Data S&amp;T Acquisition charts_TdF Model v2.1" xfId="434"/>
    <cellStyle name="_Currency_dcf" xfId="435"/>
    <cellStyle name="_Currency_EMPE fin" xfId="436"/>
    <cellStyle name="_Currency_Example Output Sheets" xfId="437"/>
    <cellStyle name="_Currency_LBO Output_30_07_2000" xfId="438"/>
    <cellStyle name="_Currency_LBO_Model_52" xfId="439"/>
    <cellStyle name="_Currency_LBO_Model_52_Bridge" xfId="440"/>
    <cellStyle name="_Currency_LBO_Model_52_Draft Final Sources  Uses V4" xfId="441"/>
    <cellStyle name="_Currency_LBO_Model_52_Force Operating Model 050202 01" xfId="442"/>
    <cellStyle name="_Currency_LBO_Model_52_Nobu Model.v.4" xfId="443"/>
    <cellStyle name="_Currency_LBO_Model_52_Operating Model v2" xfId="444"/>
    <cellStyle name="_Currency_LBO_Model_52_Operating Model v4" xfId="445"/>
    <cellStyle name="_Currency_PwC_Conso1" xfId="446"/>
    <cellStyle name="_Currency_Sheet1" xfId="447"/>
    <cellStyle name="_Currency_TIM Hellas LBO Model DMCC II" xfId="448"/>
    <cellStyle name="_Currency0" xfId="449"/>
    <cellStyle name="_Currency00" xfId="450"/>
    <cellStyle name="_CurrencySpace" xfId="451"/>
    <cellStyle name="_CurrencySpace_02_Proj. Cloud - Mgmt Case2" xfId="452"/>
    <cellStyle name="_CurrencySpace_03 VUP operating model 21 Sep v4" xfId="453"/>
    <cellStyle name="_CurrencySpace_Data S&amp;T Acquisition charts" xfId="454"/>
    <cellStyle name="_CurrencySpace_Data S&amp;T Acquisition charts_Bridge" xfId="455"/>
    <cellStyle name="_CurrencySpace_Data S&amp;T Acquisition charts_Draft Final Sources  Uses V4" xfId="456"/>
    <cellStyle name="_CurrencySpace_Data S&amp;T Acquisition charts_financial model new VDD 040329 03" xfId="457"/>
    <cellStyle name="_CurrencySpace_Data S&amp;T Acquisition charts_Force Operating Model 050202 01" xfId="458"/>
    <cellStyle name="_CurrencySpace_Data S&amp;T Acquisition charts_Nobu Model.v.4" xfId="459"/>
    <cellStyle name="_CurrencySpace_Data S&amp;T Acquisition charts_Operating Model v2" xfId="460"/>
    <cellStyle name="_CurrencySpace_Data S&amp;T Acquisition charts_Operating Model v4" xfId="461"/>
    <cellStyle name="_CurrencySpace_Data S&amp;T Acquisition charts_TdF Model v2.1" xfId="462"/>
    <cellStyle name="_CurrencySpace_dcf" xfId="463"/>
    <cellStyle name="_CurrencySpace_TIM Hellas LBO Model DMCC II" xfId="464"/>
    <cellStyle name="_Debt Servicing as on 31.5.2009_SBU II_cross check" xfId="465"/>
    <cellStyle name="_Debt Servicing as on 31.5.2009_SBU II_cross check.xls1" xfId="466"/>
    <cellStyle name="_Depreciation Sch  (2)" xfId="467"/>
    <cellStyle name="_Depreciation Sch." xfId="468"/>
    <cellStyle name="_Draft Int_working JSWEVL_31.12.08" xfId="469"/>
    <cellStyle name="_Draft Int_working JSWEVL_31.12.08_Xl0000004" xfId="470"/>
    <cellStyle name="_Drawdown Status as on 16.12.2008" xfId="471"/>
    <cellStyle name="_Drawdown Status as on 16.12.2008_Accounts_201011_Sep_10" xfId="472"/>
    <cellStyle name="_Drawdown Status as on 16.12.2008_Budget(draft) for FY 2011-12" xfId="473"/>
    <cellStyle name="_Drawdown Status as on 16.12.2008_FD" xfId="474"/>
    <cellStyle name="_Drawdown Status as on 16.12.2008_JSWEL Group's Financial Exposure_31.01.2010Final" xfId="475"/>
    <cellStyle name="_Drawdown Status as on 16.12.2008_JSWEL GROUP'S FINANCIAL EXPOSURE-31.12.09_Final" xfId="476"/>
    <cellStyle name="_Drawdown Status as on 16.12.2008_JSWEL GROUP'S FINANCIAL EXPOSURE-31.12.09_Final_Consolidated Finance Report 30.6.2010_RKS" xfId="477"/>
    <cellStyle name="_Drawdown Status as on 16.12.2008_JSWEL SBU I" xfId="478"/>
    <cellStyle name="_Drawdown Status as on 16.12.2008_JSWEL SBU I_Consolidated Finance Report-30.1.2010" xfId="479"/>
    <cellStyle name="_Drawdown Status as on 16.12.2008_JSWEL SBU I_JSWEL GROUP'S FINANCIAL EXPOSURE-31.12.09_Final" xfId="480"/>
    <cellStyle name="_Drawdown Status as on 16.12.2008_JSWEL SBU II" xfId="481"/>
    <cellStyle name="_Drawdown Status as on 16.12.2008_JSWEL SBU II_Consolidated Finance Report-30.1.2010" xfId="482"/>
    <cellStyle name="_Drawdown Status as on 16.12.2008_JSWEL SBU II_JSWEL GROUP'S FINANCIAL EXPOSURE-31.12.09_Final" xfId="483"/>
    <cellStyle name="_Drawdown Status as on 16.12.2008_JSWERL " xfId="484"/>
    <cellStyle name="_Drawdown Status as on 16.12.2008_JSWERL _Consolidated Finance Report-30.1.2010" xfId="485"/>
    <cellStyle name="_Drawdown Status as on 16.12.2008_JSWERL _JSWEL GROUP'S FINANCIAL EXPOSURE-31.12.09_Final" xfId="486"/>
    <cellStyle name="_Drawdown Status as on 16.12.2008_O&amp;M Budget(draft) for FY 2011-12" xfId="487"/>
    <cellStyle name="_Drawdown Status as on 16.12.2008_PMC_FEE" xfId="488"/>
    <cellStyle name="_Drawdown Status as on 16.12.2008_RWPL " xfId="489"/>
    <cellStyle name="_Drawdown Status as on 16.12.2008_RWPL _Consolidated Finance Report-30.1.2010" xfId="490"/>
    <cellStyle name="_Drawdown Status as on 16.12.2008_RWPL _JSWEL GROUP'S FINANCIAL EXPOSURE-31.12.09_Final" xfId="491"/>
    <cellStyle name="_Drawdown Status as on 16.12.2008_Xl0000004" xfId="492"/>
    <cellStyle name="_Drawdown Status as on 16.2.2009" xfId="493"/>
    <cellStyle name="_Drawdown Status as on 16.2.2009_JSWEL Group's Financial Exposure_31.01.2010Final" xfId="494"/>
    <cellStyle name="_Drawdown Status as on 16.2.2009_JSWEL GROUP'S FINANCIAL EXPOSURE-31.12.09_Final" xfId="495"/>
    <cellStyle name="_Drawdown Status as on 16.2.2009_JSWEL GROUP'S FINANCIAL EXPOSURE-31.12.09_Final_Consolidated Finance Report 30.6.2010_RKS" xfId="496"/>
    <cellStyle name="_Drawdown Status as on 16.2.2009_Reply to Audit queries_22.4.2010(1)" xfId="497"/>
    <cellStyle name="_Drawdown Status as on 17.11.2008" xfId="498"/>
    <cellStyle name="_Drawdown Status as on 17.11.2008_Accounts_201011_Sep_10" xfId="499"/>
    <cellStyle name="_Drawdown Status as on 17.11.2008_Budget(draft) for FY 2011-12" xfId="500"/>
    <cellStyle name="_Drawdown Status as on 17.11.2008_FD" xfId="501"/>
    <cellStyle name="_Drawdown Status as on 17.11.2008_JSWEL Group's Financial Exposure_31.01.2010Final" xfId="502"/>
    <cellStyle name="_Drawdown Status as on 17.11.2008_JSWEL GROUP'S FINANCIAL EXPOSURE-31.12.09_Final" xfId="503"/>
    <cellStyle name="_Drawdown Status as on 17.11.2008_JSWEL GROUP'S FINANCIAL EXPOSURE-31.12.09_Final_Consolidated Finance Report 30.6.2010_RKS" xfId="504"/>
    <cellStyle name="_Drawdown Status as on 17.11.2008_JSWEL SBU I" xfId="505"/>
    <cellStyle name="_Drawdown Status as on 17.11.2008_JSWEL SBU I_Consolidated Finance Report-30.1.2010" xfId="506"/>
    <cellStyle name="_Drawdown Status as on 17.11.2008_JSWEL SBU I_JSWEL GROUP'S FINANCIAL EXPOSURE-31.12.09_Final" xfId="507"/>
    <cellStyle name="_Drawdown Status as on 17.11.2008_JSWEL SBU II" xfId="508"/>
    <cellStyle name="_Drawdown Status as on 17.11.2008_JSWEL SBU II_Consolidated Finance Report-30.1.2010" xfId="509"/>
    <cellStyle name="_Drawdown Status as on 17.11.2008_JSWEL SBU II_JSWEL GROUP'S FINANCIAL EXPOSURE-31.12.09_Final" xfId="510"/>
    <cellStyle name="_Drawdown Status as on 17.11.2008_JSWERL " xfId="511"/>
    <cellStyle name="_Drawdown Status as on 17.11.2008_JSWERL _Consolidated Finance Report-30.1.2010" xfId="512"/>
    <cellStyle name="_Drawdown Status as on 17.11.2008_JSWERL _JSWEL GROUP'S FINANCIAL EXPOSURE-31.12.09_Final" xfId="513"/>
    <cellStyle name="_Drawdown Status as on 17.11.2008_O&amp;M Budget(draft) for FY 2011-12" xfId="514"/>
    <cellStyle name="_Drawdown Status as on 17.11.2008_PMC_FEE" xfId="515"/>
    <cellStyle name="_Drawdown Status as on 17.11.2008_RWPL " xfId="516"/>
    <cellStyle name="_Drawdown Status as on 17.11.2008_RWPL _Consolidated Finance Report-30.1.2010" xfId="517"/>
    <cellStyle name="_Drawdown Status as on 17.11.2008_RWPL _JSWEL GROUP'S FINANCIAL EXPOSURE-31.12.09_Final" xfId="518"/>
    <cellStyle name="_Drawdown Status as on 17.11.2008_Xl0000004" xfId="519"/>
    <cellStyle name="_Drawdown Status as on 24.1.2009" xfId="520"/>
    <cellStyle name="_Drawdown Status as on 24.1.2009_Accounts_201011_Sep_10" xfId="521"/>
    <cellStyle name="_Drawdown Status as on 24.1.2009_FD" xfId="522"/>
    <cellStyle name="_Drawdown Status as on 24.1.2009_JSWEL Group's Financial Exposure_31.01.2010Final" xfId="523"/>
    <cellStyle name="_Drawdown Status as on 24.1.2009_JSWEL GROUP'S FINANCIAL EXPOSURE-31.12.09_Final" xfId="524"/>
    <cellStyle name="_Drawdown Status as on 24.1.2009_JSWEL GROUP'S FINANCIAL EXPOSURE-31.12.09_Final_Consolidated Finance Report 30.6.2010_RKS" xfId="525"/>
    <cellStyle name="_Drawdown Status as on 24.1.2009_PMC_FEE" xfId="526"/>
    <cellStyle name="_Drawdown Status as on 24.1.2009_Xl0000004" xfId="527"/>
    <cellStyle name="_Drawdown working_28.4.09_SBU II" xfId="528"/>
    <cellStyle name="_Drawdown working_28.4.09_SBU II_JSWEL Group's Financial Exposure_31.01.2010Final" xfId="529"/>
    <cellStyle name="_Drawdown working_28.4.09_SBU II_JSWEL GROUP'S FINANCIAL EXPOSURE-31.12.09_Final" xfId="530"/>
    <cellStyle name="_Drawdown working_28.4.09_SBU II_JSWEL GROUP'S FINANCIAL EXPOSURE-31.12.09_Final_Consolidated Finance Report 30.6.2010_RKS" xfId="531"/>
    <cellStyle name="_Drawdown working_28.4.09_SBU II_Reply to Audit queries_22.4.2010(1)" xfId="532"/>
    <cellStyle name="_Duferco - 565" xfId="533"/>
    <cellStyle name="_Duferco - 565_Xl0000004" xfId="534"/>
    <cellStyle name="_Duferco - 566" xfId="535"/>
    <cellStyle name="_Duferco - 566_Xl0000004" xfId="536"/>
    <cellStyle name="_DVA 0405 1127 R1" xfId="537"/>
    <cellStyle name="_DVA 0405 1127 R1_Xl0000004" xfId="538"/>
    <cellStyle name="_ET_STYLE_NoName_00_" xfId="3238"/>
    <cellStyle name="_ET_STYLE_NoName_00_ 2" xfId="3239"/>
    <cellStyle name="_ET_STYLE_NoName_00_ 3" xfId="3240"/>
    <cellStyle name="_ET_STYLE_NoName_00__云南天高计算书" xfId="3241"/>
    <cellStyle name="_ET_STYLE_NoName_00__云南天高计算书 2" xfId="3242"/>
    <cellStyle name="_ET_STYLE_NoName_00__备品备件清单201311" xfId="3243"/>
    <cellStyle name="_ET_STYLE_NoName_00__备品备件清单201311_重庆理文设备清单1209-3" xfId="3244"/>
    <cellStyle name="_ET_STYLE_NoName_00__西安电子科技大学设备清单" xfId="3245"/>
    <cellStyle name="_ET_STYLE_NoName_00__西安电子科技大学设备清单 2" xfId="3246"/>
    <cellStyle name="_ET_STYLE_NoName_00__西安电子科技大学设备清单_云南天高计算书" xfId="3247"/>
    <cellStyle name="_ET_STYLE_NoName_00__西安电子科技大学设备清单_云南天高计算书 2" xfId="3248"/>
    <cellStyle name="_ET_STYLE_NoName_00__西安电子科技大学设备清单_设备清单（1zjh改）" xfId="3249"/>
    <cellStyle name="_ET_STYLE_NoName_00__西安电子科技大学设备清单_设备清单（1zjh改） 2" xfId="3250"/>
    <cellStyle name="_ET_STYLE_NoName_00__西安电子科技大学设备清单_设备清单（1zjh改）_云南天高计算书" xfId="3251"/>
    <cellStyle name="_ET_STYLE_NoName_00__西安电子科技大学设备清单_设备清单（1zjh改）_云南天高计算书 2" xfId="3252"/>
    <cellStyle name="_ET_STYLE_NoName_00__计算书（石灰-石膏法）2.4" xfId="3253"/>
    <cellStyle name="_ET_STYLE_NoName_00__计算书（石灰-石膏法）2.4 2" xfId="3254"/>
    <cellStyle name="_ET_STYLE_NoName_00__计算书（石灰-石膏法）2.4_云南天高计算书" xfId="3255"/>
    <cellStyle name="_ET_STYLE_NoName_00__计算书（石灰-石膏法）2.4_云南天高计算书 2" xfId="3256"/>
    <cellStyle name="_ET_STYLE_NoName_00__计算书（石灰-石膏法）2.4_设备清单（1zjh改）" xfId="3257"/>
    <cellStyle name="_ET_STYLE_NoName_00__计算书（石灰-石膏法）2.4_设备清单（1zjh改） 2" xfId="3258"/>
    <cellStyle name="_ET_STYLE_NoName_00__计算书（石灰-石膏法）2.4_设备清单（1zjh改）_云南天高计算书" xfId="3259"/>
    <cellStyle name="_ET_STYLE_NoName_00__计算书（石灰-石膏法）2.4_设备清单（1zjh改）_云南天高计算书 2" xfId="3260"/>
    <cellStyle name="_ET_STYLE_NoName_00__设备清单" xfId="3261"/>
    <cellStyle name="_ET_STYLE_NoName_00__设备清单标准模板20120426（修改税费计算方法）" xfId="3262"/>
    <cellStyle name="_ET_STYLE_NoName_00__设备清单标准模板20120426（修改税费计算方法） 2" xfId="3263"/>
    <cellStyle name="_ET_STYLE_NoName_00__重庆理文设备清单1119" xfId="3264"/>
    <cellStyle name="_ET_STYLE_NoName_00__重庆理文设备清单1119_重庆理文设备清单1209-3" xfId="3265"/>
    <cellStyle name="_ET_STYLE_NoName_00__重庆理文设备清单1209-3" xfId="3266"/>
    <cellStyle name="_ETT WO GALV-553" xfId="539"/>
    <cellStyle name="_ETT WO GALV-553_Xl0000004" xfId="540"/>
    <cellStyle name="_ETT WO GALV-556" xfId="541"/>
    <cellStyle name="_ETT WO GALV-556_Xl0000004" xfId="542"/>
    <cellStyle name="_ETT WO GALV-557" xfId="543"/>
    <cellStyle name="_ETT WO GALV-557_Xl0000004" xfId="544"/>
    <cellStyle name="_Euro" xfId="545"/>
    <cellStyle name="_Euro_02_Proj. Cloud - Mgmt Case2" xfId="546"/>
    <cellStyle name="_Euro_03 VUP operating model 21 Sep v4" xfId="547"/>
    <cellStyle name="_Euro_TIM Hellas LBO Model DMCC II" xfId="548"/>
    <cellStyle name="_exp_status 9th jun'03" xfId="549"/>
    <cellStyle name="_exp_status 9th jun'03_Xl0000004" xfId="550"/>
    <cellStyle name="_Finance Report as on 31.1.2009" xfId="551"/>
    <cellStyle name="_Finance Report as on 31.1.2009_JSWEL Group's Financial Exposure_31.01.2010Final" xfId="552"/>
    <cellStyle name="_Finance Report as on 31.1.2009_JSWEL GROUP'S FINANCIAL EXPOSURE-31.12.09_Final" xfId="553"/>
    <cellStyle name="_Finance Report as on 31.1.2009_JSWEL GROUP'S FINANCIAL EXPOSURE-31.12.09_Final_Consolidated Finance Report 30.6.2010_RKS" xfId="554"/>
    <cellStyle name="_Finance Report as on 31.1.2009_Reply to Audit queries_22.4.2010(1)" xfId="555"/>
    <cellStyle name="_GALV-036" xfId="556"/>
    <cellStyle name="_GALV049" xfId="557"/>
    <cellStyle name="_GALV049_Xl0000004" xfId="558"/>
    <cellStyle name="_GALV058" xfId="559"/>
    <cellStyle name="_GALV058_Xl0000004" xfId="560"/>
    <cellStyle name="_GALV-093" xfId="561"/>
    <cellStyle name="_GALV-093_Xl0000004" xfId="562"/>
    <cellStyle name="_GALV-1001" xfId="563"/>
    <cellStyle name="_GALV-1001_Xl0000004" xfId="564"/>
    <cellStyle name="_GALV-106" xfId="565"/>
    <cellStyle name="_GALV-106_Xl0000004" xfId="566"/>
    <cellStyle name="_GALV-109" xfId="567"/>
    <cellStyle name="_GALV-109_Xl0000004" xfId="568"/>
    <cellStyle name="_GALV-1149" xfId="569"/>
    <cellStyle name="_GALV-1149_Xl0000004" xfId="570"/>
    <cellStyle name="_GALV1161" xfId="571"/>
    <cellStyle name="_GALV1161_Xl0000004" xfId="572"/>
    <cellStyle name="_GALV191badar al mulla" xfId="573"/>
    <cellStyle name="_GALV191badar al mulla_Xl0000004" xfId="574"/>
    <cellStyle name="_GALV-201" xfId="575"/>
    <cellStyle name="_GALV-201_Xl0000004" xfId="576"/>
    <cellStyle name="_GALV-248" xfId="577"/>
    <cellStyle name="_GALV-248_Xl0000004" xfId="578"/>
    <cellStyle name="_GALV411 middleeast" xfId="579"/>
    <cellStyle name="_GALV411 middleeast_Xl0000004" xfId="580"/>
    <cellStyle name="_GALV-421" xfId="581"/>
    <cellStyle name="_GALV-421_Xl0000004" xfId="582"/>
    <cellStyle name="_GALV425 Arabian profile" xfId="583"/>
    <cellStyle name="_GALV425 Arabian profile_Xl0000004" xfId="584"/>
    <cellStyle name="_GALV-428" xfId="585"/>
    <cellStyle name="_GALV428 Century" xfId="586"/>
    <cellStyle name="_GALV428 Century_Xl0000004" xfId="587"/>
    <cellStyle name="_GALV-428_Xl0000004" xfId="588"/>
    <cellStyle name="_GALV435 Century" xfId="589"/>
    <cellStyle name="_GALV435 Century_Xl0000004" xfId="590"/>
    <cellStyle name="_GALV438 JUMA (1)" xfId="591"/>
    <cellStyle name="_GALV438 JUMA (1)_Xl0000004" xfId="592"/>
    <cellStyle name="_GALV439 alabbar" xfId="593"/>
    <cellStyle name="_GALV439 alabbar_Xl0000004" xfId="594"/>
    <cellStyle name="_GALV440 METALCO" xfId="595"/>
    <cellStyle name="_GALV440 METALCO_Xl0000004" xfId="596"/>
    <cellStyle name="_GALV441 JUMA" xfId="597"/>
    <cellStyle name="_GALV441 JUMA_Xl0000004" xfId="598"/>
    <cellStyle name="_GALV447 ALICO (1)" xfId="599"/>
    <cellStyle name="_GALV447 ALICO (1)_Xl0000004" xfId="600"/>
    <cellStyle name="_GALV-450" xfId="601"/>
    <cellStyle name="_GALV-450_Xl0000004" xfId="602"/>
    <cellStyle name="_GALV452 metallika" xfId="603"/>
    <cellStyle name="_GALV452 metallika_Xl0000004" xfId="604"/>
    <cellStyle name="_GALV-453" xfId="605"/>
    <cellStyle name="_GALV-453_Xl0000004" xfId="606"/>
    <cellStyle name="_GALV484 AL HAMAD" xfId="607"/>
    <cellStyle name="_GALV484 AL HAMAD_Xl0000004" xfId="608"/>
    <cellStyle name="_GALV485 Arabian profile" xfId="609"/>
    <cellStyle name="_GALV485 Arabian profile_Xl0000004" xfId="610"/>
    <cellStyle name="_GALV496 ABDUL AZIZ" xfId="611"/>
    <cellStyle name="_GALV496 ABDUL AZIZ(Revised)" xfId="612"/>
    <cellStyle name="_GALV496 ABDUL AZIZ(Revised)_Xl0000004" xfId="613"/>
    <cellStyle name="_GALV496 ABDUL AZIZ_Xl0000004" xfId="614"/>
    <cellStyle name="_GALV498 TECHNICALMETALLIC" xfId="615"/>
    <cellStyle name="_GALV498 TECHNICALMETALLIC_Xl0000004" xfId="616"/>
    <cellStyle name="_GALV-502" xfId="617"/>
    <cellStyle name="_GALV-502_Xl0000004" xfId="618"/>
    <cellStyle name="_GALV-503" xfId="619"/>
    <cellStyle name="_GALV-503_Xl0000004" xfId="620"/>
    <cellStyle name="_GALV506" xfId="621"/>
    <cellStyle name="_GALV506_Xl0000004" xfId="622"/>
    <cellStyle name="_GALV-507" xfId="623"/>
    <cellStyle name="_GALV-507_Xl0000004" xfId="624"/>
    <cellStyle name="_GALV-512" xfId="625"/>
    <cellStyle name="_GALV-512_Xl0000004" xfId="626"/>
    <cellStyle name="_GALV-520" xfId="627"/>
    <cellStyle name="_GALV-520_Xl0000004" xfId="628"/>
    <cellStyle name="_GALV-523" xfId="629"/>
    <cellStyle name="_GALV-523_Xl0000004" xfId="630"/>
    <cellStyle name="_GALV-550" xfId="631"/>
    <cellStyle name="_GALV-550_Xl0000004" xfId="632"/>
    <cellStyle name="_GALV573 Century" xfId="633"/>
    <cellStyle name="_GALV573 Century_Xl0000004" xfId="634"/>
    <cellStyle name="_GALV574 Arabian profile" xfId="635"/>
    <cellStyle name="_GALV574 Arabian profile_Xl0000004" xfId="636"/>
    <cellStyle name="_GALV575 SUPRA" xfId="637"/>
    <cellStyle name="_GALV575 SUPRA_Xl0000004" xfId="638"/>
    <cellStyle name="_GALV576 METALCO" xfId="639"/>
    <cellStyle name="_GALV576 METALCO_Xl0000004" xfId="640"/>
    <cellStyle name="_GALV579 AL BANNA" xfId="641"/>
    <cellStyle name="_GALV579 AL BANNA_Xl0000004" xfId="642"/>
    <cellStyle name="_galv-580" xfId="643"/>
    <cellStyle name="_galv-580_Xl0000004" xfId="644"/>
    <cellStyle name="_GALV-602" xfId="645"/>
    <cellStyle name="_GALV-602_Xl0000004" xfId="646"/>
    <cellStyle name="_GALV604" xfId="647"/>
    <cellStyle name="_GALV604_Xl0000004" xfId="648"/>
    <cellStyle name="_GALV-605" xfId="649"/>
    <cellStyle name="_GALV-605_Xl0000004" xfId="650"/>
    <cellStyle name="_GALV-607" xfId="651"/>
    <cellStyle name="_GALV-607_Xl0000004" xfId="652"/>
    <cellStyle name="_GALV-613" xfId="653"/>
    <cellStyle name="_GALV-613_Xl0000004" xfId="654"/>
    <cellStyle name="_GALV-646" xfId="655"/>
    <cellStyle name="_GALV-646_Xl0000004" xfId="656"/>
    <cellStyle name="_GALV-647" xfId="657"/>
    <cellStyle name="_GALV-647_Xl0000004" xfId="658"/>
    <cellStyle name="_GALV-652" xfId="659"/>
    <cellStyle name="_GALV-652_Xl0000004" xfId="660"/>
    <cellStyle name="_GALV-660" xfId="661"/>
    <cellStyle name="_GALV-660_Xl0000004" xfId="662"/>
    <cellStyle name="_GALV-661" xfId="663"/>
    <cellStyle name="_GALV-661_Xl0000004" xfId="664"/>
    <cellStyle name="_GALV-662" xfId="665"/>
    <cellStyle name="_GALV-662_Xl0000004" xfId="666"/>
    <cellStyle name="_GALV-670" xfId="667"/>
    <cellStyle name="_GALV-670_Xl0000004" xfId="668"/>
    <cellStyle name="_GALV-698" xfId="669"/>
    <cellStyle name="_GALV-698_Xl0000004" xfId="670"/>
    <cellStyle name="_GALV-700" xfId="671"/>
    <cellStyle name="_GALV-700_Xl0000004" xfId="672"/>
    <cellStyle name="_GALV-702" xfId="673"/>
    <cellStyle name="_GALV-702_Xl0000004" xfId="674"/>
    <cellStyle name="_GALV-713" xfId="675"/>
    <cellStyle name="_GALV-713_Xl0000004" xfId="676"/>
    <cellStyle name="_GALV-721" xfId="677"/>
    <cellStyle name="_GALV-721_Xl0000004" xfId="678"/>
    <cellStyle name="_GALV-761" xfId="679"/>
    <cellStyle name="_GALV-761_Xl0000004" xfId="680"/>
    <cellStyle name="_GALV-763" xfId="681"/>
    <cellStyle name="_GALV-763_Xl0000004" xfId="682"/>
    <cellStyle name="_GEB_dr 6" xfId="683"/>
    <cellStyle name="_Heading" xfId="684"/>
    <cellStyle name="_Heading 2" xfId="685"/>
    <cellStyle name="_Heading_02_Proj. Cloud - Mgmt Case2" xfId="686"/>
    <cellStyle name="_Heading_03 VUP operating model 21 Sep v4" xfId="687"/>
    <cellStyle name="_Heading_03 VUP operating model 21 Sep v4_01A25-01-04" xfId="688"/>
    <cellStyle name="_Heading_03 VUP operating model 21 Sep v4_02A 05-02-04" xfId="689"/>
    <cellStyle name="_Heading_03 VUP operating model 21 Sep v4_02Analysis - SBA" xfId="690"/>
    <cellStyle name="_Heading_03 VUP operating model 21 Sep v4_02Bridges" xfId="691"/>
    <cellStyle name="_Heading_03 VUP operating model 21 Sep v4_03 31-01-04" xfId="692"/>
    <cellStyle name="_Heading_03 VUP operating model 21 Sep v4_03A25-01-04" xfId="693"/>
    <cellStyle name="_Heading_03 VUP operating model 21 Sep v4_06A 0202-04" xfId="694"/>
    <cellStyle name="_Heading_03 VUP operating model 21 Sep v4_08A 0202-04" xfId="695"/>
    <cellStyle name="_Heading_03 VUP operating model 21 Sep v4_12Last" xfId="696"/>
    <cellStyle name="_Heading_03 VUP operating model 21 Sep v4_25-01-04" xfId="697"/>
    <cellStyle name="_Heading_03 VUP operating model 21 Sep v4_A Dynamit 13-01-03" xfId="698"/>
    <cellStyle name="_Heading_03 VUP operating model 21 Sep v4_Bridges" xfId="699"/>
    <cellStyle name="_Heading_03 VUP operating model 21 Sep v4_C Dynamit 12-01-03" xfId="700"/>
    <cellStyle name="_Heading_03 VUP operating model 21 Sep v4_Dynamit 12-01-03" xfId="701"/>
    <cellStyle name="_Heading_03 VUP operating model 21 Sep v4_Dynamit 13-01-03" xfId="702"/>
    <cellStyle name="_Heading_03 VUP operating model 21 Sep v4_Dynamit 13-01-03 (version 1)" xfId="703"/>
    <cellStyle name="_Heading_03 VUP operating model 21 Sep v4_Dynamit Nobel 21-01-03" xfId="704"/>
    <cellStyle name="_Heading_03 VUP operating model 21 Sep v4_financial model 040107 01" xfId="705"/>
    <cellStyle name="_Heading_03 VUP operating model 21 Sep v4_financial model 040108 01" xfId="706"/>
    <cellStyle name="_Heading_03 VUP operating model 21 Sep v4_financial model 040108 02" xfId="707"/>
    <cellStyle name="_Heading_03 VUP operating model 21 Sep v4_financial model 040108 05" xfId="708"/>
    <cellStyle name="_Heading_03 VUP operating model 21 Sep v4_financial model 040108 06" xfId="709"/>
    <cellStyle name="_Heading_03 VUP operating model 21 Sep v4_financial model 040108 07" xfId="710"/>
    <cellStyle name="_Heading_03 VUP operating model 21 Sep v4_financial model 040108 08" xfId="711"/>
    <cellStyle name="_Heading_03 VUP operating model 21 Sep v4_financial model ex Adv Cer 040311 02" xfId="712"/>
    <cellStyle name="_Heading_03 VUP operating model 21 Sep v4_financial model new VDD 040329 03" xfId="713"/>
    <cellStyle name="_Heading_03 VUP operating model 21 Sep v4_financial model splitup 040124 01" xfId="714"/>
    <cellStyle name="_Heading_03 VUP operating model 21 Sep v4_Go-Ahead v1.1" xfId="715"/>
    <cellStyle name="_Heading_03 VUP operating model 21 Sep v4_Key Financials" xfId="716"/>
    <cellStyle name="_Heading_03 VUP operating model 21 Sep v4_Nestor v1.1" xfId="717"/>
    <cellStyle name="_Heading_03 VUP operating model 21 Sep v4_pagestoIBK1" xfId="718"/>
    <cellStyle name="_Heading_03 VUP operating model 21 Sep v4_Sales Bridges" xfId="719"/>
    <cellStyle name="_Heading_Copy of Fidji Financial Model - tdw - 19 September " xfId="720"/>
    <cellStyle name="_Heading_CSEB LBO Shell v11.1-cs" xfId="721"/>
    <cellStyle name="_Heading_CSEB Model CS v56.3" xfId="722"/>
    <cellStyle name="_Heading_lbo_long_model" xfId="723"/>
    <cellStyle name="_Heading_lbo_long_model_01A25-01-04" xfId="724"/>
    <cellStyle name="_Heading_lbo_long_model_02A 05-02-04" xfId="725"/>
    <cellStyle name="_Heading_lbo_long_model_02Analysis - SBA" xfId="726"/>
    <cellStyle name="_Heading_lbo_long_model_02Bridges" xfId="727"/>
    <cellStyle name="_Heading_lbo_long_model_03 31-01-04" xfId="728"/>
    <cellStyle name="_Heading_lbo_long_model_03A25-01-04" xfId="729"/>
    <cellStyle name="_Heading_lbo_long_model_06A 0202-04" xfId="730"/>
    <cellStyle name="_Heading_lbo_long_model_08A 0202-04" xfId="731"/>
    <cellStyle name="_Heading_lbo_long_model_12Last" xfId="732"/>
    <cellStyle name="_Heading_lbo_long_model_25-01-04" xfId="733"/>
    <cellStyle name="_Heading_lbo_long_model_A Dynamit 13-01-03" xfId="734"/>
    <cellStyle name="_Heading_lbo_long_model_Bridges" xfId="735"/>
    <cellStyle name="_Heading_lbo_long_model_C Dynamit 12-01-03" xfId="736"/>
    <cellStyle name="_Heading_lbo_long_model_Dynamit 12-01-03" xfId="737"/>
    <cellStyle name="_Heading_lbo_long_model_Dynamit 13-01-03" xfId="738"/>
    <cellStyle name="_Heading_lbo_long_model_Dynamit 13-01-03 (version 1)" xfId="739"/>
    <cellStyle name="_Heading_lbo_long_model_Dynamit Nobel 21-01-03" xfId="740"/>
    <cellStyle name="_Heading_lbo_long_model_financial model 040107 01" xfId="741"/>
    <cellStyle name="_Heading_lbo_long_model_financial model 040108 01" xfId="742"/>
    <cellStyle name="_Heading_lbo_long_model_financial model 040108 02" xfId="743"/>
    <cellStyle name="_Heading_lbo_long_model_financial model 040108 05" xfId="744"/>
    <cellStyle name="_Heading_lbo_long_model_financial model 040108 06" xfId="745"/>
    <cellStyle name="_Heading_lbo_long_model_financial model 040108 07" xfId="746"/>
    <cellStyle name="_Heading_lbo_long_model_financial model 040108 08" xfId="747"/>
    <cellStyle name="_Heading_lbo_long_model_financial model ex Adv Cer 040311 02" xfId="748"/>
    <cellStyle name="_Heading_lbo_long_model_financial model new VDD 040329 03" xfId="749"/>
    <cellStyle name="_Heading_lbo_long_model_financial model splitup 040124 01" xfId="750"/>
    <cellStyle name="_Heading_lbo_long_model_Go-Ahead v1.1" xfId="751"/>
    <cellStyle name="_Heading_lbo_long_model_Key Financials" xfId="752"/>
    <cellStyle name="_Heading_lbo_long_model_Nestor v1.1" xfId="753"/>
    <cellStyle name="_Heading_lbo_long_model_pagestoIBK1" xfId="754"/>
    <cellStyle name="_Heading_lbo_long_model_Sales Bridges" xfId="755"/>
    <cellStyle name="_Heading_prestemp" xfId="756"/>
    <cellStyle name="_Heading_prestemp_01A25-01-04" xfId="757"/>
    <cellStyle name="_Heading_prestemp_02A 05-02-04" xfId="758"/>
    <cellStyle name="_Heading_prestemp_02Analysis - SBA" xfId="759"/>
    <cellStyle name="_Heading_prestemp_02Bridges" xfId="760"/>
    <cellStyle name="_Heading_prestemp_03 31-01-04" xfId="761"/>
    <cellStyle name="_Heading_prestemp_03A25-01-04" xfId="762"/>
    <cellStyle name="_Heading_prestemp_06A 0202-04" xfId="763"/>
    <cellStyle name="_Heading_prestemp_08A 0202-04" xfId="764"/>
    <cellStyle name="_Heading_prestemp_12Last" xfId="765"/>
    <cellStyle name="_Heading_prestemp_25-01-04" xfId="766"/>
    <cellStyle name="_Heading_prestemp_A Dynamit 13-01-03" xfId="767"/>
    <cellStyle name="_Heading_prestemp_Bridges" xfId="768"/>
    <cellStyle name="_Heading_prestemp_C Dynamit 12-01-03" xfId="769"/>
    <cellStyle name="_Heading_prestemp_Dynamit 12-01-03" xfId="770"/>
    <cellStyle name="_Heading_prestemp_Dynamit 13-01-03" xfId="771"/>
    <cellStyle name="_Heading_prestemp_Dynamit 13-01-03 (version 1)" xfId="772"/>
    <cellStyle name="_Heading_prestemp_Dynamit Nobel 21-01-03" xfId="773"/>
    <cellStyle name="_Heading_prestemp_financial model 040107 01" xfId="774"/>
    <cellStyle name="_Heading_prestemp_financial model 040108 01" xfId="775"/>
    <cellStyle name="_Heading_prestemp_financial model 040108 02" xfId="776"/>
    <cellStyle name="_Heading_prestemp_financial model 040108 05" xfId="777"/>
    <cellStyle name="_Heading_prestemp_financial model 040108 06" xfId="778"/>
    <cellStyle name="_Heading_prestemp_financial model 040108 07" xfId="779"/>
    <cellStyle name="_Heading_prestemp_financial model 040108 08" xfId="780"/>
    <cellStyle name="_Heading_prestemp_financial model ex Adv Cer 040311 02" xfId="781"/>
    <cellStyle name="_Heading_prestemp_financial model new VDD 040329 03" xfId="782"/>
    <cellStyle name="_Heading_prestemp_financial model splitup 040124 01" xfId="783"/>
    <cellStyle name="_Heading_prestemp_Go-Ahead v1.1" xfId="784"/>
    <cellStyle name="_Heading_prestemp_Key Financials" xfId="785"/>
    <cellStyle name="_Heading_prestemp_Nestor v1.1" xfId="786"/>
    <cellStyle name="_Heading_prestemp_pagestoIBK1" xfId="787"/>
    <cellStyle name="_Heading_prestemp_Sales Bridges" xfId="788"/>
    <cellStyle name="_Heading_TIM Hellas LBO Model DMCC II" xfId="789"/>
    <cellStyle name="_Heading_UoP adjustments updated (11-Aug)" xfId="790"/>
    <cellStyle name="_Highlight" xfId="791"/>
    <cellStyle name="_Highlight 2" xfId="792"/>
    <cellStyle name="_IDC details" xfId="793"/>
    <cellStyle name="_Input" xfId="794"/>
    <cellStyle name="_JSW Energy Cash Flow_18.2.09" xfId="795"/>
    <cellStyle name="_JSW Energy Cash Flow_18.2.09_JSWEL Group's Financial Exposure_31.01.2010Final" xfId="796"/>
    <cellStyle name="_JSW Energy Cash Flow_18.2.09_JSWEL GROUP'S FINANCIAL EXPOSURE-31.12.09_Final" xfId="797"/>
    <cellStyle name="_JSW Energy Cash Flow_18.2.09_JSWEL GROUP'S FINANCIAL EXPOSURE-31.12.09_Final_Consolidated Finance Report 30.6.2010_RKS" xfId="798"/>
    <cellStyle name="_JSW Energy Cash Flow_18.2.09_Reply to Audit queries_22.4.2010(1)" xfId="799"/>
    <cellStyle name="_JSWEL" xfId="800"/>
    <cellStyle name="_JSWEL - Daily Cash Flow 20 03 2009" xfId="801"/>
    <cellStyle name="_JSWEL - Daily Cash Flow 20 03 2009_Accounts_201011_Sep_10" xfId="802"/>
    <cellStyle name="_JSWEL - Daily Cash Flow 20 03 2009_PMC_FEE" xfId="803"/>
    <cellStyle name="_JSWEL Advance Tax FY 2008-09_March2009 (final)" xfId="804"/>
    <cellStyle name="_JSWEL Fedding" xfId="805"/>
    <cellStyle name="_JSWEL Fedding_Xl0000004" xfId="806"/>
    <cellStyle name="_JSWEL GROUP'S FINANCIAL EXPOSURE-30.9.09" xfId="807"/>
    <cellStyle name="_JSWEL GROUP'S FINANCIAL EXPOSURE-30.9.09_Consolidated Finance Report 30.6.2010_RKS" xfId="808"/>
    <cellStyle name="_JSWEL_Accounts_201011_Sep_10" xfId="809"/>
    <cellStyle name="_JSWEL_Budget(draft) for FY 2011-12" xfId="810"/>
    <cellStyle name="_JSWEL_FD" xfId="811"/>
    <cellStyle name="_JSWEL_JSWEL Group's Financial Exposure_31.01.2010Final" xfId="812"/>
    <cellStyle name="_JSWEL_JSWEL GROUP'S FINANCIAL EXPOSURE-31.12.09_Final" xfId="813"/>
    <cellStyle name="_JSWEL_JSWEL GROUP'S FINANCIAL EXPOSURE-31.12.09_Final_Consolidated Finance Report 30.6.2010_RKS" xfId="814"/>
    <cellStyle name="_JSWEL_JSWEL SBU I" xfId="815"/>
    <cellStyle name="_JSWEL_JSWEL SBU I_Consolidated Finance Report-30.1.2010" xfId="816"/>
    <cellStyle name="_JSWEL_JSWEL SBU I_JSWEL GROUP'S FINANCIAL EXPOSURE-31.12.09_Final" xfId="817"/>
    <cellStyle name="_JSWEL_JSWEL SBU II" xfId="818"/>
    <cellStyle name="_JSWEL_JSWEL SBU II_Consolidated Finance Report-30.1.2010" xfId="819"/>
    <cellStyle name="_JSWEL_JSWEL SBU II_JSWEL GROUP'S FINANCIAL EXPOSURE-31.12.09_Final" xfId="820"/>
    <cellStyle name="_JSWEL_JSWERL " xfId="821"/>
    <cellStyle name="_JSWEL_JSWERL _Consolidated Finance Report-30.1.2010" xfId="822"/>
    <cellStyle name="_JSWEL_JSWERL _JSWEL GROUP'S FINANCIAL EXPOSURE-31.12.09_Final" xfId="823"/>
    <cellStyle name="_JSWEL_O&amp;M Budget(draft) for FY 2011-12" xfId="824"/>
    <cellStyle name="_JSWEL_PMC_FEE" xfId="825"/>
    <cellStyle name="_JSWEL_RWPL " xfId="826"/>
    <cellStyle name="_JSWEL_RWPL _Consolidated Finance Report-30.1.2010" xfId="827"/>
    <cellStyle name="_JSWEL_RWPL _JSWEL GROUP'S FINANCIAL EXPOSURE-31.12.09_Final" xfId="828"/>
    <cellStyle name="_JSWEL_Xl0000004" xfId="829"/>
    <cellStyle name="_JSWEVL Drawdown_2 Jan 09 " xfId="830"/>
    <cellStyle name="_JSWEVL Drawdown_2 Jan 09 _Accounts_201011_Sep_10" xfId="831"/>
    <cellStyle name="_JSWEVL Drawdown_2 Jan 09 _FD" xfId="832"/>
    <cellStyle name="_JSWEVL Drawdown_2 Jan 09 _JSWEL Group's Financial Exposure_31.01.2010Final" xfId="833"/>
    <cellStyle name="_JSWEVL Drawdown_2 Jan 09 _JSWEL GROUP'S FINANCIAL EXPOSURE-31.12.09_Final" xfId="834"/>
    <cellStyle name="_JSWEVL Drawdown_2 Jan 09 _JSWEL GROUP'S FINANCIAL EXPOSURE-31.12.09_Final_Consolidated Finance Report 30.6.2010_RKS" xfId="835"/>
    <cellStyle name="_JSWEVL Drawdown_2 Jan 09 _PMC_FEE" xfId="836"/>
    <cellStyle name="_JSWEVL Drawdown_2 Jan 09 _Xl0000004" xfId="837"/>
    <cellStyle name="_JSWEVL_200809_Opening_TB" xfId="838"/>
    <cellStyle name="_JSWEVL_200809_Opening_TB_Accounts_200809 (After discussion with bafnaji) (4May09)" xfId="839"/>
    <cellStyle name="_JSWEVL_200809_Opening_TB_Bank Loan Reco SBU II_28.2.10" xfId="840"/>
    <cellStyle name="_JSWEVL_200809_Opening_TB_Debt Servicing as on 31.5.2009_SBU II_cross check" xfId="841"/>
    <cellStyle name="_JSWEVL_200809_Opening_TB_Drawdown Working_JSWEL SBU II (JSWEVL)_Rs.15 CR._16.7.2009" xfId="842"/>
    <cellStyle name="_JSWEVL_200809_Opening_TB_Drawdown Working_JSWEL SBU II (JSWEVL)_Rs.15 CR._16.7.2009_Reply to Audit queries_22.4.2010(1)" xfId="843"/>
    <cellStyle name="_JSWEVL_200809_Opening_TB_Drawdown Working_JSWEL SBU II (JSWEVL)_Rs.21 CR._20.6.2009" xfId="844"/>
    <cellStyle name="_JSWEVL_200809_Opening_TB_Drawdown Working_JSWEL SBU II (JSWEVL)_Rs.21 CR._20.6.2009_Reply to Audit queries_22.4.2010(1)" xfId="845"/>
    <cellStyle name="_JSWEVL_200809_Opening_TB_Interest &amp; Budget Detail FY2010-11 (1)" xfId="846"/>
    <cellStyle name="_JSWEVL_200809_Opening_TB_LC MIS" xfId="847"/>
    <cellStyle name="_JSWEVL_200809_Opening_TB_LC MIS_Consolidated Finance Report 30.6.2010_RKS" xfId="848"/>
    <cellStyle name="_JSWEVL_200809_Opening_TB_Loan Balance Confirmation &amp; Reco. Dec. 2009_14.01.2010" xfId="849"/>
    <cellStyle name="_JSWEVL_200809_Opening_TB_Reply to Audit queries_22.4.2010(1)" xfId="850"/>
    <cellStyle name="_JSWEVL_200809_Opening_TB_Xl0000004" xfId="851"/>
    <cellStyle name="_JSWPTC final FY 2008-09" xfId="852"/>
    <cellStyle name="_JUNE-2004-CLOSING STOCK" xfId="853"/>
    <cellStyle name="_LAPPL_Unit I" xfId="854"/>
    <cellStyle name="_LC commission QE JUNE 2009FINAL" xfId="855"/>
    <cellStyle name="_LC commission QE JUNE 2009FINAL_JSWEL Group's Financial Exposure_31.01.2010Final" xfId="856"/>
    <cellStyle name="_LC commission QE JUNE 2009FINAL_JSWEL GROUP'S FINANCIAL EXPOSURE-31.12.09_Final" xfId="857"/>
    <cellStyle name="_LC commission QE JUNE 2009FINAL_JSWEL GROUP'S FINANCIAL EXPOSURE-31.12.09_Final_Consolidated Finance Report 30.6.2010_RKS" xfId="858"/>
    <cellStyle name="_LC commission QE JUNE 2009FINAL_Reply to Audit queries_22.4.2010(1)" xfId="859"/>
    <cellStyle name="_LC commission QE MAR 2009FINAL" xfId="860"/>
    <cellStyle name="_LC commission QE MAR 2009FINAL_Accounts_201011_Sep_10" xfId="861"/>
    <cellStyle name="_LC commission QE MAR 2009FINAL_FD" xfId="862"/>
    <cellStyle name="_LC commission QE MAR 2009FINAL_JSWEL Group's Financial Exposure_31.01.2010Final" xfId="863"/>
    <cellStyle name="_LC commission QE MAR 2009FINAL_JSWEL GROUP'S FINANCIAL EXPOSURE-31.12.09_Final" xfId="864"/>
    <cellStyle name="_LC commission QE MAR 2009FINAL_JSWEL GROUP'S FINANCIAL EXPOSURE-31.12.09_Final_Consolidated Finance Report 30.6.2010_RKS" xfId="865"/>
    <cellStyle name="_LC commission QE MAR 2009FINAL_PMC_FEE" xfId="866"/>
    <cellStyle name="_LC commission QE MAR 2009FINAL_Xl0000004" xfId="867"/>
    <cellStyle name="_LC commission QE SEPT 2009FINAL" xfId="868"/>
    <cellStyle name="_LC commission QE SEPT 2009FINAL_JSWEL Group's Financial Exposure_31.01.2010Final" xfId="869"/>
    <cellStyle name="_LC commission QE SEPT 2009FINAL_JSWEL GROUP'S FINANCIAL EXPOSURE-31.12.09_Final" xfId="870"/>
    <cellStyle name="_LC commission QE SEPT 2009FINAL_JSWEL GROUP'S FINANCIAL EXPOSURE-31.12.09_Final_Consolidated Finance Report 30.6.2010_RKS" xfId="871"/>
    <cellStyle name="_LC commission QE SEPT 2009FINAL_Reply to Audit queries_22.4.2010(1)" xfId="872"/>
    <cellStyle name="_LC detail_JSWEL SBU II_25.3.2009" xfId="873"/>
    <cellStyle name="_LC detail_JSWEL SBU II_25.3.2009_Reply to Audit queries_22.4.2010(1)" xfId="874"/>
    <cellStyle name="_LC Disbursement_14.4.09" xfId="875"/>
    <cellStyle name="_LC Disbursement_14.4.09_Reply to Audit queries_22.4.2010(1)" xfId="876"/>
    <cellStyle name="_LC MIS" xfId="877"/>
    <cellStyle name="_LC MIS_Consolidated Finance Report 30.6.2010_RKS" xfId="878"/>
    <cellStyle name="_LC MIS_JSWEL Group's Financial Exposure_31.01.2010Final" xfId="879"/>
    <cellStyle name="_LC MIS_JSWEL GROUP'S FINANCIAL EXPOSURE-31.12.09_Final" xfId="880"/>
    <cellStyle name="_LC MIS_JSWEL GROUP'S FINANCIAL EXPOSURE-31.12.09_Final_Consolidated Finance Report 30.6.2010_RKS" xfId="881"/>
    <cellStyle name="_Lotus Financial Model_Pr Cost" xfId="882"/>
    <cellStyle name="_M.TC" xfId="883"/>
    <cellStyle name="_M.TC_Xl0000004" xfId="884"/>
    <cellStyle name="_M_TC_G677" xfId="885"/>
    <cellStyle name="_M_TC_G677_Xl0000004" xfId="886"/>
    <cellStyle name="_MAIL-2 (2)" xfId="887"/>
    <cellStyle name="_MAIL-2 (2)_Xl0000004" xfId="888"/>
    <cellStyle name="_MDA 31.3.2009" xfId="889"/>
    <cellStyle name="_MDA 31.3.2009_Consolidated Finance Report 30.6.2010_RKS" xfId="890"/>
    <cellStyle name="_mltc761" xfId="891"/>
    <cellStyle name="_mltc761_Xl0000004" xfId="892"/>
    <cellStyle name="_Model- GoI Bid - April 3.2" xfId="893"/>
    <cellStyle name="_Model_IL NTPC case_Sep 12_dr 1" xfId="894"/>
    <cellStyle name="_MTC" xfId="895"/>
    <cellStyle name="_MTC 252" xfId="896"/>
    <cellStyle name="_MTC 252_Xl0000004" xfId="897"/>
    <cellStyle name="_MTC_714" xfId="898"/>
    <cellStyle name="_MTC_714_Xl0000004" xfId="899"/>
    <cellStyle name="_MTC_Xl0000004" xfId="900"/>
    <cellStyle name="_Multiple" xfId="901"/>
    <cellStyle name="_Multiple 2" xfId="902"/>
    <cellStyle name="_Multiple_02_Proj. Cloud - Mgmt Case2" xfId="903"/>
    <cellStyle name="_Multiple_03 VUP operating model 21 Sep v4" xfId="904"/>
    <cellStyle name="_Multiple_Copy of Fidji Financial Model - tdw - 19 September " xfId="905"/>
    <cellStyle name="_Multiple_CSEB LBO Shell v11.1-cs" xfId="906"/>
    <cellStyle name="_Multiple_CSEB Model CS v56.3" xfId="907"/>
    <cellStyle name="_Multiple_Data S&amp;T Acquisition charts" xfId="908"/>
    <cellStyle name="_Multiple_Data S&amp;T Acquisition charts_Bridge" xfId="909"/>
    <cellStyle name="_Multiple_Data S&amp;T Acquisition charts_Draft Final Sources  Uses V4" xfId="910"/>
    <cellStyle name="_Multiple_Data S&amp;T Acquisition charts_Nobu Model.v.4" xfId="911"/>
    <cellStyle name="_Multiple_Data S&amp;T Acquisition charts_Operating Model v2" xfId="912"/>
    <cellStyle name="_Multiple_Data S&amp;T Acquisition charts_Operating Model v4" xfId="913"/>
    <cellStyle name="_Multiple_Data S&amp;T Acquisition charts_TdF Model v2.1" xfId="914"/>
    <cellStyle name="_Multiple_dcf" xfId="915"/>
    <cellStyle name="_Multiple_TIM Hellas LBO Model DMCC II" xfId="916"/>
    <cellStyle name="_Multiple_TIM Hellas LBO Model DMCC II_New Template Model With Stub_v1.12" xfId="917"/>
    <cellStyle name="_Multiple_TIM Hellas LBO Model DMCC II_Nobu Model LevFin v32- Jan 2007 Recap DMCC" xfId="918"/>
    <cellStyle name="_MultipleSpace" xfId="919"/>
    <cellStyle name="_MultipleSpace 2" xfId="920"/>
    <cellStyle name="_MultipleSpace_02_Proj. Cloud - Mgmt Case2" xfId="921"/>
    <cellStyle name="_MultipleSpace_03 VUP operating model 21 Sep v4" xfId="922"/>
    <cellStyle name="_MultipleSpace_Data S&amp;T Acquisition charts" xfId="923"/>
    <cellStyle name="_MultipleSpace_Data S&amp;T Acquisition charts_Bridge" xfId="924"/>
    <cellStyle name="_MultipleSpace_Data S&amp;T Acquisition charts_Draft Final Sources  Uses V4" xfId="925"/>
    <cellStyle name="_MultipleSpace_Data S&amp;T Acquisition charts_Force Operating Model 050202 01" xfId="926"/>
    <cellStyle name="_MultipleSpace_Data S&amp;T Acquisition charts_Nobu Model.v.4" xfId="927"/>
    <cellStyle name="_MultipleSpace_Data S&amp;T Acquisition charts_Operating Model v2" xfId="928"/>
    <cellStyle name="_MultipleSpace_Data S&amp;T Acquisition charts_Operating Model v4" xfId="929"/>
    <cellStyle name="_MultipleSpace_Data S&amp;T Acquisition charts_TdF Model v2.1" xfId="930"/>
    <cellStyle name="_MultipleSpace_dcf" xfId="931"/>
    <cellStyle name="_MultipleSpace_TIM Hellas LBO Model DMCC II" xfId="932"/>
    <cellStyle name="_MultipleSpace_TIM Hellas LBO Model DMCC II_New Template Model With Stub_v1.12" xfId="933"/>
    <cellStyle name="_MultipleSpace_TIM Hellas LBO Model DMCC II_Nobu Model LevFin v32- Jan 2007 Recap DMCC" xfId="934"/>
    <cellStyle name="_Number" xfId="935"/>
    <cellStyle name="_Number0" xfId="936"/>
    <cellStyle name="_Number00" xfId="937"/>
    <cellStyle name="_Operating Model_061105_v93" xfId="938"/>
    <cellStyle name="_Operating Model_061105_v99" xfId="939"/>
    <cellStyle name="_PACK" xfId="940"/>
    <cellStyle name="_PACK_Xl0000004" xfId="941"/>
    <cellStyle name="_Pekari - 427" xfId="942"/>
    <cellStyle name="_Pekari - 427_Xl0000004" xfId="943"/>
    <cellStyle name="_Pekari - 431" xfId="944"/>
    <cellStyle name="_Pekari - 431_Xl0000004" xfId="945"/>
    <cellStyle name="_Pekari - 446" xfId="946"/>
    <cellStyle name="_Pekari - 446_Xl0000004" xfId="947"/>
    <cellStyle name="_Percent" xfId="948"/>
    <cellStyle name="_Percent_02_Proj. Cloud - Mgmt Case2" xfId="949"/>
    <cellStyle name="_Percent_Bridge" xfId="950"/>
    <cellStyle name="_Percent_Draft Final Sources  Uses V4" xfId="951"/>
    <cellStyle name="_Percent_Nobu Model.v.4" xfId="952"/>
    <cellStyle name="_Percent_Operating Model v2" xfId="953"/>
    <cellStyle name="_Percent_Operating Model v4" xfId="954"/>
    <cellStyle name="_Percent_TdF Model v2.1" xfId="955"/>
    <cellStyle name="_Percent_TIM Hellas LBO Model DMCC II" xfId="956"/>
    <cellStyle name="_PercentSpace" xfId="957"/>
    <cellStyle name="_PercentSpace_TIM Hellas LBO Model DMCC II" xfId="958"/>
    <cellStyle name="_Performance_200910_Mar-10" xfId="959"/>
    <cellStyle name="_PL" xfId="960"/>
    <cellStyle name="_PL GALV713" xfId="961"/>
    <cellStyle name="_PL GALV713_Xl0000004" xfId="962"/>
    <cellStyle name="_PL_Xl0000004" xfId="963"/>
    <cellStyle name="_PMC 200910 RE (3)" xfId="964"/>
    <cellStyle name="_PMC 200910_April09" xfId="965"/>
    <cellStyle name="_PMC 200910_Junel09" xfId="966"/>
    <cellStyle name="_Project Manjari_Feb 25" xfId="967"/>
    <cellStyle name="_Project Rock _020407 (1)" xfId="968"/>
    <cellStyle name="_Project Rock Mod Fomento _010307 (2)" xfId="969"/>
    <cellStyle name="_Recovery Items" xfId="970"/>
    <cellStyle name="_Repmnt &amp; Int. Related data_JSWEL &amp; subs._12.10.2009_Sudarsan" xfId="971"/>
    <cellStyle name="_Repmnt &amp; Int. Related data_JSWEL &amp; subs._12.10.2009_Sudarsan_Consolidated Finance Report 30.6.2010_RKS" xfId="972"/>
    <cellStyle name="_Repmnt &amp; Int. Related data_JSWEL &amp; subs._12.10.2009_Sudarsan_JSWEL Group's Financial Exposure_31.01.2010Final" xfId="973"/>
    <cellStyle name="_Repmnt &amp; Int. Related data_JSWEL &amp; subs._12.10.2009_Sudarsan_JSWEL GROUP'S FINANCIAL EXPOSURE-31.12.09_Final" xfId="974"/>
    <cellStyle name="_Repmnt &amp; Int. Related data_JSWEL &amp; subs._12.10.2009_Sudarsan_JSWEL GROUP'S FINANCIAL EXPOSURE-31.12.09_Final_Consolidated Finance Report 30.6.2010_RKS" xfId="975"/>
    <cellStyle name="_REVISED spec ITEM # 1 GALV153" xfId="976"/>
    <cellStyle name="_REVISED spec ITEM # 1 GALV153_Xl0000004" xfId="977"/>
    <cellStyle name="_Roba Metals - 124" xfId="978"/>
    <cellStyle name="_Roba Metals - 124_Xl0000004" xfId="979"/>
    <cellStyle name="_Roba Metals - 584" xfId="980"/>
    <cellStyle name="_Roba Metals - 584_Xl0000004" xfId="981"/>
    <cellStyle name="_RowHead" xfId="982"/>
    <cellStyle name="_RTL Statement &amp; LC Detail_30.4.09_SBU II_JSWEL" xfId="983"/>
    <cellStyle name="_RTL Statement &amp; LC Detail_30.4.09_SBU II_JSWEL_JSWEL Group's Financial Exposure_31.01.2010Final" xfId="984"/>
    <cellStyle name="_RTL Statement &amp; LC Detail_30.4.09_SBU II_JSWEL_JSWEL GROUP'S FINANCIAL EXPOSURE-31.12.09_Final" xfId="985"/>
    <cellStyle name="_RTL Statement &amp; LC Detail_30.4.09_SBU II_JSWEL_JSWEL GROUP'S FINANCIAL EXPOSURE-31.12.09_Final_Consolidated Finance Report 30.6.2010_RKS" xfId="986"/>
    <cellStyle name="_RTL Statement &amp; LC Detail_30.4.09_SBU II_JSWEL_Reply to Audit queries_22.4.2010(1)" xfId="987"/>
    <cellStyle name="_RWPL " xfId="988"/>
    <cellStyle name="_RWPL _Accounts_201011_Sep_10" xfId="989"/>
    <cellStyle name="_RWPL _Budget(draft) for FY 2011-12" xfId="990"/>
    <cellStyle name="_RWPL _FD" xfId="991"/>
    <cellStyle name="_RWPL _JSWEL Group's Financial Exposure_31.01.2010Final" xfId="992"/>
    <cellStyle name="_RWPL _JSWEL GROUP'S FINANCIAL EXPOSURE-31.12.09_Final" xfId="993"/>
    <cellStyle name="_RWPL _JSWEL GROUP'S FINANCIAL EXPOSURE-31.12.09_Final_Consolidated Finance Report 30.6.2010_RKS" xfId="994"/>
    <cellStyle name="_RWPL _JSWEL SBU I" xfId="995"/>
    <cellStyle name="_RWPL _JSWEL SBU I_Consolidated Finance Report-30.1.2010" xfId="996"/>
    <cellStyle name="_RWPL _JSWEL SBU I_JSWEL GROUP'S FINANCIAL EXPOSURE-31.12.09_Final" xfId="997"/>
    <cellStyle name="_RWPL _JSWEL SBU II" xfId="998"/>
    <cellStyle name="_RWPL _JSWEL SBU II_Consolidated Finance Report-30.1.2010" xfId="999"/>
    <cellStyle name="_RWPL _JSWEL SBU II_JSWEL GROUP'S FINANCIAL EXPOSURE-31.12.09_Final" xfId="1000"/>
    <cellStyle name="_RWPL _JSWERL " xfId="1001"/>
    <cellStyle name="_RWPL _JSWERL _Consolidated Finance Report-30.1.2010" xfId="1002"/>
    <cellStyle name="_RWPL _JSWERL _JSWEL GROUP'S FINANCIAL EXPOSURE-31.12.09_Final" xfId="1003"/>
    <cellStyle name="_RWPL _O&amp;M Budget(draft) for FY 2011-12" xfId="1004"/>
    <cellStyle name="_RWPL _PMC_FEE" xfId="1005"/>
    <cellStyle name="_RWPL _RWPL " xfId="1006"/>
    <cellStyle name="_RWPL _RWPL _Consolidated Finance Report-30.1.2010" xfId="1007"/>
    <cellStyle name="_RWPL _RWPL _JSWEL GROUP'S FINANCIAL EXPOSURE-31.12.09_Final" xfId="1008"/>
    <cellStyle name="_RWPL _Xl0000004" xfId="1009"/>
    <cellStyle name="_Sales &amp; Fuel SBU 1 &amp; 2" xfId="1010"/>
    <cellStyle name="_Sales_ Fuel data_200910" xfId="1011"/>
    <cellStyle name="_Sales_Fuel_Cost_200910_SBU2" xfId="1012"/>
    <cellStyle name="_Sales_Fuel_Cost_200910_SBU2_FD" xfId="1013"/>
    <cellStyle name="_Sales_Fuel_Cost_200910_SBU2_Performance_200910_Mar-10" xfId="1014"/>
    <cellStyle name="_SBU II Sales &amp; Fuel" xfId="1015"/>
    <cellStyle name="_SBU II Sales &amp; Fuel_FD" xfId="1016"/>
    <cellStyle name="_SBU II Sales &amp; Fuel_Performance_200910_Mar-10" xfId="1017"/>
    <cellStyle name="_Sea Crest - 434REALL" xfId="1018"/>
    <cellStyle name="_Sea Crest - 434REALL_Xl0000004" xfId="1019"/>
    <cellStyle name="_Service Centre - Financial Model-071106" xfId="1020"/>
    <cellStyle name="_Sheet1" xfId="1021"/>
    <cellStyle name="_SHEET1 (2)" xfId="1022"/>
    <cellStyle name="_SHEET1 (2)_Xl0000004" xfId="1023"/>
    <cellStyle name="_Sheet1 (3)" xfId="1024"/>
    <cellStyle name="_Sheet1 (3)_Xl0000004" xfId="1025"/>
    <cellStyle name="_Sheet1_Xl0000004" xfId="1026"/>
    <cellStyle name="_Sheet2" xfId="1027"/>
    <cellStyle name="_Sheet2_Consolidated Finance Report 30.6.2010_RKS" xfId="1028"/>
    <cellStyle name="_SICIM - 518" xfId="1029"/>
    <cellStyle name="_SICIM - 518_Xl0000004" xfId="1030"/>
    <cellStyle name="_Sideralba - 512" xfId="1031"/>
    <cellStyle name="_Sideralba - 512_Xl0000004" xfId="1032"/>
    <cellStyle name="_Sideralba - 549" xfId="1033"/>
    <cellStyle name="_Sideralba - 549_Xl0000004" xfId="1034"/>
    <cellStyle name="_SIZESGALV253" xfId="1035"/>
    <cellStyle name="_SIZESGALV253_Xl0000004" xfId="1036"/>
    <cellStyle name="_SPEC" xfId="1037"/>
    <cellStyle name="_spec (2)" xfId="1038"/>
    <cellStyle name="_spec (2)_Xl0000004" xfId="1039"/>
    <cellStyle name="_SPEC 230" xfId="1040"/>
    <cellStyle name="_SPEC 230_Xl0000004" xfId="1041"/>
    <cellStyle name="_SPEC 233" xfId="1042"/>
    <cellStyle name="_SPEC 233_Xl0000004" xfId="1043"/>
    <cellStyle name="_SPEC 234" xfId="1044"/>
    <cellStyle name="_SPEC 234_Xl0000004" xfId="1045"/>
    <cellStyle name="_spec 238" xfId="1046"/>
    <cellStyle name="_spec 238_Xl0000004" xfId="1047"/>
    <cellStyle name="_SPEC 244" xfId="1048"/>
    <cellStyle name="_SPEC 244_Xl0000004" xfId="1049"/>
    <cellStyle name="_SPEC 268" xfId="1050"/>
    <cellStyle name="_SPEC 268_Xl0000004" xfId="1051"/>
    <cellStyle name="_spec 389" xfId="1052"/>
    <cellStyle name="_spec 389_Xl0000004" xfId="1053"/>
    <cellStyle name="_SPEC_Xl0000004" xfId="1054"/>
    <cellStyle name="_spec198" xfId="1055"/>
    <cellStyle name="_spec198_Xl0000004" xfId="1056"/>
    <cellStyle name="_SPEC200" xfId="1057"/>
    <cellStyle name="_SPEC200_Xl0000004" xfId="1058"/>
    <cellStyle name="_spec202" xfId="1059"/>
    <cellStyle name="_spec202_Xl0000004" xfId="1060"/>
    <cellStyle name="_SPEC203" xfId="1061"/>
    <cellStyle name="_SPEC203_Xl0000004" xfId="1062"/>
    <cellStyle name="_SPEC204" xfId="1063"/>
    <cellStyle name="_SPEC204_Xl0000004" xfId="1064"/>
    <cellStyle name="_SPEC206" xfId="1065"/>
    <cellStyle name="_SPEC206_Xl0000004" xfId="1066"/>
    <cellStyle name="_spec219" xfId="1067"/>
    <cellStyle name="_spec219_Xl0000004" xfId="1068"/>
    <cellStyle name="_spec222" xfId="1069"/>
    <cellStyle name="_spec222_Xl0000004" xfId="1070"/>
    <cellStyle name="_SPEC225" xfId="1071"/>
    <cellStyle name="_SPEC225_Xl0000004" xfId="1072"/>
    <cellStyle name="_SPEC231" xfId="1073"/>
    <cellStyle name="_SPEC231_Xl0000004" xfId="1074"/>
    <cellStyle name="_SPEC245" xfId="1075"/>
    <cellStyle name="_SPEC245_Xl0000004" xfId="1076"/>
    <cellStyle name="_spec254" xfId="1077"/>
    <cellStyle name="_spec254_Xl0000004" xfId="1078"/>
    <cellStyle name="_spec255" xfId="1079"/>
    <cellStyle name="_spec255_Xl0000004" xfId="1080"/>
    <cellStyle name="_spec260" xfId="1081"/>
    <cellStyle name="_spec260_Xl0000004" xfId="1082"/>
    <cellStyle name="_SPEC263" xfId="1083"/>
    <cellStyle name="_SPEC263_Xl0000004" xfId="1084"/>
    <cellStyle name="_spec270" xfId="1085"/>
    <cellStyle name="_spec270_Xl0000004" xfId="1086"/>
    <cellStyle name="_SPEC282" xfId="1087"/>
    <cellStyle name="_SPEC282_Xl0000004" xfId="1088"/>
    <cellStyle name="_SPEC284" xfId="1089"/>
    <cellStyle name="_SPEC284_Xl0000004" xfId="1090"/>
    <cellStyle name="_SPEC285" xfId="1091"/>
    <cellStyle name="_SPEC285_Xl0000004" xfId="1092"/>
    <cellStyle name="_SPEC287" xfId="1093"/>
    <cellStyle name="_SPEC287_Xl0000004" xfId="1094"/>
    <cellStyle name="_SPEC288" xfId="1095"/>
    <cellStyle name="_SPEC288_Xl0000004" xfId="1096"/>
    <cellStyle name="_SPEC290" xfId="1097"/>
    <cellStyle name="_SPEC290_Xl0000004" xfId="1098"/>
    <cellStyle name="_SPEC291" xfId="1099"/>
    <cellStyle name="_SPEC291_Xl0000004" xfId="1100"/>
    <cellStyle name="_SPEC292" xfId="1101"/>
    <cellStyle name="_SPEC292_Xl0000004" xfId="1102"/>
    <cellStyle name="_spec293" xfId="1103"/>
    <cellStyle name="_spec293_Xl0000004" xfId="1104"/>
    <cellStyle name="_spec294" xfId="1105"/>
    <cellStyle name="_spec294_Xl0000004" xfId="1106"/>
    <cellStyle name="_SPEC296" xfId="1107"/>
    <cellStyle name="_SPEC296_Xl0000004" xfId="1108"/>
    <cellStyle name="_spec299" xfId="1109"/>
    <cellStyle name="_spec299_Xl0000004" xfId="1110"/>
    <cellStyle name="_spec303" xfId="1111"/>
    <cellStyle name="_spec303_Xl0000004" xfId="1112"/>
    <cellStyle name="_SPEC306" xfId="1113"/>
    <cellStyle name="_SPEC306_Xl0000004" xfId="1114"/>
    <cellStyle name="_spec307" xfId="1115"/>
    <cellStyle name="_spec307_Xl0000004" xfId="1116"/>
    <cellStyle name="_spec309" xfId="1117"/>
    <cellStyle name="_spec309_Xl0000004" xfId="1118"/>
    <cellStyle name="_spec310" xfId="1119"/>
    <cellStyle name="_spec310_Xl0000004" xfId="1120"/>
    <cellStyle name="_SPEC316" xfId="1121"/>
    <cellStyle name="_SPEC316_Xl0000004" xfId="1122"/>
    <cellStyle name="_SPEC319" xfId="1123"/>
    <cellStyle name="_SPEC319_Xl0000004" xfId="1124"/>
    <cellStyle name="_spec320" xfId="1125"/>
    <cellStyle name="_spec320_Xl0000004" xfId="1126"/>
    <cellStyle name="_SPEC321" xfId="1127"/>
    <cellStyle name="_SPEC321_Xl0000004" xfId="1128"/>
    <cellStyle name="_SPEC321R" xfId="1129"/>
    <cellStyle name="_SPEC321R_Xl0000004" xfId="1130"/>
    <cellStyle name="_SPEC322" xfId="1131"/>
    <cellStyle name="_SPEC322_Xl0000004" xfId="1132"/>
    <cellStyle name="_SPEC324" xfId="1133"/>
    <cellStyle name="_SPEC324_Xl0000004" xfId="1134"/>
    <cellStyle name="_SPEC325" xfId="1135"/>
    <cellStyle name="_SPEC325_Xl0000004" xfId="1136"/>
    <cellStyle name="_SPEC330" xfId="1137"/>
    <cellStyle name="_SPEC330_Xl0000004" xfId="1138"/>
    <cellStyle name="_spec335" xfId="1139"/>
    <cellStyle name="_spec335_Xl0000004" xfId="1140"/>
    <cellStyle name="_SPEC336" xfId="1141"/>
    <cellStyle name="_SPEC336_Xl0000004" xfId="1142"/>
    <cellStyle name="_SPEC337" xfId="1143"/>
    <cellStyle name="_SPEC337_Xl0000004" xfId="1144"/>
    <cellStyle name="_SPEC339" xfId="1145"/>
    <cellStyle name="_SPEC339_Xl0000004" xfId="1146"/>
    <cellStyle name="_SPEC340" xfId="1147"/>
    <cellStyle name="_SPEC340_Xl0000004" xfId="1148"/>
    <cellStyle name="_SPEC343" xfId="1149"/>
    <cellStyle name="_SPEC343_Xl0000004" xfId="1150"/>
    <cellStyle name="_spec344" xfId="1151"/>
    <cellStyle name="_spec344_Xl0000004" xfId="1152"/>
    <cellStyle name="_spec345" xfId="1153"/>
    <cellStyle name="_spec345_Xl0000004" xfId="1154"/>
    <cellStyle name="_spec348" xfId="1155"/>
    <cellStyle name="_spec348_Xl0000004" xfId="1156"/>
    <cellStyle name="_SPEC356" xfId="1157"/>
    <cellStyle name="_SPEC356_Xl0000004" xfId="1158"/>
    <cellStyle name="_spec357" xfId="1159"/>
    <cellStyle name="_spec357_Xl0000004" xfId="1160"/>
    <cellStyle name="_spec358" xfId="1161"/>
    <cellStyle name="_spec358_Xl0000004" xfId="1162"/>
    <cellStyle name="_SPEC359" xfId="1163"/>
    <cellStyle name="_SPEC359_Xl0000004" xfId="1164"/>
    <cellStyle name="_SPEC360" xfId="1165"/>
    <cellStyle name="_SPEC360_Xl0000004" xfId="1166"/>
    <cellStyle name="_SPEC361" xfId="1167"/>
    <cellStyle name="_SPEC361_Xl0000004" xfId="1168"/>
    <cellStyle name="_SPEC362" xfId="1169"/>
    <cellStyle name="_SPEC362_Xl0000004" xfId="1170"/>
    <cellStyle name="_SPEC363" xfId="1171"/>
    <cellStyle name="_SPEC363_Xl0000004" xfId="1172"/>
    <cellStyle name="_SPEC364" xfId="1173"/>
    <cellStyle name="_SPEC364_Xl0000004" xfId="1174"/>
    <cellStyle name="_SPEC365" xfId="1175"/>
    <cellStyle name="_SPEC365_Xl0000004" xfId="1176"/>
    <cellStyle name="_SPEC366" xfId="1177"/>
    <cellStyle name="_SPEC366_Xl0000004" xfId="1178"/>
    <cellStyle name="_SPEC369" xfId="1179"/>
    <cellStyle name="_SPEC369_Xl0000004" xfId="1180"/>
    <cellStyle name="_SPEC370" xfId="1181"/>
    <cellStyle name="_SPEC370_Xl0000004" xfId="1182"/>
    <cellStyle name="_SPEC371" xfId="1183"/>
    <cellStyle name="_SPEC371_Xl0000004" xfId="1184"/>
    <cellStyle name="_SPEC372" xfId="1185"/>
    <cellStyle name="_SPEC372_Xl0000004" xfId="1186"/>
    <cellStyle name="_SPEC376" xfId="1187"/>
    <cellStyle name="_SPEC376_Xl0000004" xfId="1188"/>
    <cellStyle name="_SPEC378" xfId="1189"/>
    <cellStyle name="_SPEC378_Xl0000004" xfId="1190"/>
    <cellStyle name="_SPEC379" xfId="1191"/>
    <cellStyle name="_SPEC379_Xl0000004" xfId="1192"/>
    <cellStyle name="_SPEC380" xfId="1193"/>
    <cellStyle name="_SPEC380_Xl0000004" xfId="1194"/>
    <cellStyle name="_SPEC382" xfId="1195"/>
    <cellStyle name="_SPEC382_Xl0000004" xfId="1196"/>
    <cellStyle name="_SPEC383" xfId="1197"/>
    <cellStyle name="_SPEC383_Xl0000004" xfId="1198"/>
    <cellStyle name="_SPEC386" xfId="1199"/>
    <cellStyle name="_SPEC386_Xl0000004" xfId="1200"/>
    <cellStyle name="_spec388" xfId="1201"/>
    <cellStyle name="_spec388_Xl0000004" xfId="1202"/>
    <cellStyle name="_SPEC402" xfId="1203"/>
    <cellStyle name="_SPEC402_Xl0000004" xfId="1204"/>
    <cellStyle name="_spec409" xfId="1205"/>
    <cellStyle name="_spec409_Xl0000004" xfId="1206"/>
    <cellStyle name="_SPEC410R" xfId="1207"/>
    <cellStyle name="_SPEC410R_Xl0000004" xfId="1208"/>
    <cellStyle name="_SPEC420" xfId="1209"/>
    <cellStyle name="_SPEC420_Xl0000004" xfId="1210"/>
    <cellStyle name="_SPEC422" xfId="1211"/>
    <cellStyle name="_SPEC422_Xl0000004" xfId="1212"/>
    <cellStyle name="_spec423" xfId="1213"/>
    <cellStyle name="_spec423_Xl0000004" xfId="1214"/>
    <cellStyle name="_Steel Invest - 186" xfId="1215"/>
    <cellStyle name="_Steel Invest - 186_Xl0000004" xfId="1216"/>
    <cellStyle name="_Steel Invest - 188" xfId="1217"/>
    <cellStyle name="_Steel Invest - 188_Xl0000004" xfId="1218"/>
    <cellStyle name="_Stemcor - 474" xfId="1219"/>
    <cellStyle name="_Stemcor - 474_Xl0000004" xfId="1220"/>
    <cellStyle name="_SubHeading" xfId="1221"/>
    <cellStyle name="_SubHeading 2" xfId="1222"/>
    <cellStyle name="_SubHeading_02_Proj. Cloud - Mgmt Case2" xfId="1223"/>
    <cellStyle name="_SubHeading_03 VUP operating model 21 Sep v4" xfId="1224"/>
    <cellStyle name="_SubHeading_03 VUP operating model 21 Sep v4_01A25-01-04" xfId="1225"/>
    <cellStyle name="_SubHeading_03 VUP operating model 21 Sep v4_02A 05-02-04" xfId="1226"/>
    <cellStyle name="_SubHeading_03 VUP operating model 21 Sep v4_02Analysis - SBA" xfId="1227"/>
    <cellStyle name="_SubHeading_03 VUP operating model 21 Sep v4_02Bridges" xfId="1228"/>
    <cellStyle name="_SubHeading_03 VUP operating model 21 Sep v4_03 31-01-04" xfId="1229"/>
    <cellStyle name="_SubHeading_03 VUP operating model 21 Sep v4_03A25-01-04" xfId="1230"/>
    <cellStyle name="_SubHeading_03 VUP operating model 21 Sep v4_06A 0202-04" xfId="1231"/>
    <cellStyle name="_SubHeading_03 VUP operating model 21 Sep v4_08A 0202-04" xfId="1232"/>
    <cellStyle name="_SubHeading_03 VUP operating model 21 Sep v4_12Last" xfId="1233"/>
    <cellStyle name="_SubHeading_03 VUP operating model 21 Sep v4_25-01-04" xfId="1234"/>
    <cellStyle name="_SubHeading_03 VUP operating model 21 Sep v4_A Dynamit 13-01-03" xfId="1235"/>
    <cellStyle name="_SubHeading_03 VUP operating model 21 Sep v4_Bridges" xfId="1236"/>
    <cellStyle name="_SubHeading_03 VUP operating model 21 Sep v4_C Dynamit 12-01-03" xfId="1237"/>
    <cellStyle name="_SubHeading_03 VUP operating model 21 Sep v4_Dynamit 12-01-03" xfId="1238"/>
    <cellStyle name="_SubHeading_03 VUP operating model 21 Sep v4_Dynamit 13-01-03" xfId="1239"/>
    <cellStyle name="_SubHeading_03 VUP operating model 21 Sep v4_Dynamit 13-01-03 (version 1)" xfId="1240"/>
    <cellStyle name="_SubHeading_03 VUP operating model 21 Sep v4_Dynamit Nobel 21-01-03" xfId="1241"/>
    <cellStyle name="_SubHeading_03 VUP operating model 21 Sep v4_financial model 040107 01" xfId="1242"/>
    <cellStyle name="_SubHeading_03 VUP operating model 21 Sep v4_financial model 040108 01" xfId="1243"/>
    <cellStyle name="_SubHeading_03 VUP operating model 21 Sep v4_financial model 040108 02" xfId="1244"/>
    <cellStyle name="_SubHeading_03 VUP operating model 21 Sep v4_financial model 040108 05" xfId="1245"/>
    <cellStyle name="_SubHeading_03 VUP operating model 21 Sep v4_financial model 040108 06" xfId="1246"/>
    <cellStyle name="_SubHeading_03 VUP operating model 21 Sep v4_financial model 040108 07" xfId="1247"/>
    <cellStyle name="_SubHeading_03 VUP operating model 21 Sep v4_financial model 040108 08" xfId="1248"/>
    <cellStyle name="_SubHeading_03 VUP operating model 21 Sep v4_financial model ex Adv Cer 040311 02" xfId="1249"/>
    <cellStyle name="_SubHeading_03 VUP operating model 21 Sep v4_financial model new VDD 040329 03" xfId="1250"/>
    <cellStyle name="_SubHeading_03 VUP operating model 21 Sep v4_financial model splitup 040124 01" xfId="1251"/>
    <cellStyle name="_SubHeading_03 VUP operating model 21 Sep v4_Go-Ahead v1.1" xfId="1252"/>
    <cellStyle name="_SubHeading_03 VUP operating model 21 Sep v4_Key Financials" xfId="1253"/>
    <cellStyle name="_SubHeading_03 VUP operating model 21 Sep v4_Nestor v1.1" xfId="1254"/>
    <cellStyle name="_SubHeading_03 VUP operating model 21 Sep v4_pagestoIBK1" xfId="1255"/>
    <cellStyle name="_SubHeading_03 VUP operating model 21 Sep v4_Sales Bridges" xfId="1256"/>
    <cellStyle name="_SubHeading_lbo_long_model" xfId="1257"/>
    <cellStyle name="_SubHeading_lbo_long_model_01A25-01-04" xfId="1258"/>
    <cellStyle name="_SubHeading_lbo_long_model_02A 05-02-04" xfId="1259"/>
    <cellStyle name="_SubHeading_lbo_long_model_02Analysis - SBA" xfId="1260"/>
    <cellStyle name="_SubHeading_lbo_long_model_02Bridges" xfId="1261"/>
    <cellStyle name="_SubHeading_lbo_long_model_03 31-01-04" xfId="1262"/>
    <cellStyle name="_SubHeading_lbo_long_model_03A25-01-04" xfId="1263"/>
    <cellStyle name="_SubHeading_lbo_long_model_06A 0202-04" xfId="1264"/>
    <cellStyle name="_SubHeading_lbo_long_model_08A 0202-04" xfId="1265"/>
    <cellStyle name="_SubHeading_lbo_long_model_12Last" xfId="1266"/>
    <cellStyle name="_SubHeading_lbo_long_model_25-01-04" xfId="1267"/>
    <cellStyle name="_SubHeading_lbo_long_model_A Dynamit 13-01-03" xfId="1268"/>
    <cellStyle name="_SubHeading_lbo_long_model_Bridges" xfId="1269"/>
    <cellStyle name="_SubHeading_lbo_long_model_C Dynamit 12-01-03" xfId="1270"/>
    <cellStyle name="_SubHeading_lbo_long_model_Dynamit 12-01-03" xfId="1271"/>
    <cellStyle name="_SubHeading_lbo_long_model_Dynamit 13-01-03" xfId="1272"/>
    <cellStyle name="_SubHeading_lbo_long_model_Dynamit 13-01-03 (version 1)" xfId="1273"/>
    <cellStyle name="_SubHeading_lbo_long_model_Dynamit Nobel 21-01-03" xfId="1274"/>
    <cellStyle name="_SubHeading_lbo_long_model_financial model 040107 01" xfId="1275"/>
    <cellStyle name="_SubHeading_lbo_long_model_financial model 040108 01" xfId="1276"/>
    <cellStyle name="_SubHeading_lbo_long_model_financial model 040108 02" xfId="1277"/>
    <cellStyle name="_SubHeading_lbo_long_model_financial model 040108 05" xfId="1278"/>
    <cellStyle name="_SubHeading_lbo_long_model_financial model 040108 06" xfId="1279"/>
    <cellStyle name="_SubHeading_lbo_long_model_financial model 040108 07" xfId="1280"/>
    <cellStyle name="_SubHeading_lbo_long_model_financial model 040108 08" xfId="1281"/>
    <cellStyle name="_SubHeading_lbo_long_model_financial model ex Adv Cer 040311 02" xfId="1282"/>
    <cellStyle name="_SubHeading_lbo_long_model_financial model new VDD 040329 03" xfId="1283"/>
    <cellStyle name="_SubHeading_lbo_long_model_financial model splitup 040124 01" xfId="1284"/>
    <cellStyle name="_SubHeading_lbo_long_model_Go-Ahead v1.1" xfId="1285"/>
    <cellStyle name="_SubHeading_lbo_long_model_Key Financials" xfId="1286"/>
    <cellStyle name="_SubHeading_lbo_long_model_Nestor v1.1" xfId="1287"/>
    <cellStyle name="_SubHeading_lbo_long_model_pagestoIBK1" xfId="1288"/>
    <cellStyle name="_SubHeading_lbo_long_model_Sales Bridges" xfId="1289"/>
    <cellStyle name="_SubHeading_prestemp" xfId="1290"/>
    <cellStyle name="_SubHeading_prestemp_01A25-01-04" xfId="1291"/>
    <cellStyle name="_SubHeading_prestemp_02A 05-02-04" xfId="1292"/>
    <cellStyle name="_SubHeading_prestemp_02Analysis - SBA" xfId="1293"/>
    <cellStyle name="_SubHeading_prestemp_02Bridges" xfId="1294"/>
    <cellStyle name="_SubHeading_prestemp_03 31-01-04" xfId="1295"/>
    <cellStyle name="_SubHeading_prestemp_03A25-01-04" xfId="1296"/>
    <cellStyle name="_SubHeading_prestemp_06A 0202-04" xfId="1297"/>
    <cellStyle name="_SubHeading_prestemp_08A 0202-04" xfId="1298"/>
    <cellStyle name="_SubHeading_prestemp_12Last" xfId="1299"/>
    <cellStyle name="_SubHeading_prestemp_25-01-04" xfId="1300"/>
    <cellStyle name="_SubHeading_prestemp_A Dynamit 13-01-03" xfId="1301"/>
    <cellStyle name="_SubHeading_prestemp_Bridges" xfId="1302"/>
    <cellStyle name="_SubHeading_prestemp_C Dynamit 12-01-03" xfId="1303"/>
    <cellStyle name="_SubHeading_prestemp_Dynamit 12-01-03" xfId="1304"/>
    <cellStyle name="_SubHeading_prestemp_Dynamit 13-01-03" xfId="1305"/>
    <cellStyle name="_SubHeading_prestemp_Dynamit 13-01-03 (version 1)" xfId="1306"/>
    <cellStyle name="_SubHeading_prestemp_Dynamit Nobel 21-01-03" xfId="1307"/>
    <cellStyle name="_SubHeading_prestemp_financial model 040107 01" xfId="1308"/>
    <cellStyle name="_SubHeading_prestemp_financial model 040108 01" xfId="1309"/>
    <cellStyle name="_SubHeading_prestemp_financial model 040108 02" xfId="1310"/>
    <cellStyle name="_SubHeading_prestemp_financial model 040108 05" xfId="1311"/>
    <cellStyle name="_SubHeading_prestemp_financial model 040108 06" xfId="1312"/>
    <cellStyle name="_SubHeading_prestemp_financial model 040108 07" xfId="1313"/>
    <cellStyle name="_SubHeading_prestemp_financial model 040108 08" xfId="1314"/>
    <cellStyle name="_SubHeading_prestemp_financial model ex Adv Cer 040311 02" xfId="1315"/>
    <cellStyle name="_SubHeading_prestemp_financial model new VDD 040329 03" xfId="1316"/>
    <cellStyle name="_SubHeading_prestemp_financial model splitup 040124 01" xfId="1317"/>
    <cellStyle name="_SubHeading_prestemp_Go-Ahead v1.1" xfId="1318"/>
    <cellStyle name="_SubHeading_prestemp_Key Financials" xfId="1319"/>
    <cellStyle name="_SubHeading_prestemp_Nestor v1.1" xfId="1320"/>
    <cellStyle name="_SubHeading_prestemp_pagestoIBK1" xfId="1321"/>
    <cellStyle name="_SubHeading_prestemp_Sales Bridges" xfId="1322"/>
    <cellStyle name="_SubHeading_TIM Hellas LBO Model DMCC II" xfId="1323"/>
    <cellStyle name="_SubHeading_UoP adjustments updated (11-Aug)" xfId="1324"/>
    <cellStyle name="_Summary" xfId="1325"/>
    <cellStyle name="_Summary_Accounts_201011_Sep_10" xfId="1326"/>
    <cellStyle name="_Summary_Budget(draft) for FY 2011-12" xfId="1327"/>
    <cellStyle name="_Summary_FD" xfId="1328"/>
    <cellStyle name="_Summary_JSWEL Group's Financial Exposure_31.01.2010Final" xfId="1329"/>
    <cellStyle name="_Summary_JSWEL GROUP'S FINANCIAL EXPOSURE-31.12.09_Final" xfId="1330"/>
    <cellStyle name="_Summary_JSWEL GROUP'S FINANCIAL EXPOSURE-31.12.09_Final_Consolidated Finance Report 30.6.2010_RKS" xfId="1331"/>
    <cellStyle name="_Summary_JSWEL SBU I" xfId="1332"/>
    <cellStyle name="_Summary_JSWEL SBU I_Consolidated Finance Report-30.1.2010" xfId="1333"/>
    <cellStyle name="_Summary_JSWEL SBU I_JSWEL GROUP'S FINANCIAL EXPOSURE-31.12.09_Final" xfId="1334"/>
    <cellStyle name="_Summary_JSWEL SBU II" xfId="1335"/>
    <cellStyle name="_Summary_JSWEL SBU II_Consolidated Finance Report-30.1.2010" xfId="1336"/>
    <cellStyle name="_Summary_JSWEL SBU II_JSWEL GROUP'S FINANCIAL EXPOSURE-31.12.09_Final" xfId="1337"/>
    <cellStyle name="_Summary_JSWERL " xfId="1338"/>
    <cellStyle name="_Summary_JSWERL _Consolidated Finance Report-30.1.2010" xfId="1339"/>
    <cellStyle name="_Summary_JSWERL _JSWEL GROUP'S FINANCIAL EXPOSURE-31.12.09_Final" xfId="1340"/>
    <cellStyle name="_Summary_O&amp;M Budget(draft) for FY 2011-12" xfId="1341"/>
    <cellStyle name="_Summary_PMC_FEE" xfId="1342"/>
    <cellStyle name="_Summary_RWPL " xfId="1343"/>
    <cellStyle name="_Summary_RWPL _Consolidated Finance Report-30.1.2010" xfId="1344"/>
    <cellStyle name="_Summary_RWPL _JSWEL GROUP'S FINANCIAL EXPOSURE-31.12.09_Final" xfId="1345"/>
    <cellStyle name="_Summary_Xl0000004" xfId="1346"/>
    <cellStyle name="_summerised ledger details" xfId="1347"/>
    <cellStyle name="_SuperHead" xfId="1348"/>
    <cellStyle name="_Table" xfId="1349"/>
    <cellStyle name="_Table 2" xfId="1350"/>
    <cellStyle name="_Table_02_Proj. Cloud - Mgmt Case2" xfId="1351"/>
    <cellStyle name="_Table_03 VUP operating model 21 Sep v4" xfId="1352"/>
    <cellStyle name="_Table_03 VUP operating model 21 Sep v4_01A25-01-04" xfId="1353"/>
    <cellStyle name="_Table_03 VUP operating model 21 Sep v4_02A 05-02-04" xfId="1354"/>
    <cellStyle name="_Table_03 VUP operating model 21 Sep v4_02Analysis - SBA" xfId="1355"/>
    <cellStyle name="_Table_03 VUP operating model 21 Sep v4_02Bridges" xfId="1356"/>
    <cellStyle name="_Table_03 VUP operating model 21 Sep v4_03 31-01-04" xfId="1357"/>
    <cellStyle name="_Table_03 VUP operating model 21 Sep v4_03A25-01-04" xfId="1358"/>
    <cellStyle name="_Table_03 VUP operating model 21 Sep v4_06A 0202-04" xfId="1359"/>
    <cellStyle name="_Table_03 VUP operating model 21 Sep v4_08A 0202-04" xfId="1360"/>
    <cellStyle name="_Table_03 VUP operating model 21 Sep v4_12Last" xfId="1361"/>
    <cellStyle name="_Table_03 VUP operating model 21 Sep v4_25-01-04" xfId="1362"/>
    <cellStyle name="_Table_03 VUP operating model 21 Sep v4_A Dynamit 13-01-03" xfId="1363"/>
    <cellStyle name="_Table_03 VUP operating model 21 Sep v4_Bridges" xfId="1364"/>
    <cellStyle name="_Table_03 VUP operating model 21 Sep v4_C Dynamit 12-01-03" xfId="1365"/>
    <cellStyle name="_Table_03 VUP operating model 21 Sep v4_Dynamit 12-01-03" xfId="1366"/>
    <cellStyle name="_Table_03 VUP operating model 21 Sep v4_Dynamit 13-01-03" xfId="1367"/>
    <cellStyle name="_Table_03 VUP operating model 21 Sep v4_Dynamit 13-01-03 (version 1)" xfId="1368"/>
    <cellStyle name="_Table_03 VUP operating model 21 Sep v4_Dynamit Nobel 21-01-03" xfId="1369"/>
    <cellStyle name="_Table_03 VUP operating model 21 Sep v4_financial model 040107 01" xfId="1370"/>
    <cellStyle name="_Table_03 VUP operating model 21 Sep v4_financial model 040108 01" xfId="1371"/>
    <cellStyle name="_Table_03 VUP operating model 21 Sep v4_financial model 040108 02" xfId="1372"/>
    <cellStyle name="_Table_03 VUP operating model 21 Sep v4_financial model 040108 05" xfId="1373"/>
    <cellStyle name="_Table_03 VUP operating model 21 Sep v4_financial model 040108 06" xfId="1374"/>
    <cellStyle name="_Table_03 VUP operating model 21 Sep v4_financial model 040108 07" xfId="1375"/>
    <cellStyle name="_Table_03 VUP operating model 21 Sep v4_financial model 040108 08" xfId="1376"/>
    <cellStyle name="_Table_03 VUP operating model 21 Sep v4_financial model ex Adv Cer 040311 02" xfId="1377"/>
    <cellStyle name="_Table_03 VUP operating model 21 Sep v4_financial model new VDD 040329 03" xfId="1378"/>
    <cellStyle name="_Table_03 VUP operating model 21 Sep v4_financial model splitup 040124 01" xfId="1379"/>
    <cellStyle name="_Table_03 VUP operating model 21 Sep v4_Go-Ahead v1.1" xfId="1380"/>
    <cellStyle name="_Table_03 VUP operating model 21 Sep v4_Key Financials" xfId="1381"/>
    <cellStyle name="_Table_03 VUP operating model 21 Sep v4_Nestor v1.1" xfId="1382"/>
    <cellStyle name="_Table_03 VUP operating model 21 Sep v4_pagestoIBK1" xfId="1383"/>
    <cellStyle name="_Table_03 VUP operating model 21 Sep v4_Sales Bridges" xfId="1384"/>
    <cellStyle name="_Table_Data S&amp;T Acquisition charts" xfId="1385"/>
    <cellStyle name="_Table_Data S&amp;T Acquisition charts_01A25-01-04" xfId="1386"/>
    <cellStyle name="_Table_Data S&amp;T Acquisition charts_02A 05-02-04" xfId="1387"/>
    <cellStyle name="_Table_Data S&amp;T Acquisition charts_02Analysis - SBA" xfId="1388"/>
    <cellStyle name="_Table_Data S&amp;T Acquisition charts_02Bridges" xfId="1389"/>
    <cellStyle name="_Table_Data S&amp;T Acquisition charts_03 31-01-04" xfId="1390"/>
    <cellStyle name="_Table_Data S&amp;T Acquisition charts_03A25-01-04" xfId="1391"/>
    <cellStyle name="_Table_Data S&amp;T Acquisition charts_06A 0202-04" xfId="1392"/>
    <cellStyle name="_Table_Data S&amp;T Acquisition charts_08A 0202-04" xfId="1393"/>
    <cellStyle name="_Table_Data S&amp;T Acquisition charts_12Last" xfId="1394"/>
    <cellStyle name="_Table_Data S&amp;T Acquisition charts_25-01-04" xfId="1395"/>
    <cellStyle name="_Table_Data S&amp;T Acquisition charts_A Dynamit 13-01-03" xfId="1396"/>
    <cellStyle name="_Table_Data S&amp;T Acquisition charts_Bridges" xfId="1397"/>
    <cellStyle name="_Table_Data S&amp;T Acquisition charts_C Dynamit 12-01-03" xfId="1398"/>
    <cellStyle name="_Table_Data S&amp;T Acquisition charts_Dynamit 12-01-03" xfId="1399"/>
    <cellStyle name="_Table_Data S&amp;T Acquisition charts_Dynamit 13-01-03" xfId="1400"/>
    <cellStyle name="_Table_Data S&amp;T Acquisition charts_Dynamit 13-01-03 (version 1)" xfId="1401"/>
    <cellStyle name="_Table_Data S&amp;T Acquisition charts_Dynamit Nobel 21-01-03" xfId="1402"/>
    <cellStyle name="_Table_Data S&amp;T Acquisition charts_financial model 040107 01" xfId="1403"/>
    <cellStyle name="_Table_Data S&amp;T Acquisition charts_financial model 040108 01" xfId="1404"/>
    <cellStyle name="_Table_Data S&amp;T Acquisition charts_financial model 040108 02" xfId="1405"/>
    <cellStyle name="_Table_Data S&amp;T Acquisition charts_financial model 040108 05" xfId="1406"/>
    <cellStyle name="_Table_Data S&amp;T Acquisition charts_financial model 040108 06" xfId="1407"/>
    <cellStyle name="_Table_Data S&amp;T Acquisition charts_financial model 040108 07" xfId="1408"/>
    <cellStyle name="_Table_Data S&amp;T Acquisition charts_financial model 040108 08" xfId="1409"/>
    <cellStyle name="_Table_Data S&amp;T Acquisition charts_financial model ex Adv Cer 040311 02" xfId="1410"/>
    <cellStyle name="_Table_Data S&amp;T Acquisition charts_financial model new VDD 040329 03" xfId="1411"/>
    <cellStyle name="_Table_Data S&amp;T Acquisition charts_financial model splitup 040124 01" xfId="1412"/>
    <cellStyle name="_Table_Data S&amp;T Acquisition charts_Go-Ahead v1.1" xfId="1413"/>
    <cellStyle name="_Table_Data S&amp;T Acquisition charts_Key Financials" xfId="1414"/>
    <cellStyle name="_Table_Data S&amp;T Acquisition charts_Nestor v1.1" xfId="1415"/>
    <cellStyle name="_Table_Data S&amp;T Acquisition charts_pagestoIBK1" xfId="1416"/>
    <cellStyle name="_Table_Data S&amp;T Acquisition charts_Sales Bridges" xfId="1417"/>
    <cellStyle name="_Table_TIM Hellas LBO Model DMCC II" xfId="1418"/>
    <cellStyle name="_Table_UoP adjustments updated (11-Aug)" xfId="1419"/>
    <cellStyle name="_TableHead" xfId="1420"/>
    <cellStyle name="_TableHead 2" xfId="1421"/>
    <cellStyle name="_TableHead_02_Proj. Cloud - Mgmt Case2" xfId="1422"/>
    <cellStyle name="_TableHead_03 VUP operating model 21 Sep v4" xfId="1423"/>
    <cellStyle name="_TableHead_03 VUP operating model 21 Sep v4_01A25-01-04" xfId="1424"/>
    <cellStyle name="_TableHead_03 VUP operating model 21 Sep v4_02A 05-02-04" xfId="1425"/>
    <cellStyle name="_TableHead_03 VUP operating model 21 Sep v4_02Analysis - SBA" xfId="1426"/>
    <cellStyle name="_TableHead_03 VUP operating model 21 Sep v4_02Bridges" xfId="1427"/>
    <cellStyle name="_TableHead_03 VUP operating model 21 Sep v4_03 31-01-04" xfId="1428"/>
    <cellStyle name="_TableHead_03 VUP operating model 21 Sep v4_03A25-01-04" xfId="1429"/>
    <cellStyle name="_TableHead_03 VUP operating model 21 Sep v4_06A 0202-04" xfId="1430"/>
    <cellStyle name="_TableHead_03 VUP operating model 21 Sep v4_08A 0202-04" xfId="1431"/>
    <cellStyle name="_TableHead_03 VUP operating model 21 Sep v4_12Last" xfId="1432"/>
    <cellStyle name="_TableHead_03 VUP operating model 21 Sep v4_25-01-04" xfId="1433"/>
    <cellStyle name="_TableHead_03 VUP operating model 21 Sep v4_A Dynamit 13-01-03" xfId="1434"/>
    <cellStyle name="_TableHead_03 VUP operating model 21 Sep v4_Bridges" xfId="1435"/>
    <cellStyle name="_TableHead_03 VUP operating model 21 Sep v4_C Dynamit 12-01-03" xfId="1436"/>
    <cellStyle name="_TableHead_03 VUP operating model 21 Sep v4_Dynamit 12-01-03" xfId="1437"/>
    <cellStyle name="_TableHead_03 VUP operating model 21 Sep v4_Dynamit 13-01-03" xfId="1438"/>
    <cellStyle name="_TableHead_03 VUP operating model 21 Sep v4_Dynamit 13-01-03 (version 1)" xfId="1439"/>
    <cellStyle name="_TableHead_03 VUP operating model 21 Sep v4_Dynamit Nobel 21-01-03" xfId="1440"/>
    <cellStyle name="_TableHead_03 VUP operating model 21 Sep v4_financial model 040107 01" xfId="1441"/>
    <cellStyle name="_TableHead_03 VUP operating model 21 Sep v4_financial model 040108 01" xfId="1442"/>
    <cellStyle name="_TableHead_03 VUP operating model 21 Sep v4_financial model 040108 02" xfId="1443"/>
    <cellStyle name="_TableHead_03 VUP operating model 21 Sep v4_financial model 040108 05" xfId="1444"/>
    <cellStyle name="_TableHead_03 VUP operating model 21 Sep v4_financial model 040108 06" xfId="1445"/>
    <cellStyle name="_TableHead_03 VUP operating model 21 Sep v4_financial model 040108 07" xfId="1446"/>
    <cellStyle name="_TableHead_03 VUP operating model 21 Sep v4_financial model 040108 08" xfId="1447"/>
    <cellStyle name="_TableHead_03 VUP operating model 21 Sep v4_financial model ex Adv Cer 040311 02" xfId="1448"/>
    <cellStyle name="_TableHead_03 VUP operating model 21 Sep v4_financial model new VDD 040329 03" xfId="1449"/>
    <cellStyle name="_TableHead_03 VUP operating model 21 Sep v4_financial model splitup 040124 01" xfId="1450"/>
    <cellStyle name="_TableHead_03 VUP operating model 21 Sep v4_Go-Ahead v1.1" xfId="1451"/>
    <cellStyle name="_TableHead_03 VUP operating model 21 Sep v4_Key Financials" xfId="1452"/>
    <cellStyle name="_TableHead_03 VUP operating model 21 Sep v4_Nestor v1.1" xfId="1453"/>
    <cellStyle name="_TableHead_03 VUP operating model 21 Sep v4_pagestoIBK1" xfId="1454"/>
    <cellStyle name="_TableHead_03 VUP operating model 21 Sep v4_Sales Bridges" xfId="1455"/>
    <cellStyle name="_TableHead_TIM Hellas LBO Model DMCC II" xfId="1456"/>
    <cellStyle name="_TableHead_UoP adjustments updated (11-Aug)" xfId="1457"/>
    <cellStyle name="_TableRowHead" xfId="1458"/>
    <cellStyle name="_TableRowHead 2" xfId="1459"/>
    <cellStyle name="_TableRowHead_02_Proj. Cloud - Mgmt Case2" xfId="1460"/>
    <cellStyle name="_TableRowHead_03 VUP operating model 21 Sep v4" xfId="1461"/>
    <cellStyle name="_TableRowHead_03 VUP operating model 21 Sep v4_01A25-01-04" xfId="1462"/>
    <cellStyle name="_TableRowHead_03 VUP operating model 21 Sep v4_02A 05-02-04" xfId="1463"/>
    <cellStyle name="_TableRowHead_03 VUP operating model 21 Sep v4_02Analysis - SBA" xfId="1464"/>
    <cellStyle name="_TableRowHead_03 VUP operating model 21 Sep v4_02Bridges" xfId="1465"/>
    <cellStyle name="_TableRowHead_03 VUP operating model 21 Sep v4_03 31-01-04" xfId="1466"/>
    <cellStyle name="_TableRowHead_03 VUP operating model 21 Sep v4_03A25-01-04" xfId="1467"/>
    <cellStyle name="_TableRowHead_03 VUP operating model 21 Sep v4_06A 0202-04" xfId="1468"/>
    <cellStyle name="_TableRowHead_03 VUP operating model 21 Sep v4_08A 0202-04" xfId="1469"/>
    <cellStyle name="_TableRowHead_03 VUP operating model 21 Sep v4_12Last" xfId="1470"/>
    <cellStyle name="_TableRowHead_03 VUP operating model 21 Sep v4_25-01-04" xfId="1471"/>
    <cellStyle name="_TableRowHead_03 VUP operating model 21 Sep v4_A Dynamit 13-01-03" xfId="1472"/>
    <cellStyle name="_TableRowHead_03 VUP operating model 21 Sep v4_Bridges" xfId="1473"/>
    <cellStyle name="_TableRowHead_03 VUP operating model 21 Sep v4_C Dynamit 12-01-03" xfId="1474"/>
    <cellStyle name="_TableRowHead_03 VUP operating model 21 Sep v4_Dynamit 12-01-03" xfId="1475"/>
    <cellStyle name="_TableRowHead_03 VUP operating model 21 Sep v4_Dynamit 13-01-03" xfId="1476"/>
    <cellStyle name="_TableRowHead_03 VUP operating model 21 Sep v4_Dynamit 13-01-03 (version 1)" xfId="1477"/>
    <cellStyle name="_TableRowHead_03 VUP operating model 21 Sep v4_Dynamit Nobel 21-01-03" xfId="1478"/>
    <cellStyle name="_TableRowHead_03 VUP operating model 21 Sep v4_financial model 040107 01" xfId="1479"/>
    <cellStyle name="_TableRowHead_03 VUP operating model 21 Sep v4_financial model 040108 01" xfId="1480"/>
    <cellStyle name="_TableRowHead_03 VUP operating model 21 Sep v4_financial model 040108 02" xfId="1481"/>
    <cellStyle name="_TableRowHead_03 VUP operating model 21 Sep v4_financial model 040108 05" xfId="1482"/>
    <cellStyle name="_TableRowHead_03 VUP operating model 21 Sep v4_financial model 040108 06" xfId="1483"/>
    <cellStyle name="_TableRowHead_03 VUP operating model 21 Sep v4_financial model 040108 07" xfId="1484"/>
    <cellStyle name="_TableRowHead_03 VUP operating model 21 Sep v4_financial model 040108 08" xfId="1485"/>
    <cellStyle name="_TableRowHead_03 VUP operating model 21 Sep v4_financial model ex Adv Cer 040311 02" xfId="1486"/>
    <cellStyle name="_TableRowHead_03 VUP operating model 21 Sep v4_financial model new VDD 040329 03" xfId="1487"/>
    <cellStyle name="_TableRowHead_03 VUP operating model 21 Sep v4_financial model splitup 040124 01" xfId="1488"/>
    <cellStyle name="_TableRowHead_03 VUP operating model 21 Sep v4_Go-Ahead v1.1" xfId="1489"/>
    <cellStyle name="_TableRowHead_03 VUP operating model 21 Sep v4_Key Financials" xfId="1490"/>
    <cellStyle name="_TableRowHead_03 VUP operating model 21 Sep v4_Nestor v1.1" xfId="1491"/>
    <cellStyle name="_TableRowHead_03 VUP operating model 21 Sep v4_pagestoIBK1" xfId="1492"/>
    <cellStyle name="_TableRowHead_03 VUP operating model 21 Sep v4_Sales Bridges" xfId="1493"/>
    <cellStyle name="_TableRowHead_TIM Hellas LBO Model DMCC II" xfId="1494"/>
    <cellStyle name="_TableRowHead_UoP adjustments updated (11-Aug)" xfId="1495"/>
    <cellStyle name="_TableSuperHead" xfId="1496"/>
    <cellStyle name="_TableSuperHead 2" xfId="1497"/>
    <cellStyle name="_TableSuperHead_02_Proj. Cloud - Mgmt Case2" xfId="1498"/>
    <cellStyle name="_TableSuperHead_03 VUP operating model 21 Sep v4" xfId="1499"/>
    <cellStyle name="_TableSuperHead_03 VUP operating model 21 Sep v4_01A25-01-04" xfId="1500"/>
    <cellStyle name="_TableSuperHead_03 VUP operating model 21 Sep v4_02A 05-02-04" xfId="1501"/>
    <cellStyle name="_TableSuperHead_03 VUP operating model 21 Sep v4_02Analysis - SBA" xfId="1502"/>
    <cellStyle name="_TableSuperHead_03 VUP operating model 21 Sep v4_02Bridges" xfId="1503"/>
    <cellStyle name="_TableSuperHead_03 VUP operating model 21 Sep v4_03 31-01-04" xfId="1504"/>
    <cellStyle name="_TableSuperHead_03 VUP operating model 21 Sep v4_03A25-01-04" xfId="1505"/>
    <cellStyle name="_TableSuperHead_03 VUP operating model 21 Sep v4_06A 0202-04" xfId="1506"/>
    <cellStyle name="_TableSuperHead_03 VUP operating model 21 Sep v4_08A 0202-04" xfId="1507"/>
    <cellStyle name="_TableSuperHead_03 VUP operating model 21 Sep v4_12Last" xfId="1508"/>
    <cellStyle name="_TableSuperHead_03 VUP operating model 21 Sep v4_25-01-04" xfId="1509"/>
    <cellStyle name="_TableSuperHead_03 VUP operating model 21 Sep v4_A Dynamit 13-01-03" xfId="1510"/>
    <cellStyle name="_TableSuperHead_03 VUP operating model 21 Sep v4_Bridges" xfId="1511"/>
    <cellStyle name="_TableSuperHead_03 VUP operating model 21 Sep v4_C Dynamit 12-01-03" xfId="1512"/>
    <cellStyle name="_TableSuperHead_03 VUP operating model 21 Sep v4_Dynamit 12-01-03" xfId="1513"/>
    <cellStyle name="_TableSuperHead_03 VUP operating model 21 Sep v4_Dynamit 13-01-03" xfId="1514"/>
    <cellStyle name="_TableSuperHead_03 VUP operating model 21 Sep v4_Dynamit 13-01-03 (version 1)" xfId="1515"/>
    <cellStyle name="_TableSuperHead_03 VUP operating model 21 Sep v4_Dynamit Nobel 21-01-03" xfId="1516"/>
    <cellStyle name="_TableSuperHead_03 VUP operating model 21 Sep v4_financial model 040107 01" xfId="1517"/>
    <cellStyle name="_TableSuperHead_03 VUP operating model 21 Sep v4_financial model 040108 01" xfId="1518"/>
    <cellStyle name="_TableSuperHead_03 VUP operating model 21 Sep v4_financial model 040108 02" xfId="1519"/>
    <cellStyle name="_TableSuperHead_03 VUP operating model 21 Sep v4_financial model 040108 05" xfId="1520"/>
    <cellStyle name="_TableSuperHead_03 VUP operating model 21 Sep v4_financial model 040108 06" xfId="1521"/>
    <cellStyle name="_TableSuperHead_03 VUP operating model 21 Sep v4_financial model 040108 07" xfId="1522"/>
    <cellStyle name="_TableSuperHead_03 VUP operating model 21 Sep v4_financial model 040108 08" xfId="1523"/>
    <cellStyle name="_TableSuperHead_03 VUP operating model 21 Sep v4_financial model ex Adv Cer 040311 02" xfId="1524"/>
    <cellStyle name="_TableSuperHead_03 VUP operating model 21 Sep v4_financial model new VDD 040329 03" xfId="1525"/>
    <cellStyle name="_TableSuperHead_03 VUP operating model 21 Sep v4_financial model splitup 040124 01" xfId="1526"/>
    <cellStyle name="_TableSuperHead_03 VUP operating model 21 Sep v4_Go-Ahead v1.1" xfId="1527"/>
    <cellStyle name="_TableSuperHead_03 VUP operating model 21 Sep v4_Key Financials" xfId="1528"/>
    <cellStyle name="_TableSuperHead_03 VUP operating model 21 Sep v4_Nestor v1.1" xfId="1529"/>
    <cellStyle name="_TableSuperHead_03 VUP operating model 21 Sep v4_pagestoIBK1" xfId="1530"/>
    <cellStyle name="_TableSuperHead_03 VUP operating model 21 Sep v4_Sales Bridges" xfId="1531"/>
    <cellStyle name="_TableSuperHead_Data S&amp;T Acquisition charts" xfId="1532"/>
    <cellStyle name="_TableSuperHead_Data S&amp;T Acquisition charts_01A25-01-04" xfId="1533"/>
    <cellStyle name="_TableSuperHead_Data S&amp;T Acquisition charts_02A 05-02-04" xfId="1534"/>
    <cellStyle name="_TableSuperHead_Data S&amp;T Acquisition charts_02Analysis - SBA" xfId="1535"/>
    <cellStyle name="_TableSuperHead_Data S&amp;T Acquisition charts_02Bridges" xfId="1536"/>
    <cellStyle name="_TableSuperHead_Data S&amp;T Acquisition charts_03 31-01-04" xfId="1537"/>
    <cellStyle name="_TableSuperHead_Data S&amp;T Acquisition charts_03A25-01-04" xfId="1538"/>
    <cellStyle name="_TableSuperHead_Data S&amp;T Acquisition charts_06A 0202-04" xfId="1539"/>
    <cellStyle name="_TableSuperHead_Data S&amp;T Acquisition charts_08A 0202-04" xfId="1540"/>
    <cellStyle name="_TableSuperHead_Data S&amp;T Acquisition charts_12Last" xfId="1541"/>
    <cellStyle name="_TableSuperHead_Data S&amp;T Acquisition charts_25-01-04" xfId="1542"/>
    <cellStyle name="_TableSuperHead_Data S&amp;T Acquisition charts_A Dynamit 13-01-03" xfId="1543"/>
    <cellStyle name="_TableSuperHead_Data S&amp;T Acquisition charts_Bridges" xfId="1544"/>
    <cellStyle name="_TableSuperHead_Data S&amp;T Acquisition charts_C Dynamit 12-01-03" xfId="1545"/>
    <cellStyle name="_TableSuperHead_Data S&amp;T Acquisition charts_Dynamit 12-01-03" xfId="1546"/>
    <cellStyle name="_TableSuperHead_Data S&amp;T Acquisition charts_Dynamit 13-01-03" xfId="1547"/>
    <cellStyle name="_TableSuperHead_Data S&amp;T Acquisition charts_Dynamit 13-01-03 (version 1)" xfId="1548"/>
    <cellStyle name="_TableSuperHead_Data S&amp;T Acquisition charts_Dynamit Nobel 21-01-03" xfId="1549"/>
    <cellStyle name="_TableSuperHead_Data S&amp;T Acquisition charts_financial model 040107 01" xfId="1550"/>
    <cellStyle name="_TableSuperHead_Data S&amp;T Acquisition charts_financial model 040108 01" xfId="1551"/>
    <cellStyle name="_TableSuperHead_Data S&amp;T Acquisition charts_financial model 040108 02" xfId="1552"/>
    <cellStyle name="_TableSuperHead_Data S&amp;T Acquisition charts_financial model 040108 05" xfId="1553"/>
    <cellStyle name="_TableSuperHead_Data S&amp;T Acquisition charts_financial model 040108 06" xfId="1554"/>
    <cellStyle name="_TableSuperHead_Data S&amp;T Acquisition charts_financial model 040108 07" xfId="1555"/>
    <cellStyle name="_TableSuperHead_Data S&amp;T Acquisition charts_financial model 040108 08" xfId="1556"/>
    <cellStyle name="_TableSuperHead_Data S&amp;T Acquisition charts_financial model ex Adv Cer 040311 02" xfId="1557"/>
    <cellStyle name="_TableSuperHead_Data S&amp;T Acquisition charts_financial model new VDD 040329 03" xfId="1558"/>
    <cellStyle name="_TableSuperHead_Data S&amp;T Acquisition charts_financial model splitup 040124 01" xfId="1559"/>
    <cellStyle name="_TableSuperHead_Data S&amp;T Acquisition charts_Go-Ahead v1.1" xfId="1560"/>
    <cellStyle name="_TableSuperHead_Data S&amp;T Acquisition charts_Key Financials" xfId="1561"/>
    <cellStyle name="_TableSuperHead_Data S&amp;T Acquisition charts_Nestor v1.1" xfId="1562"/>
    <cellStyle name="_TableSuperHead_Data S&amp;T Acquisition charts_pagestoIBK1" xfId="1563"/>
    <cellStyle name="_TableSuperHead_Data S&amp;T Acquisition charts_Sales Bridges" xfId="1564"/>
    <cellStyle name="_TableSuperHead_TIM Hellas LBO Model DMCC II" xfId="1565"/>
    <cellStyle name="_TableSuperHead_UoP adjustments updated (11-Aug)" xfId="1566"/>
    <cellStyle name="_TBBOM(~2 (2)" xfId="1567"/>
    <cellStyle name="_TBBOM(~2 (2)_JSWEL SBU I" xfId="1568"/>
    <cellStyle name="_TBBOM(~2 (2)_JSWEL SBU II" xfId="1569"/>
    <cellStyle name="_TBBOM(~2 (2)_JSWERL " xfId="1570"/>
    <cellStyle name="_TBBOM(~2 (2)_RWPL " xfId="1571"/>
    <cellStyle name="_TBBOM(~2 (2)_Xl0000004" xfId="1572"/>
    <cellStyle name="_Tbc_03_2001final" xfId="1573"/>
    <cellStyle name="_Tbc_03_2001final_JSWEL SBU I" xfId="1574"/>
    <cellStyle name="_Tbc_03_2001final_JSWEL SBU II" xfId="1575"/>
    <cellStyle name="_Tbc_03_2001final_JSWERL " xfId="1576"/>
    <cellStyle name="_Tbc_03_2001final_RWPL " xfId="1577"/>
    <cellStyle name="_Tbc_03_2001final_Xl0000004" xfId="1578"/>
    <cellStyle name="_TC" xfId="1579"/>
    <cellStyle name="_TC_Xl0000004" xfId="1580"/>
    <cellStyle name="_Term Loan Balance - 31.3.2009_JSWEL SBU I &amp; II" xfId="1581"/>
    <cellStyle name="_Term Loan Balance - 31.3.2009_JSWEL SBU I &amp; II_Reply to Audit queries_22.4.2010(1)" xfId="1582"/>
    <cellStyle name="_Value of Asset(R)_31 03 2010" xfId="1583"/>
    <cellStyle name="_Varcolor SRL - 481" xfId="1584"/>
    <cellStyle name="_Varcolor SRL - 481_Xl0000004" xfId="1585"/>
    <cellStyle name="_Voest Alpine - 513" xfId="1586"/>
    <cellStyle name="_Voest Alpine - 513_Xl0000004" xfId="1587"/>
    <cellStyle name="_w.o" xfId="1588"/>
    <cellStyle name="_w.o_Xl0000004" xfId="1589"/>
    <cellStyle name="_W.O-253" xfId="1590"/>
    <cellStyle name="_W.O-253_Xl0000004" xfId="1591"/>
    <cellStyle name="_WOGALV0405-489" xfId="1592"/>
    <cellStyle name="_WOGALV0405-489_Xl0000004" xfId="1593"/>
    <cellStyle name="_WOGALV0405-568" xfId="1594"/>
    <cellStyle name="_WOGALV0405-568_Xl0000004" xfId="1595"/>
    <cellStyle name="_WO-Joshua-342" xfId="1596"/>
    <cellStyle name="_WO-Joshua-342_Xl0000004" xfId="1597"/>
    <cellStyle name="_WO-Joshua-394" xfId="1598"/>
    <cellStyle name="_WO-Joshua-394_Xl0000004" xfId="1599"/>
    <cellStyle name="_WO-Joshua-396" xfId="1600"/>
    <cellStyle name="_WO-Joshua-396_Xl0000004" xfId="1601"/>
    <cellStyle name="_WO-Joshua-397" xfId="1602"/>
    <cellStyle name="_WO-Joshua-397_Xl0000004" xfId="1603"/>
    <cellStyle name="_WO-Joshua-398" xfId="1604"/>
    <cellStyle name="_WO-Joshua-398_Xl0000004" xfId="1605"/>
    <cellStyle name="_WO-Joshua-404" xfId="1606"/>
    <cellStyle name="_WO-Joshua-404_Xl0000004" xfId="1607"/>
    <cellStyle name="_WO-Joshua-501(R)" xfId="1608"/>
    <cellStyle name="_WO-Joshua-501(R)_Xl0000004" xfId="1609"/>
    <cellStyle name="_WO-Joshua-506" xfId="1610"/>
    <cellStyle name="_WO-Joshua-506_Xl0000004" xfId="1611"/>
    <cellStyle name="_WO-Joshua-507" xfId="1612"/>
    <cellStyle name="_WO-Joshua-507_Xl0000004" xfId="1613"/>
    <cellStyle name="_WO-Joshua-509" xfId="1614"/>
    <cellStyle name="_WO-Joshua-509_Xl0000004" xfId="1615"/>
    <cellStyle name="_WO-MISA-165" xfId="1616"/>
    <cellStyle name="_WO-MISA-165_Xl0000004" xfId="1617"/>
    <cellStyle name="_WO-MISA-168" xfId="1618"/>
    <cellStyle name="_WO-MISA-168_Xl0000004" xfId="1619"/>
    <cellStyle name="_WO-MISA-170" xfId="1620"/>
    <cellStyle name="_WO-MISA-170_Xl0000004" xfId="1621"/>
    <cellStyle name="_WO-MISA-424" xfId="1622"/>
    <cellStyle name="_WO-MISA-424_Xl0000004" xfId="1623"/>
    <cellStyle name="_WO-Novo Steel-175" xfId="1624"/>
    <cellStyle name="_WO-Novo Steel-175_Xl0000004" xfId="1625"/>
    <cellStyle name="_WO-Novo Steel-176" xfId="1626"/>
    <cellStyle name="_WO-Novo Steel-176_Xl0000004" xfId="1627"/>
    <cellStyle name="_WO-Novo Steel-177 " xfId="1628"/>
    <cellStyle name="_WO-Novo Steel-177 _Xl0000004" xfId="1629"/>
    <cellStyle name="_WO-Steel Invest-375" xfId="1630"/>
    <cellStyle name="_WO-Steel Invest-375_Xl0000004" xfId="1631"/>
    <cellStyle name="_WO-TITAN-562" xfId="1632"/>
    <cellStyle name="_WO-TITAN-562_Xl0000004" xfId="1633"/>
    <cellStyle name="_WO-TITAN-563" xfId="1634"/>
    <cellStyle name="_WO-TITAN-563_Xl0000004" xfId="1635"/>
    <cellStyle name="_WO-TOTEM-153" xfId="1636"/>
    <cellStyle name="_WO-TOTEM-153_Xl0000004" xfId="1637"/>
    <cellStyle name="_WO-TOTEM-531" xfId="1638"/>
    <cellStyle name="_WO-TOTEM-531_Xl0000004" xfId="1639"/>
    <cellStyle name="_WO-TOTEM-533" xfId="1640"/>
    <cellStyle name="_WO-TOTEM-533_Xl0000004" xfId="1641"/>
    <cellStyle name="´Èv¾ŸŠ?j¼t“_x0018__x0004_¦?UÁ¨¤N@s?_x000c_A05307" xfId="1642"/>
    <cellStyle name="´Èv¾ŸŠ?j¼t“_x0018__x0004_¦?UÁ¨¤N@s?_x000c_A05307      " xfId="1643"/>
    <cellStyle name="´Èv¾ŸŠ?j¼t“_x0018__x0004_¦?UÁ¨¤N@s?_x000c_A05307_1458 JOSHUA HOUSTON 6174" xfId="1644"/>
    <cellStyle name="£ BP" xfId="1645"/>
    <cellStyle name="_x0004_¥" xfId="1646"/>
    <cellStyle name="¥ JY" xfId="1647"/>
    <cellStyle name="=C:\WINNT35\SYSTEM32\COMMAND.COM" xfId="1648"/>
    <cellStyle name="0" xfId="1649"/>
    <cellStyle name="0,0 _x000a_NA _x000a_" xfId="3267"/>
    <cellStyle name="0,0_x000d__x000a_NA_x000d__x000a_" xfId="3268"/>
    <cellStyle name="0,0_x000d__x000a_NA_x000d__x000a_ 2" xfId="3269"/>
    <cellStyle name="0,0_x000d__x000a_NA_x000d__x000a_ 2 2" xfId="3270"/>
    <cellStyle name="0,0_x000d__x000a_NA_x000d__x000a_ 3" xfId="3271"/>
    <cellStyle name="0,0_x000d__x000a_NA_x000d__x000a_ 4" xfId="3272"/>
    <cellStyle name="0,0_x005f_x000d__x005f_x000a_NA_x005f_x000d__x005f_x000a_" xfId="3273"/>
    <cellStyle name="03_Table Notes" xfId="1650"/>
    <cellStyle name="04_Table text" xfId="1651"/>
    <cellStyle name="0IsBlank" xfId="1652"/>
    <cellStyle name="10Q" xfId="1653"/>
    <cellStyle name="10Q 2" xfId="1654"/>
    <cellStyle name="10Q 3" xfId="1655"/>
    <cellStyle name="125" xfId="1656"/>
    <cellStyle name="150" xfId="1657"/>
    <cellStyle name="20% - Accent1 2" xfId="1658"/>
    <cellStyle name="20% - Accent1 2 2" xfId="1659"/>
    <cellStyle name="20% - Accent1 2 3" xfId="1660"/>
    <cellStyle name="20% - Accent1 3" xfId="1661"/>
    <cellStyle name="20% - Accent1 3 2" xfId="1662"/>
    <cellStyle name="20% - Accent1 4" xfId="1663"/>
    <cellStyle name="20% - Accent2 2" xfId="1664"/>
    <cellStyle name="20% - Accent2 2 2" xfId="1665"/>
    <cellStyle name="20% - Accent2 2 3" xfId="1666"/>
    <cellStyle name="20% - Accent2 3" xfId="1667"/>
    <cellStyle name="20% - Accent2 3 2" xfId="1668"/>
    <cellStyle name="20% - Accent2 4" xfId="1669"/>
    <cellStyle name="20% - Accent3 2" xfId="1670"/>
    <cellStyle name="20% - Accent3 2 2" xfId="1671"/>
    <cellStyle name="20% - Accent3 2 3" xfId="1672"/>
    <cellStyle name="20% - Accent3 3" xfId="1673"/>
    <cellStyle name="20% - Accent3 3 2" xfId="1674"/>
    <cellStyle name="20% - Accent3 4" xfId="1675"/>
    <cellStyle name="20% - Accent4 2" xfId="1676"/>
    <cellStyle name="20% - Accent4 2 2" xfId="1677"/>
    <cellStyle name="20% - Accent4 2 3" xfId="1678"/>
    <cellStyle name="20% - Accent4 3" xfId="1679"/>
    <cellStyle name="20% - Accent4 3 2" xfId="1680"/>
    <cellStyle name="20% - Accent4 4" xfId="1681"/>
    <cellStyle name="20% - Accent5 2" xfId="1682"/>
    <cellStyle name="20% - Accent5 2 2" xfId="1683"/>
    <cellStyle name="20% - Accent5 2 3" xfId="1684"/>
    <cellStyle name="20% - Accent5 3" xfId="1685"/>
    <cellStyle name="20% - Accent5 3 2" xfId="1686"/>
    <cellStyle name="20% - Accent5 4" xfId="1687"/>
    <cellStyle name="20% - Accent6 2" xfId="1688"/>
    <cellStyle name="20% - Accent6 2 2" xfId="1689"/>
    <cellStyle name="20% - Accent6 2 3" xfId="1690"/>
    <cellStyle name="20% - Accent6 3" xfId="1691"/>
    <cellStyle name="20% - Accent6 3 2" xfId="1692"/>
    <cellStyle name="20% - Accent6 4" xfId="1693"/>
    <cellStyle name="20% - 强调文字颜色 1 2" xfId="3274"/>
    <cellStyle name="20% - 强调文字颜色 1 2 2" xfId="3275"/>
    <cellStyle name="20% - 强调文字颜色 1 2 2 2" xfId="3276"/>
    <cellStyle name="20% - 强调文字颜色 1 2 3" xfId="3277"/>
    <cellStyle name="20% - 强调文字颜色 1 3" xfId="3278"/>
    <cellStyle name="20% - 强调文字颜色 1 3 2" xfId="3279"/>
    <cellStyle name="20% - 强调文字颜色 1 3 2 2" xfId="3280"/>
    <cellStyle name="20% - 强调文字颜色 1 3 3" xfId="3281"/>
    <cellStyle name="20% - 强调文字颜色 2 2" xfId="3282"/>
    <cellStyle name="20% - 强调文字颜色 2 2 2" xfId="3283"/>
    <cellStyle name="20% - 强调文字颜色 2 2 2 2" xfId="3284"/>
    <cellStyle name="20% - 强调文字颜色 2 2 3" xfId="3285"/>
    <cellStyle name="20% - 强调文字颜色 2 3" xfId="3286"/>
    <cellStyle name="20% - 强调文字颜色 2 3 2" xfId="3287"/>
    <cellStyle name="20% - 强调文字颜色 2 3 2 2" xfId="3288"/>
    <cellStyle name="20% - 强调文字颜色 2 3 3" xfId="3289"/>
    <cellStyle name="20% - 强调文字颜色 3 2" xfId="3290"/>
    <cellStyle name="20% - 强调文字颜色 3 2 2" xfId="3291"/>
    <cellStyle name="20% - 强调文字颜色 3 2 2 2" xfId="3292"/>
    <cellStyle name="20% - 强调文字颜色 3 2 3" xfId="3293"/>
    <cellStyle name="20% - 强调文字颜色 3 3" xfId="3294"/>
    <cellStyle name="20% - 强调文字颜色 3 3 2" xfId="3295"/>
    <cellStyle name="20% - 强调文字颜色 3 3 2 2" xfId="3296"/>
    <cellStyle name="20% - 强调文字颜色 3 3 3" xfId="3297"/>
    <cellStyle name="20% - 强调文字颜色 4 2" xfId="3298"/>
    <cellStyle name="20% - 强调文字颜色 4 2 2" xfId="3299"/>
    <cellStyle name="20% - 强调文字颜色 4 2 2 2" xfId="3300"/>
    <cellStyle name="20% - 强调文字颜色 4 2 3" xfId="3301"/>
    <cellStyle name="20% - 强调文字颜色 4 3" xfId="3302"/>
    <cellStyle name="20% - 强调文字颜色 4 3 2" xfId="3303"/>
    <cellStyle name="20% - 强调文字颜色 4 3 2 2" xfId="3304"/>
    <cellStyle name="20% - 强调文字颜色 4 3 3" xfId="3305"/>
    <cellStyle name="20% - 强调文字颜色 5 2" xfId="3306"/>
    <cellStyle name="20% - 强调文字颜色 5 2 2" xfId="3307"/>
    <cellStyle name="20% - 强调文字颜色 5 2 2 2" xfId="3308"/>
    <cellStyle name="20% - 强调文字颜色 5 2 3" xfId="3309"/>
    <cellStyle name="20% - 强调文字颜色 5 3" xfId="3310"/>
    <cellStyle name="20% - 强调文字颜色 5 3 2" xfId="3311"/>
    <cellStyle name="20% - 强调文字颜色 5 3 2 2" xfId="3312"/>
    <cellStyle name="20% - 强调文字颜色 5 3 3" xfId="3313"/>
    <cellStyle name="20% - 强调文字颜色 6 2" xfId="3314"/>
    <cellStyle name="20% - 强调文字颜色 6 2 2" xfId="3315"/>
    <cellStyle name="20% - 强调文字颜色 6 2 2 2" xfId="3316"/>
    <cellStyle name="20% - 强调文字颜色 6 2 3" xfId="3317"/>
    <cellStyle name="20% - 强调文字颜色 6 3" xfId="3318"/>
    <cellStyle name="20% - 强调文字颜色 6 3 2" xfId="3319"/>
    <cellStyle name="20% - 强调文字颜色 6 3 2 2" xfId="3320"/>
    <cellStyle name="20% - 强调文字颜色 6 3 3" xfId="3321"/>
    <cellStyle name="40% - Accent1 2" xfId="1694"/>
    <cellStyle name="40% - Accent1 2 2" xfId="1695"/>
    <cellStyle name="40% - Accent1 2 3" xfId="1696"/>
    <cellStyle name="40% - Accent1 3" xfId="1697"/>
    <cellStyle name="40% - Accent1 3 2" xfId="1698"/>
    <cellStyle name="40% - Accent1 4" xfId="1699"/>
    <cellStyle name="40% - Accent2 2" xfId="1700"/>
    <cellStyle name="40% - Accent2 2 2" xfId="1701"/>
    <cellStyle name="40% - Accent2 2 3" xfId="1702"/>
    <cellStyle name="40% - Accent2 3" xfId="1703"/>
    <cellStyle name="40% - Accent2 3 2" xfId="1704"/>
    <cellStyle name="40% - Accent2 4" xfId="1705"/>
    <cellStyle name="40% - Accent3 2" xfId="1706"/>
    <cellStyle name="40% - Accent3 2 2" xfId="1707"/>
    <cellStyle name="40% - Accent3 2 3" xfId="1708"/>
    <cellStyle name="40% - Accent3 3" xfId="1709"/>
    <cellStyle name="40% - Accent3 3 2" xfId="1710"/>
    <cellStyle name="40% - Accent3 4" xfId="1711"/>
    <cellStyle name="40% - Accent4 2" xfId="1712"/>
    <cellStyle name="40% - Accent4 2 2" xfId="1713"/>
    <cellStyle name="40% - Accent4 2 3" xfId="1714"/>
    <cellStyle name="40% - Accent4 3" xfId="1715"/>
    <cellStyle name="40% - Accent4 3 2" xfId="1716"/>
    <cellStyle name="40% - Accent4 4" xfId="1717"/>
    <cellStyle name="40% - Accent5 2" xfId="1718"/>
    <cellStyle name="40% - Accent5 2 2" xfId="1719"/>
    <cellStyle name="40% - Accent5 2 3" xfId="1720"/>
    <cellStyle name="40% - Accent5 3" xfId="1721"/>
    <cellStyle name="40% - Accent5 3 2" xfId="1722"/>
    <cellStyle name="40% - Accent5 4" xfId="1723"/>
    <cellStyle name="40% - Accent6 2" xfId="1724"/>
    <cellStyle name="40% - Accent6 2 2" xfId="1725"/>
    <cellStyle name="40% - Accent6 2 3" xfId="1726"/>
    <cellStyle name="40% - Accent6 3" xfId="1727"/>
    <cellStyle name="40% - Accent6 3 2" xfId="1728"/>
    <cellStyle name="40% - Accent6 4" xfId="1729"/>
    <cellStyle name="40% - 强调文字颜色 1 2" xfId="3322"/>
    <cellStyle name="40% - 强调文字颜色 1 2 2" xfId="3323"/>
    <cellStyle name="40% - 强调文字颜色 1 2 2 2" xfId="3324"/>
    <cellStyle name="40% - 强调文字颜色 1 2 3" xfId="3325"/>
    <cellStyle name="40% - 强调文字颜色 1 3" xfId="3326"/>
    <cellStyle name="40% - 强调文字颜色 1 3 2" xfId="3327"/>
    <cellStyle name="40% - 强调文字颜色 1 3 2 2" xfId="3328"/>
    <cellStyle name="40% - 强调文字颜色 1 3 3" xfId="3329"/>
    <cellStyle name="40% - 强调文字颜色 2 2" xfId="3330"/>
    <cellStyle name="40% - 强调文字颜色 2 2 2" xfId="3331"/>
    <cellStyle name="40% - 强调文字颜色 2 2 2 2" xfId="3332"/>
    <cellStyle name="40% - 强调文字颜色 2 2 3" xfId="3333"/>
    <cellStyle name="40% - 强调文字颜色 2 3" xfId="3334"/>
    <cellStyle name="40% - 强调文字颜色 2 3 2" xfId="3335"/>
    <cellStyle name="40% - 强调文字颜色 2 3 2 2" xfId="3336"/>
    <cellStyle name="40% - 强调文字颜色 2 3 3" xfId="3337"/>
    <cellStyle name="40% - 强调文字颜色 3 2" xfId="3338"/>
    <cellStyle name="40% - 强调文字颜色 3 2 2" xfId="3339"/>
    <cellStyle name="40% - 强调文字颜色 3 2 2 2" xfId="3340"/>
    <cellStyle name="40% - 强调文字颜色 3 2 3" xfId="3341"/>
    <cellStyle name="40% - 强调文字颜色 3 3" xfId="3342"/>
    <cellStyle name="40% - 强调文字颜色 3 3 2" xfId="3343"/>
    <cellStyle name="40% - 强调文字颜色 3 3 2 2" xfId="3344"/>
    <cellStyle name="40% - 强调文字颜色 3 3 3" xfId="3345"/>
    <cellStyle name="40% - 强调文字颜色 4 2" xfId="3346"/>
    <cellStyle name="40% - 强调文字颜色 4 2 2" xfId="3347"/>
    <cellStyle name="40% - 强调文字颜色 4 2 2 2" xfId="3348"/>
    <cellStyle name="40% - 强调文字颜色 4 2 3" xfId="3349"/>
    <cellStyle name="40% - 强调文字颜色 4 3" xfId="3350"/>
    <cellStyle name="40% - 强调文字颜色 4 3 2" xfId="3351"/>
    <cellStyle name="40% - 强调文字颜色 4 3 2 2" xfId="3352"/>
    <cellStyle name="40% - 强调文字颜色 4 3 3" xfId="3353"/>
    <cellStyle name="40% - 强调文字颜色 5 2" xfId="3354"/>
    <cellStyle name="40% - 强调文字颜色 5 2 2" xfId="3355"/>
    <cellStyle name="40% - 强调文字颜色 5 2 2 2" xfId="3356"/>
    <cellStyle name="40% - 强调文字颜色 5 2 3" xfId="3357"/>
    <cellStyle name="40% - 强调文字颜色 5 3" xfId="3358"/>
    <cellStyle name="40% - 强调文字颜色 5 3 2" xfId="3359"/>
    <cellStyle name="40% - 强调文字颜色 5 3 2 2" xfId="3360"/>
    <cellStyle name="40% - 强调文字颜色 5 3 3" xfId="3361"/>
    <cellStyle name="40% - 强调文字颜色 6 2" xfId="3362"/>
    <cellStyle name="40% - 强调文字颜色 6 2 2" xfId="3363"/>
    <cellStyle name="40% - 强调文字颜色 6 2 2 2" xfId="3364"/>
    <cellStyle name="40% - 强调文字颜色 6 2 3" xfId="3365"/>
    <cellStyle name="40% - 强调文字颜色 6 3" xfId="3366"/>
    <cellStyle name="40% - 强调文字颜色 6 3 2" xfId="3367"/>
    <cellStyle name="40% - 强调文字颜色 6 3 2 2" xfId="3368"/>
    <cellStyle name="40% - 强调文字颜色 6 3 3" xfId="3369"/>
    <cellStyle name="60% - Accent1 2" xfId="1730"/>
    <cellStyle name="60% - Accent1 2 2" xfId="1731"/>
    <cellStyle name="60% - Accent1 2 3" xfId="1732"/>
    <cellStyle name="60% - Accent1 3" xfId="1733"/>
    <cellStyle name="60% - Accent1 3 2" xfId="1734"/>
    <cellStyle name="60% - Accent1 4" xfId="1735"/>
    <cellStyle name="60% - Accent2 2" xfId="1736"/>
    <cellStyle name="60% - Accent2 2 2" xfId="1737"/>
    <cellStyle name="60% - Accent2 2 3" xfId="1738"/>
    <cellStyle name="60% - Accent2 3" xfId="1739"/>
    <cellStyle name="60% - Accent2 3 2" xfId="1740"/>
    <cellStyle name="60% - Accent2 4" xfId="1741"/>
    <cellStyle name="60% - Accent3 2" xfId="1742"/>
    <cellStyle name="60% - Accent3 2 2" xfId="1743"/>
    <cellStyle name="60% - Accent3 2 3" xfId="1744"/>
    <cellStyle name="60% - Accent3 3" xfId="1745"/>
    <cellStyle name="60% - Accent3 3 2" xfId="1746"/>
    <cellStyle name="60% - Accent3 4" xfId="1747"/>
    <cellStyle name="60% - Accent4 2" xfId="1748"/>
    <cellStyle name="60% - Accent4 2 2" xfId="1749"/>
    <cellStyle name="60% - Accent4 2 3" xfId="1750"/>
    <cellStyle name="60% - Accent4 3" xfId="1751"/>
    <cellStyle name="60% - Accent4 3 2" xfId="1752"/>
    <cellStyle name="60% - Accent4 4" xfId="1753"/>
    <cellStyle name="60% - Accent5 2" xfId="1754"/>
    <cellStyle name="60% - Accent5 2 2" xfId="1755"/>
    <cellStyle name="60% - Accent5 2 3" xfId="1756"/>
    <cellStyle name="60% - Accent5 3" xfId="1757"/>
    <cellStyle name="60% - Accent5 3 2" xfId="1758"/>
    <cellStyle name="60% - Accent5 4" xfId="1759"/>
    <cellStyle name="60% - Accent6 2" xfId="1760"/>
    <cellStyle name="60% - Accent6 2 2" xfId="1761"/>
    <cellStyle name="60% - Accent6 2 3" xfId="1762"/>
    <cellStyle name="60% - Accent6 3" xfId="1763"/>
    <cellStyle name="60% - Accent6 3 2" xfId="1764"/>
    <cellStyle name="60% - Accent6 4" xfId="1765"/>
    <cellStyle name="60% - 强调文字颜色 1 2" xfId="3370"/>
    <cellStyle name="60% - 强调文字颜色 1 2 2" xfId="3371"/>
    <cellStyle name="60% - 强调文字颜色 1 2 2 2" xfId="3372"/>
    <cellStyle name="60% - 强调文字颜色 1 2 3" xfId="3373"/>
    <cellStyle name="60% - 强调文字颜色 1 3" xfId="3374"/>
    <cellStyle name="60% - 强调文字颜色 1 3 2" xfId="3375"/>
    <cellStyle name="60% - 强调文字颜色 1 3 2 2" xfId="3376"/>
    <cellStyle name="60% - 强调文字颜色 1 3 3" xfId="3377"/>
    <cellStyle name="60% - 强调文字颜色 2 2" xfId="3378"/>
    <cellStyle name="60% - 强调文字颜色 2 2 2" xfId="3379"/>
    <cellStyle name="60% - 强调文字颜色 2 2 2 2" xfId="3380"/>
    <cellStyle name="60% - 强调文字颜色 2 2 3" xfId="3381"/>
    <cellStyle name="60% - 强调文字颜色 2 3" xfId="3382"/>
    <cellStyle name="60% - 强调文字颜色 2 3 2" xfId="3383"/>
    <cellStyle name="60% - 强调文字颜色 2 3 2 2" xfId="3384"/>
    <cellStyle name="60% - 强调文字颜色 2 3 3" xfId="3385"/>
    <cellStyle name="60% - 强调文字颜色 3 2" xfId="3386"/>
    <cellStyle name="60% - 强调文字颜色 3 2 2" xfId="3387"/>
    <cellStyle name="60% - 强调文字颜色 3 2 2 2" xfId="3388"/>
    <cellStyle name="60% - 强调文字颜色 3 2 3" xfId="3389"/>
    <cellStyle name="60% - 强调文字颜色 3 3" xfId="3390"/>
    <cellStyle name="60% - 强调文字颜色 3 3 2" xfId="3391"/>
    <cellStyle name="60% - 强调文字颜色 3 3 2 2" xfId="3392"/>
    <cellStyle name="60% - 强调文字颜色 3 3 3" xfId="3393"/>
    <cellStyle name="60% - 强调文字颜色 4 2" xfId="3394"/>
    <cellStyle name="60% - 强调文字颜色 4 2 2" xfId="3395"/>
    <cellStyle name="60% - 强调文字颜色 4 2 2 2" xfId="3396"/>
    <cellStyle name="60% - 强调文字颜色 4 2 3" xfId="3397"/>
    <cellStyle name="60% - 强调文字颜色 4 3" xfId="3398"/>
    <cellStyle name="60% - 强调文字颜色 4 3 2" xfId="3399"/>
    <cellStyle name="60% - 强调文字颜色 4 3 2 2" xfId="3400"/>
    <cellStyle name="60% - 强调文字颜色 4 3 3" xfId="3401"/>
    <cellStyle name="60% - 强调文字颜色 5 2" xfId="3402"/>
    <cellStyle name="60% - 强调文字颜色 5 2 2" xfId="3403"/>
    <cellStyle name="60% - 强调文字颜色 5 2 2 2" xfId="3404"/>
    <cellStyle name="60% - 强调文字颜色 5 2 3" xfId="3405"/>
    <cellStyle name="60% - 强调文字颜色 5 3" xfId="3406"/>
    <cellStyle name="60% - 强调文字颜色 5 3 2" xfId="3407"/>
    <cellStyle name="60% - 强调文字颜色 5 3 2 2" xfId="3408"/>
    <cellStyle name="60% - 强调文字颜色 5 3 3" xfId="3409"/>
    <cellStyle name="60% - 强调文字颜色 6 2" xfId="3410"/>
    <cellStyle name="60% - 强调文字颜色 6 2 2" xfId="3411"/>
    <cellStyle name="60% - 强调文字颜色 6 2 2 2" xfId="3412"/>
    <cellStyle name="60% - 强调文字颜色 6 2 3" xfId="3413"/>
    <cellStyle name="60% - 强调文字颜色 6 3" xfId="3414"/>
    <cellStyle name="60% - 强调文字颜色 6 3 2" xfId="3415"/>
    <cellStyle name="60% - 强调文字颜色 6 3 2 2" xfId="3416"/>
    <cellStyle name="60% - 强调文字颜色 6 3 3" xfId="3417"/>
    <cellStyle name="75" xfId="1766"/>
    <cellStyle name="aaa" xfId="1767"/>
    <cellStyle name="Accent1 - 20%" xfId="1768"/>
    <cellStyle name="Accent1 - 40%" xfId="1769"/>
    <cellStyle name="Accent1 - 60%" xfId="1770"/>
    <cellStyle name="Accent1 2" xfId="1771"/>
    <cellStyle name="Accent1 2 2" xfId="1772"/>
    <cellStyle name="Accent1 2 3" xfId="1773"/>
    <cellStyle name="Accent1 3" xfId="1774"/>
    <cellStyle name="Accent1 3 2" xfId="1775"/>
    <cellStyle name="Accent1 4" xfId="1776"/>
    <cellStyle name="Accent2 - 20%" xfId="1777"/>
    <cellStyle name="Accent2 - 40%" xfId="1778"/>
    <cellStyle name="Accent2 - 60%" xfId="1779"/>
    <cellStyle name="Accent2 2" xfId="1780"/>
    <cellStyle name="Accent2 2 2" xfId="1781"/>
    <cellStyle name="Accent2 2 3" xfId="1782"/>
    <cellStyle name="Accent2 3" xfId="1783"/>
    <cellStyle name="Accent2 3 2" xfId="1784"/>
    <cellStyle name="Accent2 4" xfId="1785"/>
    <cellStyle name="Accent3 - 20%" xfId="1786"/>
    <cellStyle name="Accent3 - 40%" xfId="1787"/>
    <cellStyle name="Accent3 - 60%" xfId="1788"/>
    <cellStyle name="Accent3 2" xfId="1789"/>
    <cellStyle name="Accent3 2 2" xfId="1790"/>
    <cellStyle name="Accent3 2 3" xfId="1791"/>
    <cellStyle name="Accent3 3" xfId="1792"/>
    <cellStyle name="Accent3 3 2" xfId="1793"/>
    <cellStyle name="Accent3 4" xfId="1794"/>
    <cellStyle name="Accent4 - 20%" xfId="1795"/>
    <cellStyle name="Accent4 - 40%" xfId="1796"/>
    <cellStyle name="Accent4 - 60%" xfId="1797"/>
    <cellStyle name="Accent4 2" xfId="1798"/>
    <cellStyle name="Accent4 2 2" xfId="1799"/>
    <cellStyle name="Accent4 2 3" xfId="1800"/>
    <cellStyle name="Accent4 3" xfId="1801"/>
    <cellStyle name="Accent4 3 2" xfId="1802"/>
    <cellStyle name="Accent4 4" xfId="1803"/>
    <cellStyle name="Accent5 - 20%" xfId="1804"/>
    <cellStyle name="Accent5 - 40%" xfId="1805"/>
    <cellStyle name="Accent5 - 60%" xfId="1806"/>
    <cellStyle name="Accent5 2" xfId="1807"/>
    <cellStyle name="Accent5 2 2" xfId="1808"/>
    <cellStyle name="Accent5 2 3" xfId="1809"/>
    <cellStyle name="Accent5 3" xfId="1810"/>
    <cellStyle name="Accent5 3 2" xfId="1811"/>
    <cellStyle name="Accent5 4" xfId="1812"/>
    <cellStyle name="Accent6 - 20%" xfId="1813"/>
    <cellStyle name="Accent6 - 40%" xfId="1814"/>
    <cellStyle name="Accent6 - 60%" xfId="1815"/>
    <cellStyle name="Accent6 2" xfId="1816"/>
    <cellStyle name="Accent6 2 2" xfId="1817"/>
    <cellStyle name="Accent6 2 3" xfId="1818"/>
    <cellStyle name="Accent6 3" xfId="1819"/>
    <cellStyle name="Accent6 3 2" xfId="1820"/>
    <cellStyle name="Accent6 4" xfId="1821"/>
    <cellStyle name="Acquisition" xfId="1822"/>
    <cellStyle name="Across" xfId="1823"/>
    <cellStyle name="ÅëÈ­ [0]_±âÅ¸" xfId="1824"/>
    <cellStyle name="ÅëÈ­_±âÅ¸" xfId="1825"/>
    <cellStyle name="AFE" xfId="1826"/>
    <cellStyle name="ag" xfId="1827"/>
    <cellStyle name="Andre's Title" xfId="1828"/>
    <cellStyle name="Arial 10" xfId="1829"/>
    <cellStyle name="Arial 12" xfId="1830"/>
    <cellStyle name="AssmpComma" xfId="1831"/>
    <cellStyle name="AssmpDate" xfId="1832"/>
    <cellStyle name="AssmpPercent" xfId="1833"/>
    <cellStyle name="AssmpScenario" xfId="1834"/>
    <cellStyle name="Assumption" xfId="1835"/>
    <cellStyle name="AssumptionComma" xfId="1836"/>
    <cellStyle name="AssumptionPercent" xfId="1837"/>
    <cellStyle name="AssumptnScenario" xfId="1838"/>
    <cellStyle name="ÄÞ¸¶ [0]_±âÅ¸" xfId="1839"/>
    <cellStyle name="ÄÞ¸¶_±âÅ¸" xfId="1840"/>
    <cellStyle name="Bad 2" xfId="1841"/>
    <cellStyle name="Bad 2 2" xfId="1842"/>
    <cellStyle name="Bad 2 3" xfId="1843"/>
    <cellStyle name="Bad 3" xfId="1844"/>
    <cellStyle name="Bad 3 2" xfId="1845"/>
    <cellStyle name="Bad 4" xfId="1846"/>
    <cellStyle name="Blank" xfId="1847"/>
    <cellStyle name="Blue" xfId="1848"/>
    <cellStyle name="Blue 2" xfId="1849"/>
    <cellStyle name="blue shading" xfId="1850"/>
    <cellStyle name="bluepercent" xfId="1851"/>
    <cellStyle name="Body_$Dollars" xfId="1852"/>
    <cellStyle name="bold" xfId="1853"/>
    <cellStyle name="Bold/Border" xfId="1854"/>
    <cellStyle name="Bold/Border 2" xfId="1855"/>
    <cellStyle name="Border" xfId="1856"/>
    <cellStyle name="Bottom" xfId="1857"/>
    <cellStyle name="Bottom 2" xfId="1858"/>
    <cellStyle name="BoxHeading" xfId="1859"/>
    <cellStyle name="bp--" xfId="1860"/>
    <cellStyle name="Brand Align Left Text" xfId="1861"/>
    <cellStyle name="Brand Align Left Text 10" xfId="1862"/>
    <cellStyle name="Brand Align Left Text 10 2" xfId="1863"/>
    <cellStyle name="Brand Align Left Text 11" xfId="1864"/>
    <cellStyle name="Brand Align Left Text 11 2" xfId="1865"/>
    <cellStyle name="Brand Align Left Text 12" xfId="1866"/>
    <cellStyle name="Brand Align Left Text 12 2" xfId="1867"/>
    <cellStyle name="Brand Align Left Text 13" xfId="1868"/>
    <cellStyle name="Brand Align Left Text 13 2" xfId="1869"/>
    <cellStyle name="Brand Align Left Text 14" xfId="1870"/>
    <cellStyle name="Brand Align Left Text 14 2" xfId="1871"/>
    <cellStyle name="Brand Align Left Text 15" xfId="1872"/>
    <cellStyle name="Brand Align Left Text 15 2" xfId="1873"/>
    <cellStyle name="Brand Align Left Text 16" xfId="1874"/>
    <cellStyle name="Brand Align Left Text 16 2" xfId="1875"/>
    <cellStyle name="Brand Align Left Text 17" xfId="1876"/>
    <cellStyle name="Brand Align Left Text 17 2" xfId="1877"/>
    <cellStyle name="Brand Align Left Text 2" xfId="1878"/>
    <cellStyle name="Brand Align Left Text 2 2" xfId="1879"/>
    <cellStyle name="Brand Align Left Text 3" xfId="1880"/>
    <cellStyle name="Brand Align Left Text 3 2" xfId="1881"/>
    <cellStyle name="Brand Align Left Text 4" xfId="1882"/>
    <cellStyle name="Brand Align Left Text 4 2" xfId="1883"/>
    <cellStyle name="Brand Align Left Text 5" xfId="1884"/>
    <cellStyle name="Brand Align Left Text 5 2" xfId="1885"/>
    <cellStyle name="Brand Align Left Text 6" xfId="1886"/>
    <cellStyle name="Brand Align Left Text 6 2" xfId="1887"/>
    <cellStyle name="Brand Align Left Text 7" xfId="1888"/>
    <cellStyle name="Brand Align Left Text 7 2" xfId="1889"/>
    <cellStyle name="Brand Align Left Text 8" xfId="1890"/>
    <cellStyle name="Brand Align Left Text 8 2" xfId="1891"/>
    <cellStyle name="Brand Align Left Text 9" xfId="1892"/>
    <cellStyle name="Brand Align Left Text 9 2" xfId="1893"/>
    <cellStyle name="Brand Default" xfId="1894"/>
    <cellStyle name="Brand Default 10" xfId="1895"/>
    <cellStyle name="Brand Default 10 2" xfId="1896"/>
    <cellStyle name="Brand Default 11" xfId="1897"/>
    <cellStyle name="Brand Default 11 2" xfId="1898"/>
    <cellStyle name="Brand Default 12" xfId="1899"/>
    <cellStyle name="Brand Default 12 2" xfId="1900"/>
    <cellStyle name="Brand Default 13" xfId="1901"/>
    <cellStyle name="Brand Default 13 2" xfId="1902"/>
    <cellStyle name="Brand Default 14" xfId="1903"/>
    <cellStyle name="Brand Default 14 2" xfId="1904"/>
    <cellStyle name="Brand Default 15" xfId="1905"/>
    <cellStyle name="Brand Default 15 2" xfId="1906"/>
    <cellStyle name="Brand Default 16" xfId="1907"/>
    <cellStyle name="Brand Default 16 2" xfId="1908"/>
    <cellStyle name="Brand Default 17" xfId="1909"/>
    <cellStyle name="Brand Default 17 2" xfId="1910"/>
    <cellStyle name="Brand Default 2" xfId="1911"/>
    <cellStyle name="Brand Default 2 2" xfId="1912"/>
    <cellStyle name="Brand Default 3" xfId="1913"/>
    <cellStyle name="Brand Default 3 2" xfId="1914"/>
    <cellStyle name="Brand Default 4" xfId="1915"/>
    <cellStyle name="Brand Default 4 2" xfId="1916"/>
    <cellStyle name="Brand Default 5" xfId="1917"/>
    <cellStyle name="Brand Default 5 2" xfId="1918"/>
    <cellStyle name="Brand Default 6" xfId="1919"/>
    <cellStyle name="Brand Default 6 2" xfId="1920"/>
    <cellStyle name="Brand Default 7" xfId="1921"/>
    <cellStyle name="Brand Default 7 2" xfId="1922"/>
    <cellStyle name="Brand Default 8" xfId="1923"/>
    <cellStyle name="Brand Default 8 2" xfId="1924"/>
    <cellStyle name="Brand Default 9" xfId="1925"/>
    <cellStyle name="Brand Default 9 2" xfId="1926"/>
    <cellStyle name="Brand Percent" xfId="1927"/>
    <cellStyle name="Brand Percent 10" xfId="1928"/>
    <cellStyle name="Brand Percent 10 2" xfId="1929"/>
    <cellStyle name="Brand Percent 11" xfId="1930"/>
    <cellStyle name="Brand Percent 11 2" xfId="1931"/>
    <cellStyle name="Brand Percent 12" xfId="1932"/>
    <cellStyle name="Brand Percent 12 2" xfId="1933"/>
    <cellStyle name="Brand Percent 13" xfId="1934"/>
    <cellStyle name="Brand Percent 13 2" xfId="1935"/>
    <cellStyle name="Brand Percent 14" xfId="1936"/>
    <cellStyle name="Brand Percent 14 2" xfId="1937"/>
    <cellStyle name="Brand Percent 15" xfId="1938"/>
    <cellStyle name="Brand Percent 15 2" xfId="1939"/>
    <cellStyle name="Brand Percent 16" xfId="1940"/>
    <cellStyle name="Brand Percent 16 2" xfId="1941"/>
    <cellStyle name="Brand Percent 17" xfId="1942"/>
    <cellStyle name="Brand Percent 17 2" xfId="1943"/>
    <cellStyle name="Brand Percent 2" xfId="1944"/>
    <cellStyle name="Brand Percent 2 2" xfId="1945"/>
    <cellStyle name="Brand Percent 3" xfId="1946"/>
    <cellStyle name="Brand Percent 3 2" xfId="1947"/>
    <cellStyle name="Brand Percent 4" xfId="1948"/>
    <cellStyle name="Brand Percent 4 2" xfId="1949"/>
    <cellStyle name="Brand Percent 5" xfId="1950"/>
    <cellStyle name="Brand Percent 5 2" xfId="1951"/>
    <cellStyle name="Brand Percent 6" xfId="1952"/>
    <cellStyle name="Brand Percent 6 2" xfId="1953"/>
    <cellStyle name="Brand Percent 7" xfId="1954"/>
    <cellStyle name="Brand Percent 7 2" xfId="1955"/>
    <cellStyle name="Brand Percent 8" xfId="1956"/>
    <cellStyle name="Brand Percent 8 2" xfId="1957"/>
    <cellStyle name="Brand Percent 9" xfId="1958"/>
    <cellStyle name="Brand Percent 9 2" xfId="1959"/>
    <cellStyle name="Brand Source" xfId="1960"/>
    <cellStyle name="Brand Source 10" xfId="1961"/>
    <cellStyle name="Brand Source 10 2" xfId="1962"/>
    <cellStyle name="Brand Source 11" xfId="1963"/>
    <cellStyle name="Brand Source 11 2" xfId="1964"/>
    <cellStyle name="Brand Source 12" xfId="1965"/>
    <cellStyle name="Brand Source 12 2" xfId="1966"/>
    <cellStyle name="Brand Source 13" xfId="1967"/>
    <cellStyle name="Brand Source 13 2" xfId="1968"/>
    <cellStyle name="Brand Source 14" xfId="1969"/>
    <cellStyle name="Brand Source 14 2" xfId="1970"/>
    <cellStyle name="Brand Source 15" xfId="1971"/>
    <cellStyle name="Brand Source 15 2" xfId="1972"/>
    <cellStyle name="Brand Source 16" xfId="1973"/>
    <cellStyle name="Brand Source 16 2" xfId="1974"/>
    <cellStyle name="Brand Source 17" xfId="1975"/>
    <cellStyle name="Brand Source 17 2" xfId="1976"/>
    <cellStyle name="Brand Source 2" xfId="1977"/>
    <cellStyle name="Brand Source 2 2" xfId="1978"/>
    <cellStyle name="Brand Source 3" xfId="1979"/>
    <cellStyle name="Brand Source 3 2" xfId="1980"/>
    <cellStyle name="Brand Source 4" xfId="1981"/>
    <cellStyle name="Brand Source 4 2" xfId="1982"/>
    <cellStyle name="Brand Source 5" xfId="1983"/>
    <cellStyle name="Brand Source 5 2" xfId="1984"/>
    <cellStyle name="Brand Source 6" xfId="1985"/>
    <cellStyle name="Brand Source 6 2" xfId="1986"/>
    <cellStyle name="Brand Source 7" xfId="1987"/>
    <cellStyle name="Brand Source 7 2" xfId="1988"/>
    <cellStyle name="Brand Source 8" xfId="1989"/>
    <cellStyle name="Brand Source 8 2" xfId="1990"/>
    <cellStyle name="Brand Source 9" xfId="1991"/>
    <cellStyle name="Brand Source 9 2" xfId="1992"/>
    <cellStyle name="Brand Subtitle with Underline" xfId="1993"/>
    <cellStyle name="Brand Subtitle with Underline 10" xfId="1994"/>
    <cellStyle name="Brand Subtitle with Underline 10 2" xfId="1995"/>
    <cellStyle name="Brand Subtitle with Underline 11" xfId="1996"/>
    <cellStyle name="Brand Subtitle with Underline 11 2" xfId="1997"/>
    <cellStyle name="Brand Subtitle with Underline 12" xfId="1998"/>
    <cellStyle name="Brand Subtitle with Underline 12 2" xfId="1999"/>
    <cellStyle name="Brand Subtitle with Underline 13" xfId="2000"/>
    <cellStyle name="Brand Subtitle with Underline 13 2" xfId="2001"/>
    <cellStyle name="Brand Subtitle with Underline 14" xfId="2002"/>
    <cellStyle name="Brand Subtitle with Underline 14 2" xfId="2003"/>
    <cellStyle name="Brand Subtitle with Underline 15" xfId="2004"/>
    <cellStyle name="Brand Subtitle with Underline 15 2" xfId="2005"/>
    <cellStyle name="Brand Subtitle with Underline 16" xfId="2006"/>
    <cellStyle name="Brand Subtitle with Underline 16 2" xfId="2007"/>
    <cellStyle name="Brand Subtitle with Underline 17" xfId="2008"/>
    <cellStyle name="Brand Subtitle with Underline 17 2" xfId="2009"/>
    <cellStyle name="Brand Subtitle with Underline 2" xfId="2010"/>
    <cellStyle name="Brand Subtitle with Underline 2 2" xfId="2011"/>
    <cellStyle name="Brand Subtitle with Underline 3" xfId="2012"/>
    <cellStyle name="Brand Subtitle with Underline 3 2" xfId="2013"/>
    <cellStyle name="Brand Subtitle with Underline 4" xfId="2014"/>
    <cellStyle name="Brand Subtitle with Underline 4 2" xfId="2015"/>
    <cellStyle name="Brand Subtitle with Underline 5" xfId="2016"/>
    <cellStyle name="Brand Subtitle with Underline 5 2" xfId="2017"/>
    <cellStyle name="Brand Subtitle with Underline 6" xfId="2018"/>
    <cellStyle name="Brand Subtitle with Underline 6 2" xfId="2019"/>
    <cellStyle name="Brand Subtitle with Underline 7" xfId="2020"/>
    <cellStyle name="Brand Subtitle with Underline 7 2" xfId="2021"/>
    <cellStyle name="Brand Subtitle with Underline 8" xfId="2022"/>
    <cellStyle name="Brand Subtitle with Underline 8 2" xfId="2023"/>
    <cellStyle name="Brand Subtitle with Underline 9" xfId="2024"/>
    <cellStyle name="Brand Subtitle with Underline 9 2" xfId="2025"/>
    <cellStyle name="Brand Subtitle without Underline" xfId="2026"/>
    <cellStyle name="Brand Subtitle without Underline 10" xfId="2027"/>
    <cellStyle name="Brand Subtitle without Underline 10 2" xfId="2028"/>
    <cellStyle name="Brand Subtitle without Underline 11" xfId="2029"/>
    <cellStyle name="Brand Subtitle without Underline 11 2" xfId="2030"/>
    <cellStyle name="Brand Subtitle without Underline 12" xfId="2031"/>
    <cellStyle name="Brand Subtitle without Underline 12 2" xfId="2032"/>
    <cellStyle name="Brand Subtitle without Underline 13" xfId="2033"/>
    <cellStyle name="Brand Subtitle without Underline 13 2" xfId="2034"/>
    <cellStyle name="Brand Subtitle without Underline 14" xfId="2035"/>
    <cellStyle name="Brand Subtitle without Underline 14 2" xfId="2036"/>
    <cellStyle name="Brand Subtitle without Underline 15" xfId="2037"/>
    <cellStyle name="Brand Subtitle without Underline 15 2" xfId="2038"/>
    <cellStyle name="Brand Subtitle without Underline 16" xfId="2039"/>
    <cellStyle name="Brand Subtitle without Underline 16 2" xfId="2040"/>
    <cellStyle name="Brand Subtitle without Underline 17" xfId="2041"/>
    <cellStyle name="Brand Subtitle without Underline 17 2" xfId="2042"/>
    <cellStyle name="Brand Subtitle without Underline 2" xfId="2043"/>
    <cellStyle name="Brand Subtitle without Underline 2 2" xfId="2044"/>
    <cellStyle name="Brand Subtitle without Underline 3" xfId="2045"/>
    <cellStyle name="Brand Subtitle without Underline 3 2" xfId="2046"/>
    <cellStyle name="Brand Subtitle without Underline 4" xfId="2047"/>
    <cellStyle name="Brand Subtitle without Underline 4 2" xfId="2048"/>
    <cellStyle name="Brand Subtitle without Underline 5" xfId="2049"/>
    <cellStyle name="Brand Subtitle without Underline 5 2" xfId="2050"/>
    <cellStyle name="Brand Subtitle without Underline 6" xfId="2051"/>
    <cellStyle name="Brand Subtitle without Underline 6 2" xfId="2052"/>
    <cellStyle name="Brand Subtitle without Underline 7" xfId="2053"/>
    <cellStyle name="Brand Subtitle without Underline 7 2" xfId="2054"/>
    <cellStyle name="Brand Subtitle without Underline 8" xfId="2055"/>
    <cellStyle name="Brand Subtitle without Underline 8 2" xfId="2056"/>
    <cellStyle name="Brand Subtitle without Underline 9" xfId="2057"/>
    <cellStyle name="Brand Subtitle without Underline 9 2" xfId="2058"/>
    <cellStyle name="Brand Title" xfId="2059"/>
    <cellStyle name="Brand Title 10" xfId="2060"/>
    <cellStyle name="Brand Title 10 2" xfId="2061"/>
    <cellStyle name="Brand Title 11" xfId="2062"/>
    <cellStyle name="Brand Title 11 2" xfId="2063"/>
    <cellStyle name="Brand Title 12" xfId="2064"/>
    <cellStyle name="Brand Title 12 2" xfId="2065"/>
    <cellStyle name="Brand Title 13" xfId="2066"/>
    <cellStyle name="Brand Title 13 2" xfId="2067"/>
    <cellStyle name="Brand Title 14" xfId="2068"/>
    <cellStyle name="Brand Title 14 2" xfId="2069"/>
    <cellStyle name="Brand Title 15" xfId="2070"/>
    <cellStyle name="Brand Title 15 2" xfId="2071"/>
    <cellStyle name="Brand Title 16" xfId="2072"/>
    <cellStyle name="Brand Title 16 2" xfId="2073"/>
    <cellStyle name="Brand Title 17" xfId="2074"/>
    <cellStyle name="Brand Title 17 2" xfId="2075"/>
    <cellStyle name="Brand Title 2" xfId="2076"/>
    <cellStyle name="Brand Title 2 2" xfId="2077"/>
    <cellStyle name="Brand Title 3" xfId="2078"/>
    <cellStyle name="Brand Title 3 2" xfId="2079"/>
    <cellStyle name="Brand Title 4" xfId="2080"/>
    <cellStyle name="Brand Title 4 2" xfId="2081"/>
    <cellStyle name="Brand Title 5" xfId="2082"/>
    <cellStyle name="Brand Title 5 2" xfId="2083"/>
    <cellStyle name="Brand Title 6" xfId="2084"/>
    <cellStyle name="Brand Title 6 2" xfId="2085"/>
    <cellStyle name="Brand Title 7" xfId="2086"/>
    <cellStyle name="Brand Title 7 2" xfId="2087"/>
    <cellStyle name="Brand Title 8" xfId="2088"/>
    <cellStyle name="Brand Title 8 2" xfId="2089"/>
    <cellStyle name="Brand Title 9" xfId="2090"/>
    <cellStyle name="Brand Title 9 2" xfId="2091"/>
    <cellStyle name="British Pound" xfId="2092"/>
    <cellStyle name="British Pound[2]" xfId="2093"/>
    <cellStyle name="British Pound_Frozen Foods LBO -v7" xfId="2094"/>
    <cellStyle name="Bullet" xfId="2095"/>
    <cellStyle name="Business Description" xfId="2096"/>
    <cellStyle name="c" xfId="2097"/>
    <cellStyle name="Ç¥ÁØ_¿¬°£´©°è¿¹»ó" xfId="2098"/>
    <cellStyle name="CALC Amount" xfId="2099"/>
    <cellStyle name="CALC Amount [1]" xfId="2100"/>
    <cellStyle name="CALC Amount [2]" xfId="2101"/>
    <cellStyle name="CALC Amount Total" xfId="2102"/>
    <cellStyle name="CALC Amount Total [1]" xfId="2103"/>
    <cellStyle name="CALC Amount Total [2]" xfId="2104"/>
    <cellStyle name="CALC Currency" xfId="2105"/>
    <cellStyle name="CALC Currency [1]" xfId="2106"/>
    <cellStyle name="CALC Currency [2]" xfId="2107"/>
    <cellStyle name="CALC Currency Total" xfId="2108"/>
    <cellStyle name="CALC Currency Total [1]" xfId="2109"/>
    <cellStyle name="CALC Currency Total [2]" xfId="2110"/>
    <cellStyle name="CALC Date Long" xfId="2111"/>
    <cellStyle name="CALC Date Short" xfId="2112"/>
    <cellStyle name="CALC Percent" xfId="2113"/>
    <cellStyle name="CALC Percent [1]" xfId="2114"/>
    <cellStyle name="CALC Percent [2]" xfId="2115"/>
    <cellStyle name="CALC Percent Total" xfId="2116"/>
    <cellStyle name="CALC Percent Total [1]" xfId="2117"/>
    <cellStyle name="CALC Percent Total [2]" xfId="2118"/>
    <cellStyle name="Calculation 2" xfId="2119"/>
    <cellStyle name="Calculation 2 2" xfId="2120"/>
    <cellStyle name="Calculation 2 3" xfId="2121"/>
    <cellStyle name="Calculation 3" xfId="2122"/>
    <cellStyle name="Calculation 3 2" xfId="2123"/>
    <cellStyle name="Calculation 4" xfId="2124"/>
    <cellStyle name="Case" xfId="2125"/>
    <cellStyle name="Cat title white end" xfId="2126"/>
    <cellStyle name="category" xfId="2127"/>
    <cellStyle name="Center" xfId="2128"/>
    <cellStyle name="Check Cell 2" xfId="2129"/>
    <cellStyle name="Check Cell 2 2" xfId="2130"/>
    <cellStyle name="Check Cell 2 3" xfId="2131"/>
    <cellStyle name="Check Cell 3" xfId="2132"/>
    <cellStyle name="Check Cell 3 2" xfId="2133"/>
    <cellStyle name="Check Cell 4" xfId="2134"/>
    <cellStyle name="Clear" xfId="2135"/>
    <cellStyle name="Co. Names" xfId="2136"/>
    <cellStyle name="Co. Names - Bold" xfId="2137"/>
    <cellStyle name="Co. Names_Break-Up" xfId="2138"/>
    <cellStyle name="Col Head" xfId="2139"/>
    <cellStyle name="COL HEADINGS" xfId="2140"/>
    <cellStyle name="COL HEADINGS 2" xfId="2141"/>
    <cellStyle name="Col title" xfId="2142"/>
    <cellStyle name="Col title &quot;years&quot; (eg 4 years)" xfId="2143"/>
    <cellStyle name="Col title dates (m-y)" xfId="2144"/>
    <cellStyle name="Col title multplie" xfId="2145"/>
    <cellStyle name="Col title percent" xfId="2146"/>
    <cellStyle name="Col title year(eg 2004)" xfId="2147"/>
    <cellStyle name="ColLevel_0" xfId="3418"/>
    <cellStyle name="Color" xfId="2148"/>
    <cellStyle name="Column head" xfId="2149"/>
    <cellStyle name="Column_Title" xfId="3419"/>
    <cellStyle name="ColumnHead" xfId="2150"/>
    <cellStyle name="ColumnHead 2" xfId="2151"/>
    <cellStyle name="Comma" xfId="1" builtinId="3"/>
    <cellStyle name="Comma  - Style1" xfId="2152"/>
    <cellStyle name="Comma  - Style2" xfId="2153"/>
    <cellStyle name="Comma  - Style3" xfId="2154"/>
    <cellStyle name="Comma  - Style4" xfId="2155"/>
    <cellStyle name="Comma  - Style5" xfId="2156"/>
    <cellStyle name="Comma  - Style6" xfId="2157"/>
    <cellStyle name="Comma  - Style7" xfId="2158"/>
    <cellStyle name="Comma  - Style8" xfId="2159"/>
    <cellStyle name="Comma [1]" xfId="2160"/>
    <cellStyle name="Comma 0" xfId="2161"/>
    <cellStyle name="Comma 0*" xfId="2162"/>
    <cellStyle name="Comma 10" xfId="3"/>
    <cellStyle name="Comma 11" xfId="2163"/>
    <cellStyle name="Comma 12" xfId="2164"/>
    <cellStyle name="Comma 13" xfId="2165"/>
    <cellStyle name="Comma 13 2" xfId="2166"/>
    <cellStyle name="Comma 14" xfId="2167"/>
    <cellStyle name="Comma 14 2" xfId="2168"/>
    <cellStyle name="Comma 14 2 2" xfId="2169"/>
    <cellStyle name="Comma 15" xfId="2170"/>
    <cellStyle name="Comma 16" xfId="2171"/>
    <cellStyle name="Comma 17" xfId="2172"/>
    <cellStyle name="Comma 18" xfId="2173"/>
    <cellStyle name="Comma 19" xfId="2174"/>
    <cellStyle name="Comma 2" xfId="2175"/>
    <cellStyle name="Comma 2 10" xfId="2176"/>
    <cellStyle name="Comma 2 10 2" xfId="2177"/>
    <cellStyle name="Comma 2 11" xfId="2178"/>
    <cellStyle name="Comma 2 11 2" xfId="2179"/>
    <cellStyle name="Comma 2 12" xfId="2180"/>
    <cellStyle name="Comma 2 12 2" xfId="2181"/>
    <cellStyle name="Comma 2 13" xfId="2182"/>
    <cellStyle name="Comma 2 13 2" xfId="2183"/>
    <cellStyle name="Comma 2 14" xfId="2184"/>
    <cellStyle name="Comma 2 14 2" xfId="2185"/>
    <cellStyle name="Comma 2 15" xfId="2186"/>
    <cellStyle name="Comma 2 15 2" xfId="2187"/>
    <cellStyle name="Comma 2 16" xfId="2188"/>
    <cellStyle name="Comma 2 16 2" xfId="2189"/>
    <cellStyle name="Comma 2 17" xfId="2190"/>
    <cellStyle name="Comma 2 17 2" xfId="2191"/>
    <cellStyle name="Comma 2 18" xfId="2192"/>
    <cellStyle name="Comma 2 2" xfId="2193"/>
    <cellStyle name="Comma 2 2 2" xfId="2194"/>
    <cellStyle name="Comma 2 3" xfId="2195"/>
    <cellStyle name="Comma 2 3 2" xfId="2196"/>
    <cellStyle name="Comma 2 4" xfId="2197"/>
    <cellStyle name="Comma 2 4 2" xfId="2198"/>
    <cellStyle name="Comma 2 5" xfId="2199"/>
    <cellStyle name="Comma 2 5 2" xfId="2200"/>
    <cellStyle name="Comma 2 6" xfId="2201"/>
    <cellStyle name="Comma 2 6 2" xfId="2202"/>
    <cellStyle name="Comma 2 7" xfId="2203"/>
    <cellStyle name="Comma 2 7 2" xfId="2204"/>
    <cellStyle name="Comma 2 8" xfId="2205"/>
    <cellStyle name="Comma 2 8 2" xfId="2206"/>
    <cellStyle name="Comma 2 9" xfId="2207"/>
    <cellStyle name="Comma 2 9 2" xfId="2208"/>
    <cellStyle name="Comma 20" xfId="2209"/>
    <cellStyle name="Comma 21" xfId="2210"/>
    <cellStyle name="Comma 22" xfId="2211"/>
    <cellStyle name="Comma 23" xfId="2212"/>
    <cellStyle name="Comma 24" xfId="2213"/>
    <cellStyle name="Comma 25" xfId="2214"/>
    <cellStyle name="Comma 26" xfId="2215"/>
    <cellStyle name="Comma 27" xfId="2216"/>
    <cellStyle name="Comma 28" xfId="2217"/>
    <cellStyle name="Comma 29" xfId="2218"/>
    <cellStyle name="Comma 3" xfId="2219"/>
    <cellStyle name="Comma 3 2" xfId="2220"/>
    <cellStyle name="Comma 3 3" xfId="2221"/>
    <cellStyle name="Comma 3 4" xfId="2222"/>
    <cellStyle name="Comma 3 5" xfId="2223"/>
    <cellStyle name="Comma 3 6" xfId="2224"/>
    <cellStyle name="Comma 3 7" xfId="2225"/>
    <cellStyle name="Comma 3 8" xfId="2226"/>
    <cellStyle name="Comma 3*" xfId="2227"/>
    <cellStyle name="Comma 30" xfId="2228"/>
    <cellStyle name="Comma 31" xfId="2229"/>
    <cellStyle name="Comma 32" xfId="2230"/>
    <cellStyle name="Comma 33" xfId="2231"/>
    <cellStyle name="Comma 34" xfId="2232"/>
    <cellStyle name="Comma 35" xfId="2233"/>
    <cellStyle name="Comma 36" xfId="2234"/>
    <cellStyle name="Comma 37" xfId="2235"/>
    <cellStyle name="Comma 38" xfId="2236"/>
    <cellStyle name="Comma 39" xfId="2237"/>
    <cellStyle name="Comma 4" xfId="2238"/>
    <cellStyle name="Comma 4 2" xfId="2239"/>
    <cellStyle name="Comma 4 2 2" xfId="2240"/>
    <cellStyle name="Comma 4 3" xfId="2241"/>
    <cellStyle name="Comma 4 4" xfId="2242"/>
    <cellStyle name="Comma 4 5" xfId="2243"/>
    <cellStyle name="Comma 4_Reply to Audit queries_22.4.2010(1)" xfId="2244"/>
    <cellStyle name="Comma 40" xfId="2245"/>
    <cellStyle name="Comma 41" xfId="2246"/>
    <cellStyle name="Comma 42" xfId="2247"/>
    <cellStyle name="Comma 43" xfId="2248"/>
    <cellStyle name="Comma 43 2" xfId="2249"/>
    <cellStyle name="Comma 44" xfId="2250"/>
    <cellStyle name="Comma 44 2" xfId="2251"/>
    <cellStyle name="Comma 44 2 2" xfId="2252"/>
    <cellStyle name="Comma 44 2 3" xfId="2253"/>
    <cellStyle name="Comma 44 3" xfId="2254"/>
    <cellStyle name="Comma 44 4" xfId="2255"/>
    <cellStyle name="Comma 45" xfId="2256"/>
    <cellStyle name="Comma 45 2" xfId="2257"/>
    <cellStyle name="Comma 46" xfId="2258"/>
    <cellStyle name="Comma 47" xfId="2259"/>
    <cellStyle name="Comma 48" xfId="2260"/>
    <cellStyle name="Comma 49" xfId="2261"/>
    <cellStyle name="Comma 5" xfId="2262"/>
    <cellStyle name="Comma 5 2" xfId="2263"/>
    <cellStyle name="Comma 5 2 2" xfId="2264"/>
    <cellStyle name="Comma 5 2 2 2" xfId="2265"/>
    <cellStyle name="Comma 5 2 3" xfId="2266"/>
    <cellStyle name="Comma 5 2 4" xfId="2267"/>
    <cellStyle name="Comma 5 3" xfId="2268"/>
    <cellStyle name="Comma 5 3 2" xfId="2269"/>
    <cellStyle name="Comma 5 3 2 2" xfId="2270"/>
    <cellStyle name="Comma 5 4" xfId="2271"/>
    <cellStyle name="Comma 5 5" xfId="2272"/>
    <cellStyle name="Comma 5 5 2" xfId="2273"/>
    <cellStyle name="Comma 5 6" xfId="2274"/>
    <cellStyle name="Comma 5 7" xfId="2275"/>
    <cellStyle name="Comma 5 8" xfId="2276"/>
    <cellStyle name="Comma 5 8 2" xfId="2277"/>
    <cellStyle name="Comma 5 8 3" xfId="2278"/>
    <cellStyle name="Comma 50" xfId="2279"/>
    <cellStyle name="Comma 51" xfId="2280"/>
    <cellStyle name="Comma 52" xfId="2281"/>
    <cellStyle name="Comma 53" xfId="2282"/>
    <cellStyle name="Comma 53 2" xfId="2283"/>
    <cellStyle name="Comma 53 3" xfId="2284"/>
    <cellStyle name="Comma 54" xfId="2285"/>
    <cellStyle name="Comma 54 2" xfId="2286"/>
    <cellStyle name="Comma 54 3" xfId="2287"/>
    <cellStyle name="Comma 55" xfId="3235"/>
    <cellStyle name="Comma 6" xfId="2288"/>
    <cellStyle name="Comma 7" xfId="2289"/>
    <cellStyle name="Comma 8" xfId="2290"/>
    <cellStyle name="Comma 9" xfId="2291"/>
    <cellStyle name="Comma Enter" xfId="2292"/>
    <cellStyle name="Comma Output" xfId="2293"/>
    <cellStyle name="Comma0" xfId="2294"/>
    <cellStyle name="Corner" xfId="2295"/>
    <cellStyle name="CoTitle" xfId="2296"/>
    <cellStyle name="count" xfId="2297"/>
    <cellStyle name="Cover presentation title" xfId="2298"/>
    <cellStyle name="Crore" xfId="2299"/>
    <cellStyle name="CSI" xfId="2300"/>
    <cellStyle name="Currency--" xfId="2301"/>
    <cellStyle name="Currency $" xfId="3420"/>
    <cellStyle name="Currency [1]" xfId="2302"/>
    <cellStyle name="Currency [1] 2" xfId="2303"/>
    <cellStyle name="Currency [2]" xfId="2304"/>
    <cellStyle name="Currency [2] 2" xfId="2305"/>
    <cellStyle name="Currency 0" xfId="2306"/>
    <cellStyle name="Currency 2" xfId="2307"/>
    <cellStyle name="Currency 2 2" xfId="2308"/>
    <cellStyle name="Currency 2 3" xfId="2309"/>
    <cellStyle name="Currency0" xfId="2310"/>
    <cellStyle name="Custom - Style1" xfId="2311"/>
    <cellStyle name="Dash" xfId="2312"/>
    <cellStyle name="data" xfId="2313"/>
    <cellStyle name="Data   - Style2" xfId="2314"/>
    <cellStyle name="DATA Amount" xfId="2315"/>
    <cellStyle name="DATA Amount [1]" xfId="2316"/>
    <cellStyle name="DATA Amount [2]" xfId="2317"/>
    <cellStyle name="DATA Currency" xfId="2318"/>
    <cellStyle name="DATA Currency [1]" xfId="2319"/>
    <cellStyle name="DATA Currency [2]" xfId="2320"/>
    <cellStyle name="DATA Currency_DTModelTemplate.001.0011" xfId="2321"/>
    <cellStyle name="DATA Date Long" xfId="2322"/>
    <cellStyle name="DATA Date Short" xfId="2323"/>
    <cellStyle name="DATA List" xfId="2324"/>
    <cellStyle name="DATA Memo" xfId="2325"/>
    <cellStyle name="DATA Percent" xfId="2326"/>
    <cellStyle name="DATA Percent [1]" xfId="2327"/>
    <cellStyle name="DATA Percent [2]" xfId="2328"/>
    <cellStyle name="DATA Text" xfId="2329"/>
    <cellStyle name="DATA Version" xfId="2330"/>
    <cellStyle name="Date" xfId="2331"/>
    <cellStyle name="date [dd mmm]" xfId="2332"/>
    <cellStyle name="Date [d-mmm-yy]" xfId="2333"/>
    <cellStyle name="Date [mm-d-yy]" xfId="2334"/>
    <cellStyle name="Date [mm-d-yyyy]" xfId="2335"/>
    <cellStyle name="date [mmm yyyy]" xfId="2336"/>
    <cellStyle name="Date [mmm-d-yyyy]" xfId="2337"/>
    <cellStyle name="Date [mmm-yy]" xfId="2338"/>
    <cellStyle name="Date [mmm-yyyy]" xfId="2339"/>
    <cellStyle name="Date [mmm-yyyy] 2" xfId="2340"/>
    <cellStyle name="Date [mmm-yyyy] 3" xfId="2341"/>
    <cellStyle name="Date 2" xfId="2342"/>
    <cellStyle name="Date 3" xfId="2343"/>
    <cellStyle name="Date Aligned" xfId="2344"/>
    <cellStyle name="Date_02_Proj. Cloud - Mgmt Case2" xfId="2345"/>
    <cellStyle name="Date2" xfId="2346"/>
    <cellStyle name="Dates" xfId="2347"/>
    <cellStyle name="Dates 2" xfId="2348"/>
    <cellStyle name="days" xfId="2349"/>
    <cellStyle name="Decimal" xfId="2350"/>
    <cellStyle name="decimal [3]" xfId="2351"/>
    <cellStyle name="decimal [4]" xfId="2352"/>
    <cellStyle name="Description" xfId="2353"/>
    <cellStyle name="dollars" xfId="2354"/>
    <cellStyle name="Dollars 2" xfId="2355"/>
    <cellStyle name="Dotted Line" xfId="2356"/>
    <cellStyle name="Double" xfId="2357"/>
    <cellStyle name="Double Accounting" xfId="2358"/>
    <cellStyle name="Emphasis 1" xfId="2359"/>
    <cellStyle name="Emphasis 2" xfId="2360"/>
    <cellStyle name="Emphasis 3" xfId="2361"/>
    <cellStyle name="EmptyCell" xfId="2362"/>
    <cellStyle name="En-tête" xfId="2363"/>
    <cellStyle name="Error check" xfId="2364"/>
    <cellStyle name="Euro" xfId="2365"/>
    <cellStyle name="Euro 2" xfId="2366"/>
    <cellStyle name="Euro 2 2" xfId="2367"/>
    <cellStyle name="Euro 2 3" xfId="2368"/>
    <cellStyle name="Euro 2 4" xfId="2369"/>
    <cellStyle name="Euro 2 5" xfId="2370"/>
    <cellStyle name="Euro 2 6" xfId="2371"/>
    <cellStyle name="Euro 3" xfId="2372"/>
    <cellStyle name="Euro 3 2" xfId="2373"/>
    <cellStyle name="Euro 4" xfId="2374"/>
    <cellStyle name="Euro 5" xfId="2375"/>
    <cellStyle name="Euro 6" xfId="2376"/>
    <cellStyle name="Euro 7" xfId="2377"/>
    <cellStyle name="Euro 8" xfId="2378"/>
    <cellStyle name="Euro 9" xfId="2379"/>
    <cellStyle name="Euro_Book1 (3)" xfId="2380"/>
    <cellStyle name="Excel Built-in Normal" xfId="2381"/>
    <cellStyle name="Explanatory Text 2" xfId="2382"/>
    <cellStyle name="Explanatory Text 2 2" xfId="2383"/>
    <cellStyle name="Explanatory Text 2 3" xfId="2384"/>
    <cellStyle name="Explanatory Text 3" xfId="2385"/>
    <cellStyle name="Explanatory Text 3 2" xfId="2386"/>
    <cellStyle name="Explanatory Text 4" xfId="2387"/>
    <cellStyle name="EY1dp" xfId="2388"/>
    <cellStyle name="EYtext" xfId="2389"/>
    <cellStyle name="F2" xfId="2390"/>
    <cellStyle name="F3" xfId="2391"/>
    <cellStyle name="F4" xfId="2392"/>
    <cellStyle name="F5" xfId="2393"/>
    <cellStyle name="F6" xfId="2394"/>
    <cellStyle name="F7" xfId="2395"/>
    <cellStyle name="F8" xfId="2396"/>
    <cellStyle name="Financials - bold" xfId="2397"/>
    <cellStyle name="Fixed" xfId="2398"/>
    <cellStyle name="Fixed [0]" xfId="2399"/>
    <cellStyle name="Fixed 2" xfId="2400"/>
    <cellStyle name="Fixed 3" xfId="2401"/>
    <cellStyle name="Footnote" xfId="2402"/>
    <cellStyle name="footnote2" xfId="2403"/>
    <cellStyle name="Footnotes" xfId="2404"/>
    <cellStyle name="Foottitle" xfId="2405"/>
    <cellStyle name="Formula" xfId="2406"/>
    <cellStyle name="Formula 2" xfId="2407"/>
    <cellStyle name="General" xfId="2408"/>
    <cellStyle name="Global" xfId="2409"/>
    <cellStyle name="Good 2" xfId="2410"/>
    <cellStyle name="Good 2 2" xfId="2411"/>
    <cellStyle name="Good 2 3" xfId="2412"/>
    <cellStyle name="Good 3" xfId="2413"/>
    <cellStyle name="Good 3 2" xfId="2414"/>
    <cellStyle name="Good 4" xfId="2415"/>
    <cellStyle name="Grey" xfId="2416"/>
    <cellStyle name="Grey 2" xfId="2417"/>
    <cellStyle name="Hard Percent" xfId="2418"/>
    <cellStyle name="Hardcoded" xfId="2419"/>
    <cellStyle name="HEADER" xfId="2420"/>
    <cellStyle name="Header 2" xfId="2421"/>
    <cellStyle name="Header1" xfId="2422"/>
    <cellStyle name="Header1 2" xfId="3421"/>
    <cellStyle name="Header2" xfId="2423"/>
    <cellStyle name="Header3" xfId="2424"/>
    <cellStyle name="headers" xfId="2425"/>
    <cellStyle name="Heading" xfId="2426"/>
    <cellStyle name="Heading 1 2" xfId="2427"/>
    <cellStyle name="Heading 1 2 2" xfId="2428"/>
    <cellStyle name="Heading 1 2 3" xfId="2429"/>
    <cellStyle name="Heading 1 3" xfId="2430"/>
    <cellStyle name="Heading 1 4" xfId="2431"/>
    <cellStyle name="Heading 2 2" xfId="2432"/>
    <cellStyle name="Heading 2 2 2" xfId="2433"/>
    <cellStyle name="Heading 2 2 3" xfId="2434"/>
    <cellStyle name="Heading 2 3" xfId="2435"/>
    <cellStyle name="Heading 2 4" xfId="2436"/>
    <cellStyle name="Heading 3 2" xfId="2437"/>
    <cellStyle name="Heading 3 2 2" xfId="2438"/>
    <cellStyle name="Heading 3 2 3" xfId="2439"/>
    <cellStyle name="Heading 3 3" xfId="2440"/>
    <cellStyle name="Heading 3 4" xfId="2441"/>
    <cellStyle name="Heading 4 2" xfId="2442"/>
    <cellStyle name="Heading 4 2 2" xfId="2443"/>
    <cellStyle name="Heading 4 2 3" xfId="2444"/>
    <cellStyle name="Heading 4 3" xfId="2445"/>
    <cellStyle name="Heading 4 4" xfId="2446"/>
    <cellStyle name="heading 5" xfId="2447"/>
    <cellStyle name="heading 6" xfId="2448"/>
    <cellStyle name="Heading abr" xfId="2449"/>
    <cellStyle name="Heading bar" xfId="2450"/>
    <cellStyle name="Heading page" xfId="2451"/>
    <cellStyle name="Heading1" xfId="2452"/>
    <cellStyle name="Heading1 2" xfId="2453"/>
    <cellStyle name="Heading2" xfId="3422"/>
    <cellStyle name="HIDDEN" xfId="2454"/>
    <cellStyle name="hide" xfId="2455"/>
    <cellStyle name="Hyperlink 2" xfId="2456"/>
    <cellStyle name="Hyperlink 2 2" xfId="2457"/>
    <cellStyle name="Hyperlink 3" xfId="2458"/>
    <cellStyle name="Hyperlink 4" xfId="2459"/>
    <cellStyle name="Hypertextový odkaz" xfId="2460"/>
    <cellStyle name="Import" xfId="2461"/>
    <cellStyle name="InLink" xfId="2462"/>
    <cellStyle name="Input [yellow]" xfId="2463"/>
    <cellStyle name="Input [yellow] 2" xfId="2464"/>
    <cellStyle name="Input 2" xfId="2465"/>
    <cellStyle name="Input 2 2" xfId="2466"/>
    <cellStyle name="Input 2 3" xfId="2467"/>
    <cellStyle name="Input 3" xfId="2468"/>
    <cellStyle name="Input 3 2" xfId="2469"/>
    <cellStyle name="Input 4" xfId="2470"/>
    <cellStyle name="Input comma" xfId="2471"/>
    <cellStyle name="Input comme" xfId="2472"/>
    <cellStyle name="Input Currency" xfId="2473"/>
    <cellStyle name="Input Date" xfId="2474"/>
    <cellStyle name="Input dates" xfId="2475"/>
    <cellStyle name="Input day" xfId="2476"/>
    <cellStyle name="Input de" xfId="2477"/>
    <cellStyle name="Input Fixed [0]" xfId="2478"/>
    <cellStyle name="Input multiple" xfId="2479"/>
    <cellStyle name="Input Normal" xfId="2480"/>
    <cellStyle name="Input nu" xfId="2481"/>
    <cellStyle name="Input numbers" xfId="2482"/>
    <cellStyle name="Input Percent" xfId="2483"/>
    <cellStyle name="Input Percent [2]" xfId="2484"/>
    <cellStyle name="Input quarters" xfId="2485"/>
    <cellStyle name="Input Titles" xfId="2486"/>
    <cellStyle name="Input years" xfId="2487"/>
    <cellStyle name="InputBlueFont" xfId="2488"/>
    <cellStyle name="InputCell" xfId="2489"/>
    <cellStyle name="Insert norm" xfId="2490"/>
    <cellStyle name="Inut nor" xfId="2491"/>
    <cellStyle name="Iper" xfId="2492"/>
    <cellStyle name="Iper 2" xfId="2493"/>
    <cellStyle name="Iper 3" xfId="2494"/>
    <cellStyle name="Item Descriptions" xfId="2495"/>
    <cellStyle name="Item Descriptions - Bold" xfId="2496"/>
    <cellStyle name="Item Descriptions_6079BX" xfId="2497"/>
    <cellStyle name="k" xfId="2498"/>
    <cellStyle name="L" xfId="2499"/>
    <cellStyle name="LABEL Normal" xfId="2500"/>
    <cellStyle name="LABEL Note" xfId="2501"/>
    <cellStyle name="LABEL Units" xfId="2502"/>
    <cellStyle name="Labels - Style3" xfId="2503"/>
    <cellStyle name="Length" xfId="2504"/>
    <cellStyle name="Line" xfId="2505"/>
    <cellStyle name="LineClBal" xfId="2506"/>
    <cellStyle name="LineOperation" xfId="2507"/>
    <cellStyle name="LineSummary" xfId="2508"/>
    <cellStyle name="LineTotal" xfId="2509"/>
    <cellStyle name="Link" xfId="2510"/>
    <cellStyle name="Linked Cell 2" xfId="2511"/>
    <cellStyle name="Linked Cell 2 2" xfId="2512"/>
    <cellStyle name="Linked Cell 2 3" xfId="2513"/>
    <cellStyle name="Linked Cell 3" xfId="2514"/>
    <cellStyle name="Linked Cell 3 2" xfId="2515"/>
    <cellStyle name="Linked Cell 4" xfId="2516"/>
    <cellStyle name="M" xfId="2517"/>
    <cellStyle name="m/d/yy" xfId="2518"/>
    <cellStyle name="m/d/yy 2" xfId="2519"/>
    <cellStyle name="m/d/yy 3" xfId="2520"/>
    <cellStyle name="M-0" xfId="2521"/>
    <cellStyle name="MainDescription" xfId="2522"/>
    <cellStyle name="Measure" xfId="2523"/>
    <cellStyle name="Millares [0]_Libro2" xfId="2524"/>
    <cellStyle name="Millares_Inv Detail A7" xfId="2525"/>
    <cellStyle name="Milliers [0]_3 yr Rollout Mgmt Case ADK" xfId="2526"/>
    <cellStyle name="Milliers_3 yr Rollout Mgmt Case ADK" xfId="2527"/>
    <cellStyle name="million" xfId="2528"/>
    <cellStyle name="million [1]" xfId="2529"/>
    <cellStyle name="Millions" xfId="2530"/>
    <cellStyle name="MLComma0" xfId="2531"/>
    <cellStyle name="MLDollar0" xfId="2532"/>
    <cellStyle name="MLEuro0" xfId="2533"/>
    <cellStyle name="MLHeaderSection" xfId="2534"/>
    <cellStyle name="MLMultiple0" xfId="2535"/>
    <cellStyle name="MLPercent0" xfId="2536"/>
    <cellStyle name="MLPound0" xfId="2537"/>
    <cellStyle name="MLYen0" xfId="2538"/>
    <cellStyle name="Mnorma" xfId="2539"/>
    <cellStyle name="m-o" xfId="2540"/>
    <cellStyle name="Model" xfId="2541"/>
    <cellStyle name="Moneda [0]_Libro2" xfId="2542"/>
    <cellStyle name="Moneda_Libro2" xfId="2543"/>
    <cellStyle name="Monétaire [0]_3 yr Rollout Mgmt Case ADK" xfId="2544"/>
    <cellStyle name="Monétaire_3 yr Rollout Mgmt Case ADK" xfId="2545"/>
    <cellStyle name="Multiple" xfId="2546"/>
    <cellStyle name="Multiple [0]" xfId="2547"/>
    <cellStyle name="Multiple [1]" xfId="2548"/>
    <cellStyle name="Multiple 2" xfId="2549"/>
    <cellStyle name="Multiple 3" xfId="2550"/>
    <cellStyle name="Multiple_09 12 - DCF" xfId="2551"/>
    <cellStyle name="Multiple0" xfId="2552"/>
    <cellStyle name="MultipleType" xfId="2553"/>
    <cellStyle name="n" xfId="2554"/>
    <cellStyle name="NA is zero" xfId="2555"/>
    <cellStyle name="Name" xfId="2556"/>
    <cellStyle name="Names" xfId="2557"/>
    <cellStyle name="neg0.0" xfId="2558"/>
    <cellStyle name="Neutral 2" xfId="2559"/>
    <cellStyle name="Neutral 2 2" xfId="2560"/>
    <cellStyle name="Neutral 2 3" xfId="2561"/>
    <cellStyle name="Neutral 3" xfId="2562"/>
    <cellStyle name="Neutral 3 2" xfId="2563"/>
    <cellStyle name="Neutral 4" xfId="2564"/>
    <cellStyle name="New Formating" xfId="2565"/>
    <cellStyle name="Ninput norma" xfId="2566"/>
    <cellStyle name="no dec" xfId="2567"/>
    <cellStyle name="Nomra" xfId="2568"/>
    <cellStyle name="Norma" xfId="2569"/>
    <cellStyle name="Normal" xfId="0" builtinId="0"/>
    <cellStyle name="Normal'" xfId="2570"/>
    <cellStyle name="Normal--" xfId="2571"/>
    <cellStyle name="Normal - Style1" xfId="2572"/>
    <cellStyle name="Normal - Style1 2" xfId="2573"/>
    <cellStyle name="Normal - Style1 3" xfId="2574"/>
    <cellStyle name="Normal - Style1 4" xfId="2575"/>
    <cellStyle name="Normal - Style1_Book1 (3)" xfId="2576"/>
    <cellStyle name="Normal [0]" xfId="2577"/>
    <cellStyle name="Normal [1]" xfId="2578"/>
    <cellStyle name="Normal [2]" xfId="2579"/>
    <cellStyle name="Normal [3]" xfId="2580"/>
    <cellStyle name="Normal 10" xfId="2581"/>
    <cellStyle name="Normal 10 2" xfId="2582"/>
    <cellStyle name="Normal 10 3" xfId="2583"/>
    <cellStyle name="Normal 11" xfId="2584"/>
    <cellStyle name="Normal 11 2" xfId="2585"/>
    <cellStyle name="Normal 11 2 2" xfId="2586"/>
    <cellStyle name="Normal 12" xfId="2587"/>
    <cellStyle name="Normal 12 2" xfId="2588"/>
    <cellStyle name="Normal 12 3" xfId="2589"/>
    <cellStyle name="Normal 12 3 2" xfId="2590"/>
    <cellStyle name="Normal 12 3 3" xfId="2591"/>
    <cellStyle name="Normal 13" xfId="2592"/>
    <cellStyle name="Normal 14" xfId="2593"/>
    <cellStyle name="Normal 14 2" xfId="2594"/>
    <cellStyle name="Normal 15" xfId="2595"/>
    <cellStyle name="Normal 15 2" xfId="2596"/>
    <cellStyle name="Normal 16" xfId="2597"/>
    <cellStyle name="Normal 16 2" xfId="2598"/>
    <cellStyle name="Normal 17" xfId="2599"/>
    <cellStyle name="Normal 17 2" xfId="2600"/>
    <cellStyle name="Normal 18" xfId="2601"/>
    <cellStyle name="Normal 18 2" xfId="2602"/>
    <cellStyle name="Normal 19" xfId="2603"/>
    <cellStyle name="Normal 19 2" xfId="2604"/>
    <cellStyle name="Normal 2" xfId="6"/>
    <cellStyle name="Normal 2 10" xfId="2605"/>
    <cellStyle name="Normal 2 10 2" xfId="2606"/>
    <cellStyle name="Normal 2 11" xfId="2607"/>
    <cellStyle name="Normal 2 11 2" xfId="2608"/>
    <cellStyle name="Normal 2 12" xfId="2609"/>
    <cellStyle name="Normal 2 12 2" xfId="2610"/>
    <cellStyle name="Normal 2 13" xfId="2611"/>
    <cellStyle name="Normal 2 13 2" xfId="2612"/>
    <cellStyle name="Normal 2 14" xfId="2613"/>
    <cellStyle name="Normal 2 14 2" xfId="2614"/>
    <cellStyle name="Normal 2 15" xfId="2615"/>
    <cellStyle name="Normal 2 15 2" xfId="2616"/>
    <cellStyle name="Normal 2 16" xfId="2617"/>
    <cellStyle name="Normal 2 16 2" xfId="2618"/>
    <cellStyle name="Normal 2 17" xfId="2619"/>
    <cellStyle name="Normal 2 17 2" xfId="2620"/>
    <cellStyle name="Normal 2 18" xfId="2621"/>
    <cellStyle name="Normal 2 19" xfId="2622"/>
    <cellStyle name="Normal 2 2" xfId="2623"/>
    <cellStyle name="Normal 2 2 2" xfId="2624"/>
    <cellStyle name="Normal 2 2 3" xfId="2625"/>
    <cellStyle name="Normal 2 20" xfId="2626"/>
    <cellStyle name="Normal 2 21" xfId="2627"/>
    <cellStyle name="Normal 2 3" xfId="2628"/>
    <cellStyle name="Normal 2 3 2" xfId="2629"/>
    <cellStyle name="Normal 2 3 3" xfId="2630"/>
    <cellStyle name="Normal 2 4" xfId="2631"/>
    <cellStyle name="Normal 2 4 2" xfId="2632"/>
    <cellStyle name="Normal 2 4 2 2" xfId="2633"/>
    <cellStyle name="Normal 2 4 3" xfId="2634"/>
    <cellStyle name="Normal 2 5" xfId="2635"/>
    <cellStyle name="Normal 2 5 2" xfId="2636"/>
    <cellStyle name="Normal 2 5 3" xfId="2637"/>
    <cellStyle name="Normal 2 6" xfId="2638"/>
    <cellStyle name="Normal 2 6 2" xfId="2639"/>
    <cellStyle name="Normal 2 6 2 2" xfId="2640"/>
    <cellStyle name="Normal 2 6 2 3" xfId="2641"/>
    <cellStyle name="Normal 2 6 2 4" xfId="2642"/>
    <cellStyle name="Normal 2 6 3" xfId="2643"/>
    <cellStyle name="Normal 2 6 4" xfId="2644"/>
    <cellStyle name="Normal 2 6 5" xfId="2645"/>
    <cellStyle name="Normal 2 7" xfId="2646"/>
    <cellStyle name="Normal 2 7 2" xfId="2647"/>
    <cellStyle name="Normal 2 7 3" xfId="2648"/>
    <cellStyle name="Normal 2 7 4" xfId="2649"/>
    <cellStyle name="Normal 2 7 5" xfId="2650"/>
    <cellStyle name="Normal 2 8" xfId="2651"/>
    <cellStyle name="Normal 2 8 2" xfId="2652"/>
    <cellStyle name="Normal 2 9" xfId="2653"/>
    <cellStyle name="Normal 2 9 2" xfId="2654"/>
    <cellStyle name="Normal 2_CC_Wise_Dec_10" xfId="2655"/>
    <cellStyle name="Normal 20" xfId="2656"/>
    <cellStyle name="Normal 20 2" xfId="2657"/>
    <cellStyle name="Normal 21" xfId="2658"/>
    <cellStyle name="Normal 21 2" xfId="2659"/>
    <cellStyle name="Normal 22" xfId="2660"/>
    <cellStyle name="Normal 22 2" xfId="2661"/>
    <cellStyle name="Normal 23" xfId="2662"/>
    <cellStyle name="Normal 24" xfId="2663"/>
    <cellStyle name="Normal 24 2" xfId="2664"/>
    <cellStyle name="Normal 25" xfId="2665"/>
    <cellStyle name="Normal 25 2" xfId="2666"/>
    <cellStyle name="Normal 26" xfId="2667"/>
    <cellStyle name="Normal 26 2" xfId="2668"/>
    <cellStyle name="Normal 27" xfId="2669"/>
    <cellStyle name="Normal 27 2" xfId="2670"/>
    <cellStyle name="Normal 28" xfId="2671"/>
    <cellStyle name="Normal 28 2" xfId="2672"/>
    <cellStyle name="Normal 29" xfId="2673"/>
    <cellStyle name="Normal 29 2" xfId="2674"/>
    <cellStyle name="Normal 3" xfId="2675"/>
    <cellStyle name="Normal 3 10" xfId="2676"/>
    <cellStyle name="Normal 3 11" xfId="2677"/>
    <cellStyle name="Normal 3 12" xfId="2678"/>
    <cellStyle name="Normal 3 13" xfId="2679"/>
    <cellStyle name="Normal 3 14" xfId="2680"/>
    <cellStyle name="Normal 3 15" xfId="2681"/>
    <cellStyle name="Normal 3 16" xfId="2682"/>
    <cellStyle name="Normal 3 17" xfId="2683"/>
    <cellStyle name="Normal 3 18" xfId="2684"/>
    <cellStyle name="Normal 3 19" xfId="3423"/>
    <cellStyle name="Normal 3 2" xfId="2685"/>
    <cellStyle name="Normal 3 2 2" xfId="2686"/>
    <cellStyle name="Normal 3 2 3" xfId="2687"/>
    <cellStyle name="Normal 3 2 4" xfId="2688"/>
    <cellStyle name="Normal 3 3" xfId="2689"/>
    <cellStyle name="Normal 3 3 2" xfId="2690"/>
    <cellStyle name="Normal 3 3 3" xfId="2691"/>
    <cellStyle name="Normal 3 4" xfId="2692"/>
    <cellStyle name="Normal 3 4 2" xfId="2693"/>
    <cellStyle name="Normal 3 5" xfId="2694"/>
    <cellStyle name="Normal 3 6" xfId="2695"/>
    <cellStyle name="Normal 3 7" xfId="2696"/>
    <cellStyle name="Normal 3 8" xfId="2697"/>
    <cellStyle name="Normal 3 9" xfId="2698"/>
    <cellStyle name="Normal 30" xfId="2699"/>
    <cellStyle name="Normal 30 2" xfId="2700"/>
    <cellStyle name="Normal 31" xfId="2701"/>
    <cellStyle name="Normal 31 2" xfId="2702"/>
    <cellStyle name="Normal 32" xfId="2703"/>
    <cellStyle name="Normal 33" xfId="2704"/>
    <cellStyle name="Normal 33 2" xfId="2705"/>
    <cellStyle name="Normal 34" xfId="2706"/>
    <cellStyle name="Normal 34 2" xfId="2707"/>
    <cellStyle name="Normal 35" xfId="2708"/>
    <cellStyle name="Normal 35 2" xfId="2709"/>
    <cellStyle name="Normal 36" xfId="2710"/>
    <cellStyle name="Normal 36 2" xfId="2711"/>
    <cellStyle name="Normal 36 3" xfId="2712"/>
    <cellStyle name="Normal 37" xfId="2713"/>
    <cellStyle name="Normal 37 2" xfId="2714"/>
    <cellStyle name="Normal 38" xfId="2715"/>
    <cellStyle name="Normal 38 2" xfId="2716"/>
    <cellStyle name="Normal 39" xfId="2717"/>
    <cellStyle name="Normal 39 2" xfId="2718"/>
    <cellStyle name="Normal 4" xfId="2719"/>
    <cellStyle name="Normal 4 2" xfId="2720"/>
    <cellStyle name="Normal 4 2 2" xfId="2721"/>
    <cellStyle name="Normal 4 3" xfId="2722"/>
    <cellStyle name="Normal 4 3 2" xfId="2723"/>
    <cellStyle name="Normal 4 4" xfId="2724"/>
    <cellStyle name="Normal 4 5" xfId="2725"/>
    <cellStyle name="Normal 4 6" xfId="2726"/>
    <cellStyle name="Normal 40" xfId="2727"/>
    <cellStyle name="Normal 40 2" xfId="2728"/>
    <cellStyle name="Normal 41" xfId="2729"/>
    <cellStyle name="Normal 41 2" xfId="2730"/>
    <cellStyle name="Normal 42" xfId="2731"/>
    <cellStyle name="Normal 42 2" xfId="2732"/>
    <cellStyle name="Normal 43" xfId="2733"/>
    <cellStyle name="Normal 43 2" xfId="2734"/>
    <cellStyle name="Normal 44" xfId="2735"/>
    <cellStyle name="Normal 44 2" xfId="2736"/>
    <cellStyle name="Normal 45" xfId="2737"/>
    <cellStyle name="Normal 45 2" xfId="2738"/>
    <cellStyle name="Normal 46" xfId="2739"/>
    <cellStyle name="Normal 46 2" xfId="2740"/>
    <cellStyle name="Normal 47" xfId="2741"/>
    <cellStyle name="Normal 47 2" xfId="2742"/>
    <cellStyle name="Normal 48" xfId="2743"/>
    <cellStyle name="Normal 48 2" xfId="2744"/>
    <cellStyle name="Normal 49" xfId="2745"/>
    <cellStyle name="Normal 49 2" xfId="2746"/>
    <cellStyle name="Normal 5" xfId="2747"/>
    <cellStyle name="Normal 5 2" xfId="2748"/>
    <cellStyle name="Normal 5 2 2" xfId="2749"/>
    <cellStyle name="Normal 5 3" xfId="2750"/>
    <cellStyle name="Normal 5 3 2" xfId="2751"/>
    <cellStyle name="Normal 5 4" xfId="2752"/>
    <cellStyle name="Normal 50" xfId="2753"/>
    <cellStyle name="Normal 50 2" xfId="2754"/>
    <cellStyle name="Normal 51" xfId="2755"/>
    <cellStyle name="Normal 51 2" xfId="2756"/>
    <cellStyle name="Normal 52" xfId="2757"/>
    <cellStyle name="Normal 52 2" xfId="2758"/>
    <cellStyle name="Normal 53" xfId="2759"/>
    <cellStyle name="Normal 53 2" xfId="2760"/>
    <cellStyle name="Normal 54" xfId="2761"/>
    <cellStyle name="Normal 54 2" xfId="2762"/>
    <cellStyle name="Normal 55" xfId="2763"/>
    <cellStyle name="Normal 55 2" xfId="2764"/>
    <cellStyle name="Normal 56" xfId="2765"/>
    <cellStyle name="Normal 56 2" xfId="2766"/>
    <cellStyle name="Normal 57" xfId="2767"/>
    <cellStyle name="Normal 57 2" xfId="2768"/>
    <cellStyle name="Normal 58" xfId="2769"/>
    <cellStyle name="Normal 58 2" xfId="2770"/>
    <cellStyle name="Normal 59" xfId="2771"/>
    <cellStyle name="Normal 59 2" xfId="2772"/>
    <cellStyle name="Normal 6" xfId="2773"/>
    <cellStyle name="Normal 6 2" xfId="2774"/>
    <cellStyle name="Normal 6 2 2" xfId="2775"/>
    <cellStyle name="Normal 6 3" xfId="2776"/>
    <cellStyle name="Normal 60" xfId="2777"/>
    <cellStyle name="Normal 60 2" xfId="2778"/>
    <cellStyle name="Normal 61" xfId="2779"/>
    <cellStyle name="Normal 61 2" xfId="2780"/>
    <cellStyle name="Normal 62" xfId="2781"/>
    <cellStyle name="Normal 62 2" xfId="2782"/>
    <cellStyle name="Normal 63" xfId="2783"/>
    <cellStyle name="Normal 63 2" xfId="2784"/>
    <cellStyle name="Normal 64" xfId="2785"/>
    <cellStyle name="Normal 64 2" xfId="2786"/>
    <cellStyle name="Normal 65" xfId="2787"/>
    <cellStyle name="Normal 65 2" xfId="2788"/>
    <cellStyle name="Normal 65 3" xfId="2789"/>
    <cellStyle name="Normal 65 3 2" xfId="2790"/>
    <cellStyle name="Normal 65 3 3" xfId="2791"/>
    <cellStyle name="Normal 65 4" xfId="2792"/>
    <cellStyle name="Normal 65 5" xfId="2793"/>
    <cellStyle name="Normal 66" xfId="2794"/>
    <cellStyle name="Normal 67" xfId="2795"/>
    <cellStyle name="Normal 67 2" xfId="2796"/>
    <cellStyle name="Normal 68" xfId="2797"/>
    <cellStyle name="Normal 68 2" xfId="2798"/>
    <cellStyle name="Normal 69" xfId="2799"/>
    <cellStyle name="Normal 69 2" xfId="2800"/>
    <cellStyle name="Normal 69 2 2" xfId="2801"/>
    <cellStyle name="Normal 69 2 3" xfId="2802"/>
    <cellStyle name="Normal 69 3" xfId="2803"/>
    <cellStyle name="Normal 69 4" xfId="2804"/>
    <cellStyle name="Normal 7" xfId="2805"/>
    <cellStyle name="Normal 7 2" xfId="2806"/>
    <cellStyle name="Normal 7 3" xfId="2807"/>
    <cellStyle name="Normal 70" xfId="2808"/>
    <cellStyle name="Normal 70 2" xfId="2809"/>
    <cellStyle name="Normal 70 2 2" xfId="2810"/>
    <cellStyle name="Normal 70 2 3" xfId="2811"/>
    <cellStyle name="Normal 70 3" xfId="2812"/>
    <cellStyle name="Normal 70 4" xfId="2813"/>
    <cellStyle name="Normal 71" xfId="2814"/>
    <cellStyle name="Normal 71 2" xfId="2815"/>
    <cellStyle name="Normal 71 2 2" xfId="2816"/>
    <cellStyle name="Normal 71 2 3" xfId="2817"/>
    <cellStyle name="Normal 71 3" xfId="2818"/>
    <cellStyle name="Normal 71 4" xfId="2819"/>
    <cellStyle name="Normal 72" xfId="2820"/>
    <cellStyle name="Normal 73" xfId="2821"/>
    <cellStyle name="Normal 74" xfId="2822"/>
    <cellStyle name="Normal 75" xfId="2823"/>
    <cellStyle name="Normal 76" xfId="2824"/>
    <cellStyle name="Normal 77" xfId="2825"/>
    <cellStyle name="Normal 78" xfId="2826"/>
    <cellStyle name="Normal 79" xfId="2827"/>
    <cellStyle name="Normal 79 2" xfId="2828"/>
    <cellStyle name="Normal 79 3" xfId="2829"/>
    <cellStyle name="Normal 8" xfId="2830"/>
    <cellStyle name="Normal 8 2" xfId="2831"/>
    <cellStyle name="Normal 80" xfId="2832"/>
    <cellStyle name="Normal 80 2" xfId="2833"/>
    <cellStyle name="Normal 80 3" xfId="2834"/>
    <cellStyle name="Normal 81" xfId="2835"/>
    <cellStyle name="Normal 81 2" xfId="2836"/>
    <cellStyle name="Normal 81 3" xfId="2837"/>
    <cellStyle name="Normal 82" xfId="4"/>
    <cellStyle name="Normal 9" xfId="2838"/>
    <cellStyle name="Normal 9 2" xfId="2839"/>
    <cellStyle name="Normal Bold" xfId="2840"/>
    <cellStyle name="Normal Pct" xfId="2841"/>
    <cellStyle name="NormalCell" xfId="2842"/>
    <cellStyle name="NormalGB" xfId="2843"/>
    <cellStyle name="NormalMultiple" xfId="2844"/>
    <cellStyle name="NormalX" xfId="2845"/>
    <cellStyle name="NormalxShadow" xfId="2846"/>
    <cellStyle name="Normq" xfId="2847"/>
    <cellStyle name="note 2" xfId="2848"/>
    <cellStyle name="Note 2 2" xfId="2849"/>
    <cellStyle name="Note 2 3" xfId="2850"/>
    <cellStyle name="Note 2 4" xfId="2851"/>
    <cellStyle name="note 3" xfId="2852"/>
    <cellStyle name="note 4" xfId="2853"/>
    <cellStyle name="Note 5 2" xfId="2854"/>
    <cellStyle name="Notes" xfId="2855"/>
    <cellStyle name="Notmal" xfId="2856"/>
    <cellStyle name="NPPESalesPct" xfId="2857"/>
    <cellStyle name="Nr" xfId="2858"/>
    <cellStyle name="Nromal" xfId="2859"/>
    <cellStyle name="Numbers" xfId="2860"/>
    <cellStyle name="Numbers - Bold" xfId="2861"/>
    <cellStyle name="Numbers - Bold - Italic" xfId="2862"/>
    <cellStyle name="Numbers - Bold_6079BX" xfId="2863"/>
    <cellStyle name="Numbers - Large" xfId="2864"/>
    <cellStyle name="Numbers_6079BX" xfId="2865"/>
    <cellStyle name="NWI%S" xfId="2866"/>
    <cellStyle name="oer" xfId="2867"/>
    <cellStyle name="OffSheetRef" xfId="2868"/>
    <cellStyle name="Outline" xfId="2869"/>
    <cellStyle name="Output 2" xfId="2870"/>
    <cellStyle name="Output 2 2" xfId="2871"/>
    <cellStyle name="Output 2 3" xfId="2872"/>
    <cellStyle name="Output 3" xfId="2873"/>
    <cellStyle name="Output 3 2" xfId="2874"/>
    <cellStyle name="Output 4" xfId="2875"/>
    <cellStyle name="Page Heading" xfId="2876"/>
    <cellStyle name="Page Number" xfId="2877"/>
    <cellStyle name="PAGE6 - Style1" xfId="2878"/>
    <cellStyle name="PageSubtitle" xfId="2879"/>
    <cellStyle name="PageTitle" xfId="2880"/>
    <cellStyle name="PB Table Heading" xfId="2881"/>
    <cellStyle name="PB Table Highlight1" xfId="2882"/>
    <cellStyle name="PB Table Highlight2" xfId="2883"/>
    <cellStyle name="PB Table Highlight3" xfId="2884"/>
    <cellStyle name="PB Table Standard Row" xfId="2885"/>
    <cellStyle name="PB Table Subtotal Row" xfId="2886"/>
    <cellStyle name="PB Table Total Row" xfId="2887"/>
    <cellStyle name="pence" xfId="2888"/>
    <cellStyle name="pence [1]" xfId="2889"/>
    <cellStyle name="pence_Operating Model v4" xfId="2890"/>
    <cellStyle name="Percent" xfId="2" builtinId="5"/>
    <cellStyle name="Percent [0]" xfId="2891"/>
    <cellStyle name="Percent [0] 2" xfId="2892"/>
    <cellStyle name="Percent [1]" xfId="2893"/>
    <cellStyle name="Percent [1] --" xfId="2894"/>
    <cellStyle name="Percent [1] 2" xfId="2895"/>
    <cellStyle name="Percent [1] 3" xfId="2896"/>
    <cellStyle name="Percent [1]_~5269252" xfId="2897"/>
    <cellStyle name="percent [100]" xfId="2898"/>
    <cellStyle name="Percent [2]" xfId="2899"/>
    <cellStyle name="Percent [3]" xfId="2900"/>
    <cellStyle name="Percent [3]--" xfId="2901"/>
    <cellStyle name="percent 1" xfId="2902"/>
    <cellStyle name="Percent 10" xfId="2903"/>
    <cellStyle name="Percent 11" xfId="2904"/>
    <cellStyle name="Percent 12" xfId="2905"/>
    <cellStyle name="Percent 13" xfId="2906"/>
    <cellStyle name="Percent 14" xfId="2907"/>
    <cellStyle name="Percent 15" xfId="2908"/>
    <cellStyle name="Percent 16" xfId="2909"/>
    <cellStyle name="Percent 17" xfId="2910"/>
    <cellStyle name="Percent 18" xfId="2911"/>
    <cellStyle name="Percent 19" xfId="2912"/>
    <cellStyle name="Percent 2" xfId="2913"/>
    <cellStyle name="Percent 2 2" xfId="2914"/>
    <cellStyle name="Percent 2 2 2" xfId="2915"/>
    <cellStyle name="Percent 2 3" xfId="2916"/>
    <cellStyle name="Percent 2 4" xfId="2917"/>
    <cellStyle name="Percent 2 5" xfId="2918"/>
    <cellStyle name="Percent 20" xfId="2919"/>
    <cellStyle name="Percent 21" xfId="2920"/>
    <cellStyle name="Percent 22" xfId="2921"/>
    <cellStyle name="Percent 23" xfId="2922"/>
    <cellStyle name="Percent 24" xfId="2923"/>
    <cellStyle name="Percent 25" xfId="2924"/>
    <cellStyle name="Percent 26" xfId="2925"/>
    <cellStyle name="Percent 27" xfId="2926"/>
    <cellStyle name="Percent 28" xfId="2927"/>
    <cellStyle name="Percent 29" xfId="2928"/>
    <cellStyle name="Percent 3" xfId="2929"/>
    <cellStyle name="Percent 3 2" xfId="2930"/>
    <cellStyle name="Percent 30" xfId="2931"/>
    <cellStyle name="Percent 31" xfId="2932"/>
    <cellStyle name="Percent 32" xfId="2933"/>
    <cellStyle name="Percent 33" xfId="2934"/>
    <cellStyle name="Percent 34" xfId="2935"/>
    <cellStyle name="Percent 35" xfId="2936"/>
    <cellStyle name="Percent 36" xfId="2937"/>
    <cellStyle name="Percent 37" xfId="2938"/>
    <cellStyle name="Percent 38" xfId="2939"/>
    <cellStyle name="Percent 39" xfId="2940"/>
    <cellStyle name="Percent 4" xfId="2941"/>
    <cellStyle name="Percent 4 2" xfId="2942"/>
    <cellStyle name="Percent 40" xfId="2943"/>
    <cellStyle name="Percent 41" xfId="2944"/>
    <cellStyle name="Percent 41 2" xfId="2945"/>
    <cellStyle name="Percent 41 2 2" xfId="2946"/>
    <cellStyle name="Percent 41 2 3" xfId="2947"/>
    <cellStyle name="Percent 41 3" xfId="2948"/>
    <cellStyle name="Percent 41 4" xfId="2949"/>
    <cellStyle name="Percent 42" xfId="2950"/>
    <cellStyle name="Percent 42 2" xfId="2951"/>
    <cellStyle name="Percent 43" xfId="2952"/>
    <cellStyle name="Percent 43 2" xfId="2953"/>
    <cellStyle name="Percent 43 2 2" xfId="2954"/>
    <cellStyle name="Percent 43 2 3" xfId="2955"/>
    <cellStyle name="Percent 43 3" xfId="2956"/>
    <cellStyle name="Percent 43 4" xfId="2957"/>
    <cellStyle name="Percent 44" xfId="2958"/>
    <cellStyle name="Percent 45" xfId="2959"/>
    <cellStyle name="Percent 46" xfId="2960"/>
    <cellStyle name="Percent 47" xfId="2961"/>
    <cellStyle name="Percent 48" xfId="2962"/>
    <cellStyle name="Percent 49" xfId="2963"/>
    <cellStyle name="Percent 5" xfId="2964"/>
    <cellStyle name="Percent 5 2" xfId="2965"/>
    <cellStyle name="Percent 50" xfId="2966"/>
    <cellStyle name="Percent 51" xfId="2967"/>
    <cellStyle name="Percent 51 2" xfId="2968"/>
    <cellStyle name="Percent 51 3" xfId="2969"/>
    <cellStyle name="Percent 52" xfId="2970"/>
    <cellStyle name="Percent 52 2" xfId="2971"/>
    <cellStyle name="Percent 52 3" xfId="2972"/>
    <cellStyle name="Percent 53" xfId="5"/>
    <cellStyle name="Percent 6" xfId="2973"/>
    <cellStyle name="Percent 7" xfId="2974"/>
    <cellStyle name="Percent 8" xfId="2975"/>
    <cellStyle name="Percent 9" xfId="2976"/>
    <cellStyle name="Percent enter" xfId="2977"/>
    <cellStyle name="Percent[2D]" xfId="2978"/>
    <cellStyle name="Percent0" xfId="2979"/>
    <cellStyle name="Percentage" xfId="2980"/>
    <cellStyle name="PercentSales" xfId="2981"/>
    <cellStyle name="PerShare" xfId="2982"/>
    <cellStyle name="Pert" xfId="2983"/>
    <cellStyle name="PKV" xfId="2984"/>
    <cellStyle name="Popis" xfId="2985"/>
    <cellStyle name="Pourcentage_MthADK (1)" xfId="2986"/>
    <cellStyle name="Price" xfId="2987"/>
    <cellStyle name="Proj" xfId="2988"/>
    <cellStyle name="r" xfId="2989"/>
    <cellStyle name="r_Acquisition model v3" xfId="2990"/>
    <cellStyle name="r_Book2" xfId="2991"/>
    <cellStyle name="r_Book3" xfId="2992"/>
    <cellStyle name="r_cap goods Comps v8" xfId="2993"/>
    <cellStyle name="r_Dummy for Training" xfId="2994"/>
    <cellStyle name="r_Dynea v1.7" xfId="2995"/>
    <cellStyle name="r_increm pf" xfId="2996"/>
    <cellStyle name="r_LBO Output" xfId="2997"/>
    <cellStyle name="r_Merger Model 1" xfId="2998"/>
    <cellStyle name="r_ML Carling Model NewII v3.0" xfId="2999"/>
    <cellStyle name="r_ML Carling Model NewII v3.0_Bridge" xfId="3000"/>
    <cellStyle name="r_ML Carling Model NewII v3.0_Draft Final Sources  Uses V4" xfId="3001"/>
    <cellStyle name="r_ML Carling Model NewII v3.0_Nobu Model.v.4" xfId="3002"/>
    <cellStyle name="r_ML Carling Model NewII v3.0_Operating Model v2" xfId="3003"/>
    <cellStyle name="r_ML Carling Model NewII v3.0_Operating Model v4" xfId="3004"/>
    <cellStyle name="r_ML Carling Model NewII v3.0_TdF Model v2.1" xfId="3005"/>
    <cellStyle name="r_pldt" xfId="3006"/>
    <cellStyle name="r_Steel Comps Globalv1_12.02.04" xfId="3007"/>
    <cellStyle name="r_Trout Model 030324bak" xfId="3008"/>
    <cellStyle name="r_Valeo Model (unleveraged)" xfId="3009"/>
    <cellStyle name="r_Yell-McLeod.11.02.02" xfId="3010"/>
    <cellStyle name="Rate" xfId="3011"/>
    <cellStyle name="RateBold" xfId="3012"/>
    <cellStyle name="Red font" xfId="3013"/>
    <cellStyle name="Reset  - Style4" xfId="3014"/>
    <cellStyle name="row hea" xfId="3015"/>
    <cellStyle name="Row head" xfId="3016"/>
    <cellStyle name="Row Head bold" xfId="3017"/>
    <cellStyle name="Row title 1" xfId="3018"/>
    <cellStyle name="Row title 2" xfId="3019"/>
    <cellStyle name="Row Title 3" xfId="3020"/>
    <cellStyle name="RowHead" xfId="3021"/>
    <cellStyle name="RowLevel_0" xfId="3424"/>
    <cellStyle name="RUBRIK" xfId="3022"/>
    <cellStyle name="RUBRIK1" xfId="3023"/>
    <cellStyle name="s on" xfId="3024"/>
    <cellStyle name="s_Valuation " xfId="3025"/>
    <cellStyle name="s_Valuation _Bridge" xfId="3026"/>
    <cellStyle name="s_Valuation _Draft Final Sources  Uses V4" xfId="3027"/>
    <cellStyle name="s_Valuation _Nobu Model.v.18" xfId="3028"/>
    <cellStyle name="s_Valuation _Nobu Model.v.18_Findus Country Revenue Analysis" xfId="3029"/>
    <cellStyle name="s_Valuation _Nobu Model.v.18_Nobu Model Banking Case 24th Jan 3_ML adjs" xfId="3030"/>
    <cellStyle name="s_Valuation _Nobu Model.v.18_Nobu Model.v.103 Draft Banking Model - ELF v1" xfId="3031"/>
    <cellStyle name="s_Valuation _Nobu Model.v.18_Nobu Model.v.103 Draft Banking Model - ELF v5" xfId="3032"/>
    <cellStyle name="s_Valuation _Nobu Model.v.18_Nobu Model.v.106" xfId="3033"/>
    <cellStyle name="s_Valuation _Nobu Model.v.18_Nobu Model.v.116" xfId="3034"/>
    <cellStyle name="s_Valuation _Nobu Model.v.18_Nobu Model.v.162" xfId="3035"/>
    <cellStyle name="s_Valuation _Nobu Model.v.18_Nobu Model.v.30" xfId="3036"/>
    <cellStyle name="s_Valuation _Nobu Model.v.18_Nobu Model.v.30_Findus Country Revenue Analysis" xfId="3037"/>
    <cellStyle name="s_Valuation _Nobu Model.v.18_Nobu Model.v.30_Nobu Model Banking Case 24th Jan 3_ML adjs" xfId="3038"/>
    <cellStyle name="s_Valuation _Nobu Model.v.18_Nobu Model.v.30_Nobu Model.v.103 Draft Banking Model - ELF v1" xfId="3039"/>
    <cellStyle name="s_Valuation _Nobu Model.v.18_Nobu Model.v.30_Nobu Model.v.103 Draft Banking Model - ELF v5" xfId="3040"/>
    <cellStyle name="s_Valuation _Nobu Model.v.18_Nobu Model.v.30_Nobu Model.v.106" xfId="3041"/>
    <cellStyle name="s_Valuation _Nobu Model.v.18_Nobu Model.v.30_Nobu Model.v.116" xfId="3042"/>
    <cellStyle name="s_Valuation _Nobu Model.v.18_Nobu Model.v.30_Nobu Model.v.162" xfId="3043"/>
    <cellStyle name="s_Valuation _Nobu Model.v.18_Nobu Model.v.30_Nobu Model.v.34" xfId="3044"/>
    <cellStyle name="s_Valuation _Nobu Model.v.18_Nobu Model.v.30_Nobu Model.v.35" xfId="3045"/>
    <cellStyle name="s_Valuation _Nobu Model.v.18_Nobu Model.v.30_Nobu Model.v.68" xfId="3046"/>
    <cellStyle name="s_Valuation _Nobu Model.v.18_Nobu Model.v.30_Nobu Model.v.95-fd1" xfId="3047"/>
    <cellStyle name="s_Valuation _Nobu Model.v.18_Nobu Model.v.31" xfId="3048"/>
    <cellStyle name="s_Valuation _Nobu Model.v.18_Nobu Model.v.34" xfId="3049"/>
    <cellStyle name="s_Valuation _Nobu Model.v.18_Nobu Model.v.35" xfId="3050"/>
    <cellStyle name="s_Valuation _Nobu Model.v.18_Nobu Model.v.68" xfId="3051"/>
    <cellStyle name="s_Valuation _Nobu Model.v.18_Nobu Model.v.95-fd1" xfId="3052"/>
    <cellStyle name="s_Valuation _Operating Model v2" xfId="3053"/>
    <cellStyle name="s_Valuation _Operating Model v4" xfId="3054"/>
    <cellStyle name="Salomon Logo" xfId="3055"/>
    <cellStyle name="Section head" xfId="3056"/>
    <cellStyle name="Section Title" xfId="3057"/>
    <cellStyle name="Sheet Title" xfId="3058"/>
    <cellStyle name="SheetEnd" xfId="3059"/>
    <cellStyle name="SheetHeader1" xfId="3060"/>
    <cellStyle name="SheetHeader2" xfId="3061"/>
    <cellStyle name="SheetHeader3" xfId="3062"/>
    <cellStyle name="Single Accounting" xfId="3063"/>
    <cellStyle name="Sledovaný hypertextový odkaz" xfId="3064"/>
    <cellStyle name="Source" xfId="3065"/>
    <cellStyle name="Source date" xfId="3066"/>
    <cellStyle name="ssp " xfId="3067"/>
    <cellStyle name="Standard_~5237237" xfId="3068"/>
    <cellStyle name="Style 1" xfId="3069"/>
    <cellStyle name="Style 1 2" xfId="3070"/>
    <cellStyle name="Style 1 2 2" xfId="3071"/>
    <cellStyle name="Style 1 3" xfId="3072"/>
    <cellStyle name="Style 1 4" xfId="3073"/>
    <cellStyle name="Style 1 5" xfId="3074"/>
    <cellStyle name="Style 2" xfId="3075"/>
    <cellStyle name="Style 2 2" xfId="3076"/>
    <cellStyle name="Style 21" xfId="3077"/>
    <cellStyle name="Style 22" xfId="3078"/>
    <cellStyle name="Style 23" xfId="3079"/>
    <cellStyle name="Style 24" xfId="3080"/>
    <cellStyle name="Style 25" xfId="3081"/>
    <cellStyle name="Style 26" xfId="3082"/>
    <cellStyle name="Style 27" xfId="3083"/>
    <cellStyle name="Style 28" xfId="3084"/>
    <cellStyle name="Style 29" xfId="3085"/>
    <cellStyle name="Style 3" xfId="3086"/>
    <cellStyle name="Style 3 2" xfId="3087"/>
    <cellStyle name="Style 30" xfId="3088"/>
    <cellStyle name="Style 31" xfId="3089"/>
    <cellStyle name="Style 32" xfId="3090"/>
    <cellStyle name="Style 33" xfId="3091"/>
    <cellStyle name="Style 34" xfId="3092"/>
    <cellStyle name="Style 35" xfId="3093"/>
    <cellStyle name="Style 36" xfId="3094"/>
    <cellStyle name="Style 37" xfId="3095"/>
    <cellStyle name="Style 39" xfId="3096"/>
    <cellStyle name="Style 4" xfId="3097"/>
    <cellStyle name="Style 41" xfId="3098"/>
    <cellStyle name="Style 42" xfId="3099"/>
    <cellStyle name="Style 42 2" xfId="3100"/>
    <cellStyle name="Style 43" xfId="3101"/>
    <cellStyle name="Style 44" xfId="3102"/>
    <cellStyle name="Style 45" xfId="3103"/>
    <cellStyle name="Style 46" xfId="3104"/>
    <cellStyle name="Style 47" xfId="3105"/>
    <cellStyle name="Style 48" xfId="3106"/>
    <cellStyle name="Style 49" xfId="3107"/>
    <cellStyle name="Style 50" xfId="3108"/>
    <cellStyle name="Style 56" xfId="3109"/>
    <cellStyle name="Style 57" xfId="3110"/>
    <cellStyle name="Style 58" xfId="3111"/>
    <cellStyle name="Style 59" xfId="3112"/>
    <cellStyle name="Style 60" xfId="3113"/>
    <cellStyle name="Style 61" xfId="3114"/>
    <cellStyle name="Style 62" xfId="3115"/>
    <cellStyle name="Style 63" xfId="3116"/>
    <cellStyle name="Style 64" xfId="3117"/>
    <cellStyle name="Style 65" xfId="3118"/>
    <cellStyle name="subhead" xfId="3119"/>
    <cellStyle name="Subtitle" xfId="3120"/>
    <cellStyle name="SubTitle 2" xfId="3121"/>
    <cellStyle name="Subtitle 3" xfId="3122"/>
    <cellStyle name="Subtitle 4" xfId="3123"/>
    <cellStyle name="Subtotal" xfId="3124"/>
    <cellStyle name="sum" xfId="3125"/>
    <cellStyle name="Sum Colm" xfId="3126"/>
    <cellStyle name="Sum Rows" xfId="3127"/>
    <cellStyle name="sum8" xfId="3128"/>
    <cellStyle name="Summary_back" xfId="3129"/>
    <cellStyle name="Switch" xfId="3130"/>
    <cellStyle name="SYSTEM" xfId="3131"/>
    <cellStyle name="Table  - Style5" xfId="3132"/>
    <cellStyle name="Table head" xfId="3133"/>
    <cellStyle name="Table Head 2" xfId="3134"/>
    <cellStyle name="Table Head Aligned" xfId="3135"/>
    <cellStyle name="Table Head Aligned 2" xfId="3136"/>
    <cellStyle name="Table Head Blue" xfId="3137"/>
    <cellStyle name="Table Head Green" xfId="3138"/>
    <cellStyle name="Table Head Green 2" xfId="3139"/>
    <cellStyle name="Table Head_Legrand KKR v1.2" xfId="3140"/>
    <cellStyle name="Table Text" xfId="3141"/>
    <cellStyle name="Table Title" xfId="3142"/>
    <cellStyle name="Table Title 2" xfId="3143"/>
    <cellStyle name="Table Units" xfId="3144"/>
    <cellStyle name="Table-#" xfId="3145"/>
    <cellStyle name="Table_Header" xfId="3146"/>
    <cellStyle name="Table-Footnotes" xfId="3147"/>
    <cellStyle name="Table-Head-Bottom" xfId="3148"/>
    <cellStyle name="TableHeading" xfId="3149"/>
    <cellStyle name="Table-Headings" xfId="3150"/>
    <cellStyle name="Table-Head-Title" xfId="3151"/>
    <cellStyle name="Table-Titles" xfId="3152"/>
    <cellStyle name="Task" xfId="3153"/>
    <cellStyle name="Task (w/e)" xfId="3154"/>
    <cellStyle name="TechInput" xfId="3155"/>
    <cellStyle name="Technical_Input" xfId="3156"/>
    <cellStyle name="test" xfId="3157"/>
    <cellStyle name="Text" xfId="3158"/>
    <cellStyle name="Text 1" xfId="3159"/>
    <cellStyle name="text 2" xfId="3160"/>
    <cellStyle name="text 3" xfId="3161"/>
    <cellStyle name="Text Head 1" xfId="3162"/>
    <cellStyle name="Text_Alcatel Lucent_Operating Model_061128_8" xfId="3163"/>
    <cellStyle name="text2" xfId="3164"/>
    <cellStyle name="TFCF" xfId="3165"/>
    <cellStyle name="Thousands" xfId="3166"/>
    <cellStyle name="TIME Detail" xfId="3167"/>
    <cellStyle name="TIME Period Start" xfId="3168"/>
    <cellStyle name="times" xfId="3169"/>
    <cellStyle name="Times 10" xfId="3170"/>
    <cellStyle name="Times 12" xfId="3171"/>
    <cellStyle name="Times New Roman" xfId="3172"/>
    <cellStyle name="times_Draft Final Sources  Uses V4" xfId="3173"/>
    <cellStyle name="Title  - Style6" xfId="3174"/>
    <cellStyle name="Title - PROJECT" xfId="3175"/>
    <cellStyle name="Title - Underline" xfId="3176"/>
    <cellStyle name="Title 2" xfId="3177"/>
    <cellStyle name="Title 2 2" xfId="3178"/>
    <cellStyle name="Title 2 3" xfId="3179"/>
    <cellStyle name="Title 3" xfId="3180"/>
    <cellStyle name="Title 4" xfId="3181"/>
    <cellStyle name="Title Row" xfId="3182"/>
    <cellStyle name="title1" xfId="3183"/>
    <cellStyle name="title2" xfId="3184"/>
    <cellStyle name="Titles - Col. Headings" xfId="3185"/>
    <cellStyle name="Titles - Other" xfId="3186"/>
    <cellStyle name="Toat" xfId="3187"/>
    <cellStyle name="TopCaption" xfId="3188"/>
    <cellStyle name="Total 2" xfId="3189"/>
    <cellStyle name="Total 2 2" xfId="3190"/>
    <cellStyle name="Total 2 3" xfId="3191"/>
    <cellStyle name="Total 3" xfId="3192"/>
    <cellStyle name="Total 3 2" xfId="3193"/>
    <cellStyle name="Total 4" xfId="3194"/>
    <cellStyle name="totalbold" xfId="3195"/>
    <cellStyle name="TotCol - Style7" xfId="3196"/>
    <cellStyle name="TotRow - Style8" xfId="3197"/>
    <cellStyle name="Tusental (0)_pldt" xfId="3198"/>
    <cellStyle name="Tusental_pldt" xfId="3199"/>
    <cellStyle name="ubordinated Debt" xfId="3200"/>
    <cellStyle name="Underline_Single" xfId="3201"/>
    <cellStyle name="uni" xfId="3202"/>
    <cellStyle name="Unit" xfId="3203"/>
    <cellStyle name="Unit 2" xfId="3204"/>
    <cellStyle name="Unprotect" xfId="3205"/>
    <cellStyle name="Unsure" xfId="3206"/>
    <cellStyle name="Value paste" xfId="3207"/>
    <cellStyle name="Valuta (0)_pldt" xfId="3208"/>
    <cellStyle name="Valuta_pldt" xfId="3209"/>
    <cellStyle name="Warning Text 2" xfId="3210"/>
    <cellStyle name="Warning Text 2 2" xfId="3211"/>
    <cellStyle name="Warning Text 2 3" xfId="3212"/>
    <cellStyle name="Warning Text 3" xfId="3213"/>
    <cellStyle name="Warning Text 3 2" xfId="3214"/>
    <cellStyle name="Warning Text 4" xfId="3215"/>
    <cellStyle name="White" xfId="3216"/>
    <cellStyle name="WIP" xfId="3217"/>
    <cellStyle name="WrappedBold" xfId="3218"/>
    <cellStyle name="x" xfId="3219"/>
    <cellStyle name="year" xfId="3220"/>
    <cellStyle name="year 2" xfId="3221"/>
    <cellStyle name="year 3" xfId="3222"/>
    <cellStyle name="year 4" xfId="3223"/>
    <cellStyle name="year 5" xfId="3224"/>
    <cellStyle name="yellow" xfId="3225"/>
    <cellStyle name="Yen" xfId="3226"/>
    <cellStyle name="Обычный_FINPL15.2" xfId="3227"/>
    <cellStyle name="표준_INDRCT" xfId="3228"/>
    <cellStyle name="千位[0]_&lt;25" xfId="3425"/>
    <cellStyle name="千位_&lt;25" xfId="3426"/>
    <cellStyle name="千位分隔 2" xfId="3427"/>
    <cellStyle name="千位分隔 2 2" xfId="3428"/>
    <cellStyle name="千位分隔 2 2 2" xfId="3429"/>
    <cellStyle name="千位分隔 2 2 2 2" xfId="3430"/>
    <cellStyle name="千位分隔 2 2 3" xfId="3431"/>
    <cellStyle name="千位分隔 2 3" xfId="3432"/>
    <cellStyle name="千位分隔 2 3 2" xfId="3433"/>
    <cellStyle name="千位分隔 2 4" xfId="3434"/>
    <cellStyle name="千位分隔 3" xfId="3435"/>
    <cellStyle name="千位分隔 3 2" xfId="3436"/>
    <cellStyle name="千位分隔 3 2 2" xfId="3437"/>
    <cellStyle name="千位分隔 3 3" xfId="3438"/>
    <cellStyle name="千位分隔 4" xfId="3439"/>
    <cellStyle name="千分位[0]" xfId="3440"/>
    <cellStyle name="千分位[0] 2" xfId="3441"/>
    <cellStyle name="千分位_ 白土" xfId="3442"/>
    <cellStyle name="后继超级链接" xfId="3443"/>
    <cellStyle name="后继超级链接 2" xfId="3444"/>
    <cellStyle name="好 2" xfId="3445"/>
    <cellStyle name="好 2 2" xfId="3446"/>
    <cellStyle name="好 2 2 2" xfId="3447"/>
    <cellStyle name="好 2 3" xfId="3448"/>
    <cellStyle name="好 3" xfId="3449"/>
    <cellStyle name="好 3 2" xfId="3450"/>
    <cellStyle name="好_工艺设备和材料清册" xfId="3451"/>
    <cellStyle name="好_工艺设备和材料清册 2" xfId="3452"/>
    <cellStyle name="好_烟气计算书-塔山" xfId="3453"/>
    <cellStyle name="好_烟气计算书-塔山 2" xfId="3454"/>
    <cellStyle name="好_烟气计算书-塔山 3" xfId="3455"/>
    <cellStyle name="好_表4工艺系统设备清单" xfId="3456"/>
    <cellStyle name="好_表4工艺系统设备清单 2" xfId="3457"/>
    <cellStyle name="好_表4工艺系统设备清单 3" xfId="3458"/>
    <cellStyle name="好_设备清单" xfId="3459"/>
    <cellStyle name="好_设备清单 2" xfId="3460"/>
    <cellStyle name="差 2" xfId="3461"/>
    <cellStyle name="差 2 2" xfId="3462"/>
    <cellStyle name="差 2 2 2" xfId="3463"/>
    <cellStyle name="差 2 3" xfId="3464"/>
    <cellStyle name="差 3" xfId="3465"/>
    <cellStyle name="差 3 2" xfId="3466"/>
    <cellStyle name="差_工艺设备和材料清册" xfId="3467"/>
    <cellStyle name="差_工艺设备和材料清册 2" xfId="3468"/>
    <cellStyle name="差_烟气计算书-塔山" xfId="3469"/>
    <cellStyle name="差_烟气计算书-塔山 2" xfId="3470"/>
    <cellStyle name="差_烟气计算书-塔山 3" xfId="3471"/>
    <cellStyle name="差_表4工艺系统设备清单" xfId="3472"/>
    <cellStyle name="差_表4工艺系统设备清单 2" xfId="3473"/>
    <cellStyle name="差_表4工艺系统设备清单 3" xfId="3474"/>
    <cellStyle name="差_设备清单" xfId="3475"/>
    <cellStyle name="差_设备清单 2" xfId="3476"/>
    <cellStyle name="常规 10" xfId="3477"/>
    <cellStyle name="常规 10 2" xfId="3478"/>
    <cellStyle name="常规 11" xfId="3479"/>
    <cellStyle name="常规 12" xfId="3480"/>
    <cellStyle name="常规 13" xfId="3481"/>
    <cellStyle name="常规 14" xfId="3482"/>
    <cellStyle name="常规 15" xfId="3483"/>
    <cellStyle name="常规 15 2" xfId="3484"/>
    <cellStyle name="常规 16" xfId="3485"/>
    <cellStyle name="常规 17" xfId="3486"/>
    <cellStyle name="常规 2" xfId="3487"/>
    <cellStyle name="常规 2 2" xfId="3488"/>
    <cellStyle name="常规 2 2 2" xfId="3489"/>
    <cellStyle name="常规 2 2 3" xfId="3490"/>
    <cellStyle name="常规 2 2 4" xfId="3491"/>
    <cellStyle name="常规 2 2 5" xfId="3492"/>
    <cellStyle name="常规 2 3" xfId="3493"/>
    <cellStyle name="常规 2 3 2" xfId="3494"/>
    <cellStyle name="常规 2 4" xfId="3495"/>
    <cellStyle name="常规 2 4 2" xfId="3496"/>
    <cellStyle name="常规 2 5" xfId="3497"/>
    <cellStyle name="常规 2 6" xfId="3498"/>
    <cellStyle name="常规 2 7" xfId="3499"/>
    <cellStyle name="常规 2 8" xfId="3500"/>
    <cellStyle name="常规 2 9" xfId="3501"/>
    <cellStyle name="常规 3" xfId="3502"/>
    <cellStyle name="常规 3 2" xfId="3503"/>
    <cellStyle name="常规 3 2 2" xfId="3504"/>
    <cellStyle name="常规 3 2 2 2" xfId="3505"/>
    <cellStyle name="常规 3 2 3" xfId="3506"/>
    <cellStyle name="常规 3 2 4" xfId="3507"/>
    <cellStyle name="常规 3 2 5" xfId="3508"/>
    <cellStyle name="常规 3 2 6" xfId="3509"/>
    <cellStyle name="常规 3 3" xfId="3510"/>
    <cellStyle name="常规 3 3 2" xfId="3511"/>
    <cellStyle name="常规 3 3 3" xfId="3512"/>
    <cellStyle name="常规 3 3 4" xfId="3513"/>
    <cellStyle name="常规 3 3 5" xfId="3514"/>
    <cellStyle name="常规 3 4" xfId="3515"/>
    <cellStyle name="常规 3 4 2" xfId="3516"/>
    <cellStyle name="常规 3 5" xfId="3517"/>
    <cellStyle name="常规 3 6" xfId="3518"/>
    <cellStyle name="常规 3 7" xfId="3519"/>
    <cellStyle name="常规 4" xfId="3520"/>
    <cellStyle name="常规 4 2" xfId="3521"/>
    <cellStyle name="常规 4 2 2" xfId="3522"/>
    <cellStyle name="常规 4 2 2 2" xfId="3523"/>
    <cellStyle name="常规 4 2 3" xfId="3524"/>
    <cellStyle name="常规 4 3" xfId="3525"/>
    <cellStyle name="常规 4 3 2" xfId="3526"/>
    <cellStyle name="常规 4 4" xfId="3527"/>
    <cellStyle name="常规 4 5" xfId="3528"/>
    <cellStyle name="常规 5" xfId="3529"/>
    <cellStyle name="常规 5 2" xfId="3530"/>
    <cellStyle name="常规 5 2 2" xfId="3531"/>
    <cellStyle name="常规 5 2 2 2" xfId="3532"/>
    <cellStyle name="常规 5 2 3" xfId="3533"/>
    <cellStyle name="常规 5 3" xfId="3534"/>
    <cellStyle name="常规 5 3 2" xfId="3535"/>
    <cellStyle name="常规 5 4" xfId="3536"/>
    <cellStyle name="常规 6" xfId="3537"/>
    <cellStyle name="常规 6 2" xfId="3538"/>
    <cellStyle name="常规 6 2 2" xfId="3539"/>
    <cellStyle name="常规 6 2 2 2" xfId="3540"/>
    <cellStyle name="常规 6 2 3" xfId="3541"/>
    <cellStyle name="常规 6 3" xfId="3542"/>
    <cellStyle name="常规 6 3 2" xfId="3543"/>
    <cellStyle name="常规 6 4" xfId="3544"/>
    <cellStyle name="常规 7" xfId="3545"/>
    <cellStyle name="常规 7 2" xfId="3546"/>
    <cellStyle name="常规 7 2 2" xfId="3547"/>
    <cellStyle name="常规 7 3" xfId="3548"/>
    <cellStyle name="常规 8" xfId="3549"/>
    <cellStyle name="常规 8 2" xfId="3550"/>
    <cellStyle name="常规 9" xfId="3551"/>
    <cellStyle name="常规 9 2" xfId="3552"/>
    <cellStyle name="常规_0 2" xfId="3553"/>
    <cellStyle name="强调文字颜色 1 2" xfId="3554"/>
    <cellStyle name="强调文字颜色 1 2 2" xfId="3555"/>
    <cellStyle name="强调文字颜色 1 2 2 2" xfId="3556"/>
    <cellStyle name="强调文字颜色 1 2 3" xfId="3557"/>
    <cellStyle name="强调文字颜色 1 3" xfId="3558"/>
    <cellStyle name="强调文字颜色 1 3 2" xfId="3559"/>
    <cellStyle name="强调文字颜色 1 3 2 2" xfId="3560"/>
    <cellStyle name="强调文字颜色 1 3 3" xfId="3561"/>
    <cellStyle name="强调文字颜色 2 2" xfId="3562"/>
    <cellStyle name="强调文字颜色 2 2 2" xfId="3563"/>
    <cellStyle name="强调文字颜色 2 2 2 2" xfId="3564"/>
    <cellStyle name="强调文字颜色 2 2 3" xfId="3565"/>
    <cellStyle name="强调文字颜色 2 3" xfId="3566"/>
    <cellStyle name="强调文字颜色 2 3 2" xfId="3567"/>
    <cellStyle name="强调文字颜色 2 3 2 2" xfId="3568"/>
    <cellStyle name="强调文字颜色 2 3 3" xfId="3569"/>
    <cellStyle name="强调文字颜色 3 2" xfId="3570"/>
    <cellStyle name="强调文字颜色 3 2 2" xfId="3571"/>
    <cellStyle name="强调文字颜色 3 2 2 2" xfId="3572"/>
    <cellStyle name="强调文字颜色 3 2 3" xfId="3573"/>
    <cellStyle name="强调文字颜色 3 3" xfId="3574"/>
    <cellStyle name="强调文字颜色 3 3 2" xfId="3575"/>
    <cellStyle name="强调文字颜色 3 3 2 2" xfId="3576"/>
    <cellStyle name="强调文字颜色 3 3 3" xfId="3577"/>
    <cellStyle name="强调文字颜色 4 2" xfId="3578"/>
    <cellStyle name="强调文字颜色 4 2 2" xfId="3579"/>
    <cellStyle name="强调文字颜色 4 2 2 2" xfId="3580"/>
    <cellStyle name="强调文字颜色 4 2 3" xfId="3581"/>
    <cellStyle name="强调文字颜色 4 3" xfId="3582"/>
    <cellStyle name="强调文字颜色 4 3 2" xfId="3583"/>
    <cellStyle name="强调文字颜色 4 3 2 2" xfId="3584"/>
    <cellStyle name="强调文字颜色 4 3 3" xfId="3585"/>
    <cellStyle name="强调文字颜色 5 2" xfId="3586"/>
    <cellStyle name="强调文字颜色 5 2 2" xfId="3587"/>
    <cellStyle name="强调文字颜色 5 2 2 2" xfId="3588"/>
    <cellStyle name="强调文字颜色 5 2 3" xfId="3589"/>
    <cellStyle name="强调文字颜色 5 3" xfId="3590"/>
    <cellStyle name="强调文字颜色 5 3 2" xfId="3591"/>
    <cellStyle name="强调文字颜色 5 3 2 2" xfId="3592"/>
    <cellStyle name="强调文字颜色 5 3 3" xfId="3593"/>
    <cellStyle name="强调文字颜色 6 2" xfId="3594"/>
    <cellStyle name="强调文字颜色 6 2 2" xfId="3595"/>
    <cellStyle name="强调文字颜色 6 2 2 2" xfId="3596"/>
    <cellStyle name="强调文字颜色 6 2 3" xfId="3597"/>
    <cellStyle name="强调文字颜色 6 3" xfId="3598"/>
    <cellStyle name="强调文字颜色 6 3 2" xfId="3599"/>
    <cellStyle name="强调文字颜色 6 3 2 2" xfId="3600"/>
    <cellStyle name="强调文字颜色 6 3 3" xfId="3601"/>
    <cellStyle name="普通_ANALYSE" xfId="3229"/>
    <cellStyle name="标题 1 2" xfId="3602"/>
    <cellStyle name="标题 1 2 2" xfId="3603"/>
    <cellStyle name="标题 1 2 2 2" xfId="3604"/>
    <cellStyle name="标题 1 2 3" xfId="3605"/>
    <cellStyle name="标题 1 3" xfId="3606"/>
    <cellStyle name="标题 1 3 2" xfId="3607"/>
    <cellStyle name="标题 2 2" xfId="3608"/>
    <cellStyle name="标题 2 2 2" xfId="3609"/>
    <cellStyle name="标题 2 2 2 2" xfId="3610"/>
    <cellStyle name="标题 2 2 3" xfId="3611"/>
    <cellStyle name="标题 2 3" xfId="3612"/>
    <cellStyle name="标题 2 3 2" xfId="3613"/>
    <cellStyle name="标题 3 2" xfId="3614"/>
    <cellStyle name="标题 3 2 2" xfId="3615"/>
    <cellStyle name="标题 3 2 2 2" xfId="3616"/>
    <cellStyle name="标题 3 2 3" xfId="3617"/>
    <cellStyle name="标题 3 3" xfId="3618"/>
    <cellStyle name="标题 3 3 2" xfId="3619"/>
    <cellStyle name="标题 4 2" xfId="3620"/>
    <cellStyle name="标题 4 2 2" xfId="3621"/>
    <cellStyle name="标题 4 2 2 2" xfId="3622"/>
    <cellStyle name="标题 4 2 3" xfId="3623"/>
    <cellStyle name="标题 4 3" xfId="3624"/>
    <cellStyle name="标题 4 3 2" xfId="3625"/>
    <cellStyle name="标题 5" xfId="3626"/>
    <cellStyle name="标题 5 2" xfId="3627"/>
    <cellStyle name="标题 5 2 2" xfId="3628"/>
    <cellStyle name="标题 5 3" xfId="3629"/>
    <cellStyle name="标题 6" xfId="3630"/>
    <cellStyle name="标题 6 2" xfId="3631"/>
    <cellStyle name="样式 1" xfId="3632"/>
    <cellStyle name="样式 1 2" xfId="3633"/>
    <cellStyle name="样式 1 3" xfId="3634"/>
    <cellStyle name="样式 1 3 2" xfId="3635"/>
    <cellStyle name="桁区切り [0.00]_Appendix" xfId="3230"/>
    <cellStyle name="桁区切り_Appendix" xfId="3231"/>
    <cellStyle name="检查单元格 2" xfId="3636"/>
    <cellStyle name="检查单元格 2 2" xfId="3637"/>
    <cellStyle name="检查单元格 2 2 2" xfId="3638"/>
    <cellStyle name="检查单元格 2 3" xfId="3639"/>
    <cellStyle name="检查单元格 3" xfId="3640"/>
    <cellStyle name="检查单元格 3 2" xfId="3641"/>
    <cellStyle name="標準_Appendix" xfId="3232"/>
    <cellStyle name="汇总 2" xfId="3642"/>
    <cellStyle name="汇总 2 2" xfId="3643"/>
    <cellStyle name="汇总 2 2 2" xfId="3644"/>
    <cellStyle name="汇总 2 3" xfId="3645"/>
    <cellStyle name="汇总 3" xfId="3646"/>
    <cellStyle name="汇总 3 2" xfId="3647"/>
    <cellStyle name="注释 2" xfId="3648"/>
    <cellStyle name="烹拳 [0]_97MBO" xfId="3649"/>
    <cellStyle name="烹拳_97MBO" xfId="3650"/>
    <cellStyle name="解释性文本 2" xfId="3651"/>
    <cellStyle name="解释性文本 2 2" xfId="3652"/>
    <cellStyle name="解释性文本 2 2 2" xfId="3653"/>
    <cellStyle name="解释性文本 2 3" xfId="3654"/>
    <cellStyle name="解释性文本 3" xfId="3655"/>
    <cellStyle name="解释性文本 3 2" xfId="3656"/>
    <cellStyle name="警告文本 2" xfId="3657"/>
    <cellStyle name="警告文本 2 2" xfId="3658"/>
    <cellStyle name="警告文本 2 2 2" xfId="3659"/>
    <cellStyle name="警告文本 2 3" xfId="3660"/>
    <cellStyle name="警告文本 3" xfId="3661"/>
    <cellStyle name="警告文本 3 2" xfId="3662"/>
    <cellStyle name="计算 2" xfId="3663"/>
    <cellStyle name="计算 2 2" xfId="3664"/>
    <cellStyle name="计算 2 2 2" xfId="3665"/>
    <cellStyle name="计算 2 3" xfId="3666"/>
    <cellStyle name="计算 3" xfId="3667"/>
    <cellStyle name="计算 3 2" xfId="3668"/>
    <cellStyle name="超级链接" xfId="3669"/>
    <cellStyle name="超级链接 2" xfId="3670"/>
    <cellStyle name="输入 2" xfId="3671"/>
    <cellStyle name="输入 2 2" xfId="3672"/>
    <cellStyle name="输入 2 2 2" xfId="3673"/>
    <cellStyle name="输入 2 3" xfId="3674"/>
    <cellStyle name="输入 3" xfId="3675"/>
    <cellStyle name="输入 3 2" xfId="3676"/>
    <cellStyle name="输出 2" xfId="3677"/>
    <cellStyle name="输出 2 2" xfId="3678"/>
    <cellStyle name="输出 2 2 2" xfId="3679"/>
    <cellStyle name="输出 2 3" xfId="3680"/>
    <cellStyle name="输出 3" xfId="3681"/>
    <cellStyle name="输出 3 2" xfId="3682"/>
    <cellStyle name="适中 2" xfId="3683"/>
    <cellStyle name="适中 2 2" xfId="3684"/>
    <cellStyle name="适中 2 2 2" xfId="3685"/>
    <cellStyle name="适中 2 3" xfId="3686"/>
    <cellStyle name="适中 3" xfId="3687"/>
    <cellStyle name="适中 3 2" xfId="3688"/>
    <cellStyle name="通貨 [0.00]_Appendix" xfId="3233"/>
    <cellStyle name="通貨_Appendix" xfId="3234"/>
    <cellStyle name="钎霖_laroux" xfId="3689"/>
    <cellStyle name="链接单元格 2" xfId="3690"/>
    <cellStyle name="链接单元格 2 2" xfId="3691"/>
    <cellStyle name="链接单元格 2 2 2" xfId="3692"/>
    <cellStyle name="链接单元格 2 3" xfId="3693"/>
    <cellStyle name="链接单元格 3" xfId="3694"/>
    <cellStyle name="链接单元格 3 2" xfId="3695"/>
    <cellStyle name="霓付 [0]_97MBO" xfId="3696"/>
    <cellStyle name="霓付_97MBO" xfId="3697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externalLink" Target="externalLinks/externalLink5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55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\c\cm8\NS\EHV-SUBSTATIONS-B\EVA-SUBSTATION-PACKAGE-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eshg\ramesh%20data\IPU\Civil-Stru\POWER\msh\OPERATING%20JOBS\TL%20TOWERS\66kV%20DC%20TL%20BRUNEI\2%20Pile%20capacity%20Calcula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ahmanandg\Gbrahma\Documents%20and%20Settings\Ebby%20Abraham\Local%20Settings\Temp\DEPT_PROFIT_Mar_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460-vishal\Vishal\WINDOWS\TEMP\YIELD_WIP_SALVAGE_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eresh\shared%20folder\Technical\Performance\Effi%20cal\Unit%20Efficiency%20Calc\March%2009\U2%20Performance%20calcul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PU/Civil-Stru/POWER/msh/OPERATING%20JOBS/TL%20TOWERS/66kV%20DC%20TL%20BRUNEI/2%20Pile%20capacity%20Calcul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200.54\New%20Folder\Documents%20and%20Settings\Ebby%20Abraham\Local%20Settings\Temp\DEPT_PROFIT_Mar_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-sunil\jsw%20energy%20limited\IPU\Civil-Stru\POWER\msh\OPERATING%20JOBS\TL%20TOWERS\66kV%20DC%20TL%20BRUNEI\2%20Pile%20capacity%20Calculat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oj\IN_MAILS\KGT\YR98-99\BHANDU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262-ketan\ketan\KETAN\KHP\Bs2005\DEC%202004\PLBS1204%20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ahmanandg\gbrahma\IPU\Civil-Stru\POWER\msh\OPERATING%20JOBS\TL%20TOWERS\66kV%20DC%20TL%20BRUNEI\2%20Pile%20capacity%20Calculation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AM-06\1.Sanctioned%20and%20controlled\Hinduja%20National%20Power%20Corporation%20Ltd\4.Post%20Sanction\Hinduja%202nd%20Cost%20overrun\FINAL%20BASE%20CASE%20%20HNPCL%20Final%20Model%2019%2005%202015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il\c\WINDOWS\Desktop\Cash_%20Flow_Tbc_03_2001(SEBI)_bby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il\c\WINDOWS\TEMP\Tbc_03_2001(SEBI)_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lsharma/AppData/Local/Microsoft/Windows/Temporary%20Internet%20Files/OLK8CC7/Account%20Dec%202010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52-sanjay\c\Sanjay\Institutions\Principal%20+OD%203103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ahmanandg\gbrahma\user\singaiah\KILN%20PIER\footing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ELLEY\TECHNOGR\MODEL\PROFORM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0-11\SB\R-India%20Standard%20Models-Templates-Admin\Project%20Rock%20_020407%20(1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buserver\domcont\ns\400gridco\client\package-c\400-CR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261-modi\c\DOCUME~1\u003119\LOCALS~1\Temp\c.data.u003119.notes_cdi\projects\Projects\titan\comps\Titan_Chemical%20Trading%20comps_03072004v5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460-vishal\Vishal\data%20of%20d\data\Stock_Report_As_On_Da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52-sanjay\c\Sanjay\Interest%2001%2002\iNt-%20June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LMCL/Working%20Capital/CMA/FY%202013-14/BLMCL_CMA_FY%202013-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52-sanjay\c\WINDOWS\TEMP\Fin-Mis%20-%20Aug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ise\c\My%20Documents\Chetan\Casual%20Manpower\Copy%20of%20Staffing%20as%20on%2025102001-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ahmag\Brahma\chetan\apgoelmisforma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ghp071\Desktop\power%20capex%20231107%20M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-255-shringi\c\CSD2\CSD2_R264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460-vishal\Vishal\WINDOWS\Local%20Settings\Temporary%20Internet%20Files\Content.IE5\323KYKM2\prod%20rate-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VOICE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B%20Power\DB-CG\Coal\Sourcing%20&amp;%20Logistics%20Planning\Coal%20Requirement%20at%20different%20PPA%20Scenarios\Coal%20Requirement%20Analysis%20-%2027Nov2012%20(Final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ARE\IB\PROJECTS\G%20---%20L\JISCO\Jindal%20Files\misc%20files\Model\merged-projection310304%20July%205_DCF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2011-12/Projections%202011-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chetan.shet\Desktop\Work\GMR\EMCO\Emco-June%2028%202013-Full%20recovery_scenario%203&amp;5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2011-12/Budget_2011-1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ccounts/My%20Documents/MIS%20REPORTS/expense%20investigation-same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52-sanjay\c\Sanjay\Debt%20-Profile\Debt%20-Profile3009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eals\Current\Brands_deal\Fama\Fama%20SV\Collateral\Final\Fama.FM.17.10.07.Final.Unformatt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460-vishal\Vishal\My%20Documents\export_order_statu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buserver\domcont\ns\400gridco\mnl-civil\400-CRB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KGT/YR98-99/DPR_9697/PLAN169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53-apurva\d\Apurva\cashflow\cashflow02-03\Interest-Businessplan-2002-afterrest-revise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jaybabut.PDC/Desktop/Cop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6X70NTL4/Q4%20Audit%20Liability%20Schedul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eals\Documents%20and%20Settings\Abha\Local%20Settings\Temporary%20Internet%20Files\OLK1B\Cello%20Financial%20Model%20V2%200(FINAL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ykishan\jk$\Documents%20and%20Settings\ganesh\Local%20Settings\Temporary%20Internet%20Files\Content.IE5\XR054T4W\FIXED%20ASSET%20REGISTER\Copy%20of%20upload%20file%20for%20asse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ospace\Client%20Directory\Z\zjemmott\airlines\comps\trading\US%20regionals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ykishan\jk$\Documents%20and%20Settings\Sanjay\Local%20Settings\Temporary%20Internet%20Files\Content.IE5\1FJHM6J2\Copy%20of%20upload%20file%20for%20asset%20ii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63-surendran\e\jaidev\2003-04\Qtr1-2003-04\TBC\Cash_Flow\Copy%20of%20cashflow_31_3_2003_3may_5pm_after_VP(F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52-sanjay\c\Sanjay\Securitisation\RZB-VISIT-1402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ahmanandg\Gbrahma\Documents%20and%20Settings\accounts\My%20Documents\MIS%20REPORTS\mis%20data\Revised%20Trial%20Balance%20as%20at%2031.12.0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RE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261-modi\c\DOCUME~1\u003119\LOCALS~1\Temp\c.data.u003119.notes_cdi\Shireesh\Exxon_Qenos\Trading%20Comps\Qenos%20-%20Trading%20comps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ahmanandg\gbrahma\Civil-Stru\Chimneys\msh\DEVELOPMENTAL%20WORKS\DRAFT\DESIGN%20OF%20FOOTING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460-vishal\Vishal\WINDOWS\Desktop\galv%201163%20totem%20savannah(3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Nilesh%20Gode/D/Refinance/Financial%20Model/FM%20With%20FGD%20Impact/FGD%20Financial%20Model%20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 (B)"/>
      <sheetName val="PACK (D)"/>
      <sheetName val=" PACK (C)"/>
      <sheetName val=" PACK (A)"/>
      <sheetName val="S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-capacity"/>
      <sheetName val="H-capacity"/>
      <sheetName val="TABLE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0.7</v>
          </cell>
          <cell r="C2">
            <v>1</v>
          </cell>
        </row>
        <row r="3">
          <cell r="A3">
            <v>2</v>
          </cell>
          <cell r="B3">
            <v>0.7</v>
          </cell>
          <cell r="C3">
            <v>1</v>
          </cell>
        </row>
        <row r="4">
          <cell r="A4">
            <v>3</v>
          </cell>
          <cell r="B4">
            <v>0.7</v>
          </cell>
          <cell r="C4">
            <v>1</v>
          </cell>
        </row>
        <row r="5">
          <cell r="A5">
            <v>4</v>
          </cell>
          <cell r="B5">
            <v>0.7</v>
          </cell>
          <cell r="C5">
            <v>1</v>
          </cell>
        </row>
        <row r="6">
          <cell r="A6">
            <v>5</v>
          </cell>
          <cell r="B6">
            <v>0.5</v>
          </cell>
          <cell r="C6">
            <v>0.7</v>
          </cell>
        </row>
        <row r="7">
          <cell r="A7">
            <v>6</v>
          </cell>
          <cell r="B7">
            <v>0.5</v>
          </cell>
          <cell r="C7">
            <v>0.7</v>
          </cell>
        </row>
        <row r="8">
          <cell r="A8">
            <v>7</v>
          </cell>
          <cell r="B8">
            <v>0.5</v>
          </cell>
          <cell r="C8">
            <v>0.7</v>
          </cell>
        </row>
        <row r="9">
          <cell r="A9">
            <v>8</v>
          </cell>
          <cell r="B9">
            <v>0.5</v>
          </cell>
          <cell r="C9">
            <v>0.7</v>
          </cell>
        </row>
        <row r="10">
          <cell r="A10">
            <v>9</v>
          </cell>
          <cell r="B10">
            <v>0.4</v>
          </cell>
          <cell r="C10">
            <v>0.5</v>
          </cell>
        </row>
        <row r="11">
          <cell r="A11">
            <v>10</v>
          </cell>
          <cell r="B11">
            <v>0.4</v>
          </cell>
          <cell r="C11">
            <v>0.5</v>
          </cell>
        </row>
        <row r="12">
          <cell r="A12">
            <v>11</v>
          </cell>
          <cell r="B12">
            <v>0.4</v>
          </cell>
          <cell r="C12">
            <v>0.5</v>
          </cell>
        </row>
        <row r="13">
          <cell r="A13">
            <v>12</v>
          </cell>
          <cell r="B13">
            <v>0.4</v>
          </cell>
          <cell r="C13">
            <v>0.5</v>
          </cell>
        </row>
        <row r="14">
          <cell r="A14">
            <v>13</v>
          </cell>
          <cell r="B14">
            <v>0.4</v>
          </cell>
          <cell r="C14">
            <v>0.5</v>
          </cell>
        </row>
        <row r="15">
          <cell r="A15">
            <v>14</v>
          </cell>
          <cell r="B15">
            <v>0.4</v>
          </cell>
          <cell r="C15">
            <v>0.5</v>
          </cell>
        </row>
        <row r="16">
          <cell r="A16">
            <v>15</v>
          </cell>
          <cell r="B16">
            <v>0.3</v>
          </cell>
          <cell r="C16">
            <v>0.4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_1"/>
      <sheetName val="Sheet3"/>
      <sheetName val="RM"/>
      <sheetName val="F&amp;B"/>
      <sheetName val="IRD"/>
      <sheetName val="HUB"/>
      <sheetName val="BBQ"/>
      <sheetName val="BTW"/>
      <sheetName val="Chn"/>
      <sheetName val="Sng"/>
      <sheetName val="Jun"/>
      <sheetName val="Chmb"/>
      <sheetName val="Incog"/>
      <sheetName val="Bnqt"/>
      <sheetName val="Lpat"/>
      <sheetName val="Bcentre"/>
      <sheetName val="Tel"/>
      <sheetName val="Laun"/>
      <sheetName val="Admn"/>
      <sheetName val="Maint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P_TO_SALVAGE_1"/>
      <sheetName val="csd1"/>
      <sheetName val="Pivot1"/>
      <sheetName val="Sheet1"/>
      <sheetName val="Report_1"/>
      <sheetName val="WIP_TO_SALVAGE_2"/>
      <sheetName val="csd2"/>
      <sheetName val="Pivot2"/>
      <sheetName val="Report_2"/>
      <sheetName val="PACK (B)"/>
      <sheetName val="new"/>
      <sheetName val="dhs-XTL"/>
    </sheetNames>
    <sheetDataSet>
      <sheetData sheetId="0"/>
      <sheetData sheetId="1" refreshError="1">
        <row r="2">
          <cell r="A2">
            <v>38053</v>
          </cell>
          <cell r="B2" t="str">
            <v>C14NC4009C</v>
          </cell>
          <cell r="C2" t="str">
            <v>9GCSLOTS4</v>
          </cell>
          <cell r="D2">
            <v>1.6799999999999899</v>
          </cell>
          <cell r="E2" t="str">
            <v>EXP</v>
          </cell>
          <cell r="F2" t="str">
            <v>C</v>
          </cell>
          <cell r="G2" t="str">
            <v>S3</v>
          </cell>
          <cell r="H2" t="str">
            <v>GALV885</v>
          </cell>
          <cell r="I2" t="str">
            <v/>
          </cell>
          <cell r="J2" t="str">
            <v>CTL1</v>
          </cell>
          <cell r="K2" t="str">
            <v/>
          </cell>
          <cell r="L2" t="str">
            <v>##</v>
          </cell>
          <cell r="M2" t="str">
            <v>HARD</v>
          </cell>
          <cell r="N2" t="str">
            <v/>
          </cell>
          <cell r="O2">
            <v>0</v>
          </cell>
          <cell r="P2" t="str">
            <v>T2/XC0017/3</v>
          </cell>
          <cell r="Q2">
            <v>1.6799999999999899</v>
          </cell>
          <cell r="R2" t="str">
            <v/>
          </cell>
          <cell r="S2" t="str">
            <v>9AUCLOT</v>
          </cell>
          <cell r="T2" t="str">
            <v>##</v>
          </cell>
          <cell r="U2" t="str">
            <v>24xc0106</v>
          </cell>
          <cell r="V2" t="str">
            <v/>
          </cell>
          <cell r="W2" t="str">
            <v>NCO</v>
          </cell>
          <cell r="X2" t="str">
            <v>PEGC</v>
          </cell>
          <cell r="Z2">
            <v>38047</v>
          </cell>
          <cell r="AA2">
            <v>38066</v>
          </cell>
          <cell r="AB2" t="str">
            <v>CSD1</v>
          </cell>
        </row>
      </sheetData>
      <sheetData sheetId="2"/>
      <sheetData sheetId="3"/>
      <sheetData sheetId="4"/>
      <sheetData sheetId="5"/>
      <sheetData sheetId="6" refreshError="1">
        <row r="2">
          <cell r="A2">
            <v>38048</v>
          </cell>
          <cell r="B2" t="str">
            <v xml:space="preserve">24xc0106          </v>
          </cell>
          <cell r="C2" t="str">
            <v>4VCZAE30320</v>
          </cell>
          <cell r="D2">
            <v>1.61</v>
          </cell>
          <cell r="E2" t="str">
            <v>EXP</v>
          </cell>
          <cell r="F2">
            <v>3</v>
          </cell>
          <cell r="G2" t="str">
            <v>S1</v>
          </cell>
          <cell r="H2" t="str">
            <v>GALV731</v>
          </cell>
          <cell r="I2" t="str">
            <v/>
          </cell>
          <cell r="J2" t="str">
            <v>CTL2</v>
          </cell>
          <cell r="K2" t="str">
            <v/>
          </cell>
          <cell r="L2">
            <v>994</v>
          </cell>
          <cell r="M2" t="str">
            <v>SOFT</v>
          </cell>
          <cell r="N2" t="str">
            <v/>
          </cell>
          <cell r="O2">
            <v>3</v>
          </cell>
          <cell r="P2" t="str">
            <v>T2/XC0017/3</v>
          </cell>
          <cell r="Q2">
            <v>1.5</v>
          </cell>
          <cell r="R2" t="str">
            <v/>
          </cell>
          <cell r="S2" t="str">
            <v>4VCZAE20330</v>
          </cell>
          <cell r="T2">
            <v>994</v>
          </cell>
          <cell r="U2" t="str">
            <v>24xc0106</v>
          </cell>
          <cell r="V2" t="str">
            <v/>
          </cell>
          <cell r="W2" t="str">
            <v>NCO</v>
          </cell>
          <cell r="X2" t="str">
            <v>PNLM</v>
          </cell>
          <cell r="Z2">
            <v>38047</v>
          </cell>
          <cell r="AA2">
            <v>38066</v>
          </cell>
          <cell r="AB2" t="str">
            <v>CSD2</v>
          </cell>
        </row>
      </sheetData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INPUTS"/>
      <sheetName val="HEATRATE"/>
      <sheetName val="Reading sheet"/>
      <sheetName val="Result"/>
      <sheetName val="heat rate"/>
      <sheetName val="boiler loss"/>
      <sheetName val="Sheet1"/>
      <sheetName val="FINAL"/>
      <sheetName val="BREAK UP"/>
      <sheetName val="Condenser"/>
      <sheetName val="Line losses"/>
      <sheetName val="APH"/>
      <sheetName val="Turbine cyl"/>
      <sheetName val="Heaters"/>
      <sheetName val="air ingress"/>
      <sheetName val="Cond heat lost"/>
      <sheetName val="cond"/>
      <sheetName val="cw loss"/>
      <sheetName val="Flow chart"/>
      <sheetName val="GRAPH data"/>
      <sheetName val="APR'08"/>
      <sheetName val="SBU-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-capacity"/>
      <sheetName val="H-capacity"/>
      <sheetName val="TABL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_1"/>
      <sheetName val="Sheet3"/>
      <sheetName val="RM"/>
      <sheetName val="F&amp;B"/>
      <sheetName val="IRD"/>
      <sheetName val="HUB"/>
      <sheetName val="BBQ"/>
      <sheetName val="BTW"/>
      <sheetName val="Chn"/>
      <sheetName val="Sng"/>
      <sheetName val="Jun"/>
      <sheetName val="Chmb"/>
      <sheetName val="Incog"/>
      <sheetName val="Bnqt"/>
      <sheetName val="Lpat"/>
      <sheetName val="Bcentre"/>
      <sheetName val="Tel"/>
      <sheetName val="Laun"/>
      <sheetName val="Admn"/>
      <sheetName val="Maint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-capacity"/>
      <sheetName val="H-capacity"/>
      <sheetName val="TABLE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0.7</v>
          </cell>
          <cell r="C2">
            <v>1</v>
          </cell>
        </row>
        <row r="3">
          <cell r="A3">
            <v>2</v>
          </cell>
          <cell r="B3">
            <v>0.7</v>
          </cell>
          <cell r="C3">
            <v>1</v>
          </cell>
        </row>
        <row r="4">
          <cell r="A4">
            <v>3</v>
          </cell>
          <cell r="B4">
            <v>0.7</v>
          </cell>
          <cell r="C4">
            <v>1</v>
          </cell>
        </row>
        <row r="5">
          <cell r="A5">
            <v>4</v>
          </cell>
          <cell r="B5">
            <v>0.7</v>
          </cell>
          <cell r="C5">
            <v>1</v>
          </cell>
        </row>
        <row r="6">
          <cell r="A6">
            <v>5</v>
          </cell>
          <cell r="B6">
            <v>0.5</v>
          </cell>
          <cell r="C6">
            <v>0.7</v>
          </cell>
        </row>
        <row r="7">
          <cell r="A7">
            <v>6</v>
          </cell>
          <cell r="B7">
            <v>0.5</v>
          </cell>
          <cell r="C7">
            <v>0.7</v>
          </cell>
        </row>
        <row r="8">
          <cell r="A8">
            <v>7</v>
          </cell>
          <cell r="B8">
            <v>0.5</v>
          </cell>
          <cell r="C8">
            <v>0.7</v>
          </cell>
        </row>
        <row r="9">
          <cell r="A9">
            <v>8</v>
          </cell>
          <cell r="B9">
            <v>0.5</v>
          </cell>
          <cell r="C9">
            <v>0.7</v>
          </cell>
        </row>
        <row r="10">
          <cell r="A10">
            <v>9</v>
          </cell>
          <cell r="B10">
            <v>0.4</v>
          </cell>
          <cell r="C10">
            <v>0.5</v>
          </cell>
        </row>
        <row r="11">
          <cell r="A11">
            <v>10</v>
          </cell>
          <cell r="B11">
            <v>0.4</v>
          </cell>
          <cell r="C11">
            <v>0.5</v>
          </cell>
        </row>
        <row r="12">
          <cell r="A12">
            <v>11</v>
          </cell>
          <cell r="B12">
            <v>0.4</v>
          </cell>
          <cell r="C12">
            <v>0.5</v>
          </cell>
        </row>
        <row r="13">
          <cell r="A13">
            <v>12</v>
          </cell>
          <cell r="B13">
            <v>0.4</v>
          </cell>
          <cell r="C13">
            <v>0.5</v>
          </cell>
        </row>
        <row r="14">
          <cell r="A14">
            <v>13</v>
          </cell>
          <cell r="B14">
            <v>0.4</v>
          </cell>
          <cell r="C14">
            <v>0.5</v>
          </cell>
        </row>
        <row r="15">
          <cell r="A15">
            <v>14</v>
          </cell>
          <cell r="B15">
            <v>0.4</v>
          </cell>
          <cell r="C15">
            <v>0.5</v>
          </cell>
        </row>
        <row r="16">
          <cell r="A16">
            <v>15</v>
          </cell>
          <cell r="B16">
            <v>0.3</v>
          </cell>
          <cell r="C16">
            <v>0.4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HANDUPSEP"/>
      <sheetName val="BHANDU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3 04-05"/>
      <sheetName val="Dec 04"/>
      <sheetName val="Jindal"/>
      <sheetName val="HO"/>
      <sheetName val="HRM"/>
      <sheetName val="CGL"/>
      <sheetName val="CSD"/>
      <sheetName val="Sheet1"/>
      <sheetName val="Module1"/>
      <sheetName val="MASTER-D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-capacity"/>
      <sheetName val="H-capacity"/>
      <sheetName val="TABLE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0.7</v>
          </cell>
          <cell r="C2">
            <v>1</v>
          </cell>
        </row>
        <row r="3">
          <cell r="A3">
            <v>2</v>
          </cell>
          <cell r="B3">
            <v>0.7</v>
          </cell>
          <cell r="C3">
            <v>1</v>
          </cell>
        </row>
        <row r="4">
          <cell r="A4">
            <v>3</v>
          </cell>
          <cell r="B4">
            <v>0.7</v>
          </cell>
          <cell r="C4">
            <v>1</v>
          </cell>
          <cell r="E4">
            <v>4</v>
          </cell>
          <cell r="F4">
            <v>28</v>
          </cell>
        </row>
        <row r="5">
          <cell r="A5">
            <v>4</v>
          </cell>
          <cell r="B5">
            <v>0.7</v>
          </cell>
          <cell r="C5">
            <v>1</v>
          </cell>
          <cell r="E5">
            <v>5</v>
          </cell>
          <cell r="F5">
            <v>28.33</v>
          </cell>
        </row>
        <row r="6">
          <cell r="A6">
            <v>5</v>
          </cell>
          <cell r="B6">
            <v>0.5</v>
          </cell>
          <cell r="C6">
            <v>0.7</v>
          </cell>
          <cell r="E6">
            <v>6</v>
          </cell>
          <cell r="F6">
            <v>28.67</v>
          </cell>
        </row>
        <row r="7">
          <cell r="A7">
            <v>6</v>
          </cell>
          <cell r="B7">
            <v>0.5</v>
          </cell>
          <cell r="C7">
            <v>0.7</v>
          </cell>
          <cell r="E7">
            <v>7</v>
          </cell>
          <cell r="F7">
            <v>29</v>
          </cell>
        </row>
        <row r="8">
          <cell r="A8">
            <v>7</v>
          </cell>
          <cell r="B8">
            <v>0.5</v>
          </cell>
          <cell r="C8">
            <v>0.7</v>
          </cell>
          <cell r="E8">
            <v>8</v>
          </cell>
          <cell r="F8">
            <v>29.33</v>
          </cell>
        </row>
        <row r="9">
          <cell r="A9">
            <v>8</v>
          </cell>
          <cell r="B9">
            <v>0.5</v>
          </cell>
          <cell r="C9">
            <v>0.7</v>
          </cell>
          <cell r="E9">
            <v>9</v>
          </cell>
          <cell r="F9">
            <v>29.67</v>
          </cell>
        </row>
        <row r="10">
          <cell r="A10">
            <v>9</v>
          </cell>
          <cell r="B10">
            <v>0.4</v>
          </cell>
          <cell r="C10">
            <v>0.5</v>
          </cell>
          <cell r="E10">
            <v>10</v>
          </cell>
          <cell r="F10">
            <v>30</v>
          </cell>
        </row>
        <row r="11">
          <cell r="A11">
            <v>10</v>
          </cell>
          <cell r="B11">
            <v>0.4</v>
          </cell>
          <cell r="C11">
            <v>0.5</v>
          </cell>
          <cell r="E11">
            <v>11</v>
          </cell>
          <cell r="F11">
            <v>30.33</v>
          </cell>
        </row>
        <row r="12">
          <cell r="A12">
            <v>11</v>
          </cell>
          <cell r="B12">
            <v>0.4</v>
          </cell>
          <cell r="C12">
            <v>0.5</v>
          </cell>
          <cell r="E12">
            <v>12</v>
          </cell>
          <cell r="F12">
            <v>30.67</v>
          </cell>
        </row>
        <row r="13">
          <cell r="A13">
            <v>12</v>
          </cell>
          <cell r="B13">
            <v>0.4</v>
          </cell>
          <cell r="C13">
            <v>0.5</v>
          </cell>
          <cell r="E13">
            <v>13</v>
          </cell>
          <cell r="F13">
            <v>31</v>
          </cell>
        </row>
        <row r="14">
          <cell r="A14">
            <v>13</v>
          </cell>
          <cell r="B14">
            <v>0.4</v>
          </cell>
          <cell r="C14">
            <v>0.5</v>
          </cell>
          <cell r="E14">
            <v>14</v>
          </cell>
          <cell r="F14">
            <v>31.33</v>
          </cell>
        </row>
        <row r="15">
          <cell r="A15">
            <v>14</v>
          </cell>
          <cell r="B15">
            <v>0.4</v>
          </cell>
          <cell r="C15">
            <v>0.5</v>
          </cell>
          <cell r="E15">
            <v>15</v>
          </cell>
          <cell r="F15">
            <v>31.67</v>
          </cell>
        </row>
        <row r="16">
          <cell r="A16">
            <v>15</v>
          </cell>
          <cell r="B16">
            <v>0.3</v>
          </cell>
          <cell r="C16">
            <v>0.4</v>
          </cell>
          <cell r="E16">
            <v>16</v>
          </cell>
          <cell r="F16">
            <v>32</v>
          </cell>
        </row>
        <row r="17">
          <cell r="E17">
            <v>17</v>
          </cell>
          <cell r="F17">
            <v>32.33</v>
          </cell>
        </row>
        <row r="18">
          <cell r="E18">
            <v>18</v>
          </cell>
          <cell r="F18">
            <v>32.67</v>
          </cell>
        </row>
        <row r="19">
          <cell r="E19">
            <v>19</v>
          </cell>
          <cell r="F19">
            <v>33</v>
          </cell>
        </row>
        <row r="20">
          <cell r="E20">
            <v>20</v>
          </cell>
          <cell r="F20">
            <v>33.33</v>
          </cell>
        </row>
        <row r="21">
          <cell r="E21">
            <v>21</v>
          </cell>
          <cell r="F21">
            <v>33.67</v>
          </cell>
        </row>
        <row r="22">
          <cell r="E22">
            <v>22</v>
          </cell>
          <cell r="F22">
            <v>34</v>
          </cell>
        </row>
        <row r="23">
          <cell r="E23">
            <v>23</v>
          </cell>
          <cell r="F23">
            <v>34.33</v>
          </cell>
        </row>
        <row r="24">
          <cell r="E24">
            <v>24</v>
          </cell>
          <cell r="F24">
            <v>34.67</v>
          </cell>
        </row>
        <row r="25">
          <cell r="E25">
            <v>25</v>
          </cell>
          <cell r="F25">
            <v>35</v>
          </cell>
        </row>
        <row r="26">
          <cell r="E26">
            <v>26</v>
          </cell>
          <cell r="F26">
            <v>35.25</v>
          </cell>
        </row>
        <row r="27">
          <cell r="E27">
            <v>27</v>
          </cell>
          <cell r="F27">
            <v>35.5</v>
          </cell>
        </row>
        <row r="28">
          <cell r="E28">
            <v>28</v>
          </cell>
          <cell r="F28">
            <v>35.75</v>
          </cell>
        </row>
        <row r="29">
          <cell r="E29">
            <v>29</v>
          </cell>
          <cell r="F29">
            <v>35.799999999999997</v>
          </cell>
        </row>
        <row r="30">
          <cell r="E30">
            <v>30</v>
          </cell>
          <cell r="F30">
            <v>36</v>
          </cell>
        </row>
        <row r="31">
          <cell r="E31">
            <v>31</v>
          </cell>
          <cell r="F31">
            <v>36.33</v>
          </cell>
        </row>
        <row r="32">
          <cell r="E32">
            <v>32</v>
          </cell>
          <cell r="F32">
            <v>36.67</v>
          </cell>
        </row>
        <row r="33">
          <cell r="E33">
            <v>33</v>
          </cell>
          <cell r="F33">
            <v>37</v>
          </cell>
        </row>
        <row r="34">
          <cell r="E34">
            <v>34</v>
          </cell>
          <cell r="F34">
            <v>37.200000000000003</v>
          </cell>
        </row>
        <row r="35">
          <cell r="E35">
            <v>35</v>
          </cell>
          <cell r="F35">
            <v>37.4</v>
          </cell>
        </row>
        <row r="36">
          <cell r="E36">
            <v>36</v>
          </cell>
          <cell r="F36">
            <v>37.6</v>
          </cell>
        </row>
        <row r="37">
          <cell r="E37">
            <v>37</v>
          </cell>
          <cell r="F37">
            <v>37.799999999999997</v>
          </cell>
        </row>
        <row r="38">
          <cell r="E38">
            <v>38</v>
          </cell>
          <cell r="F38">
            <v>38</v>
          </cell>
        </row>
        <row r="39">
          <cell r="E39">
            <v>39</v>
          </cell>
          <cell r="F39">
            <v>38.25</v>
          </cell>
        </row>
        <row r="40">
          <cell r="E40">
            <v>40</v>
          </cell>
          <cell r="F40">
            <v>38.5</v>
          </cell>
        </row>
        <row r="41">
          <cell r="E41">
            <v>41</v>
          </cell>
          <cell r="F41">
            <v>38.75</v>
          </cell>
        </row>
        <row r="42">
          <cell r="E42">
            <v>42</v>
          </cell>
          <cell r="F42">
            <v>39</v>
          </cell>
        </row>
        <row r="43">
          <cell r="E43">
            <v>43</v>
          </cell>
          <cell r="F43">
            <v>39.200000000000003</v>
          </cell>
        </row>
        <row r="44">
          <cell r="E44">
            <v>44</v>
          </cell>
          <cell r="F44">
            <v>39.4</v>
          </cell>
        </row>
        <row r="45">
          <cell r="E45">
            <v>45</v>
          </cell>
          <cell r="F45">
            <v>39.6</v>
          </cell>
        </row>
        <row r="46">
          <cell r="E46">
            <v>46</v>
          </cell>
          <cell r="F46">
            <v>39.799999999999997</v>
          </cell>
        </row>
        <row r="47">
          <cell r="E47">
            <v>47</v>
          </cell>
          <cell r="F47">
            <v>40</v>
          </cell>
        </row>
        <row r="48">
          <cell r="E48">
            <v>48</v>
          </cell>
          <cell r="F48">
            <v>40.5</v>
          </cell>
        </row>
        <row r="49">
          <cell r="E49">
            <v>49</v>
          </cell>
          <cell r="F49">
            <v>41</v>
          </cell>
        </row>
        <row r="50">
          <cell r="E50">
            <v>50</v>
          </cell>
          <cell r="F50">
            <v>41</v>
          </cell>
        </row>
        <row r="51">
          <cell r="E51">
            <v>51</v>
          </cell>
          <cell r="F51">
            <v>41</v>
          </cell>
        </row>
        <row r="52">
          <cell r="E52">
            <v>52</v>
          </cell>
          <cell r="F52">
            <v>41</v>
          </cell>
        </row>
        <row r="53">
          <cell r="E53">
            <v>53</v>
          </cell>
          <cell r="F53">
            <v>42</v>
          </cell>
        </row>
        <row r="54">
          <cell r="E54">
            <v>54</v>
          </cell>
          <cell r="F54">
            <v>42</v>
          </cell>
        </row>
        <row r="55">
          <cell r="E55">
            <v>55</v>
          </cell>
          <cell r="F55">
            <v>42</v>
          </cell>
        </row>
        <row r="56">
          <cell r="E56">
            <v>56</v>
          </cell>
          <cell r="F56">
            <v>42</v>
          </cell>
        </row>
        <row r="57">
          <cell r="E57">
            <v>57</v>
          </cell>
          <cell r="F57">
            <v>42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hasing"/>
      <sheetName val="Revenue"/>
      <sheetName val="Fuel"/>
      <sheetName val="Depreciation"/>
      <sheetName val="Tax"/>
      <sheetName val="Repayment"/>
      <sheetName val="APSEB@CERC"/>
      <sheetName val="Cash Flow_IRR"/>
      <sheetName val="P&amp;L_DSCR_Prepay"/>
      <sheetName val="BS_Ratios_Break Even"/>
      <sheetName val="IM"/>
      <sheetName val="Working Capital"/>
      <sheetName val="PFSBU SHEET"/>
      <sheetName val="Sesitivity"/>
      <sheetName val="Sensitivities"/>
      <sheetName val="Project cost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c"/>
      <sheetName val="sech5"/>
      <sheetName val="123"/>
      <sheetName val="sech6"/>
      <sheetName val="Schdl 7 to13"/>
      <sheetName val="schp&amp;L 14 to 16"/>
      <sheetName val="Fin Stock Valuation 00-01"/>
      <sheetName val="BBYTB"/>
      <sheetName val="TBTNGL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c"/>
      <sheetName val="Tbc_03_2001(SEBI)_1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tehar-fin-woff"/>
      <sheetName val="SEBI FORMAT RESULTS (FINAL)"/>
      <sheetName val="BALANCE SHEET"/>
      <sheetName val="P &amp; L"/>
      <sheetName val="Cash flow"/>
      <sheetName val="Schedule A &amp; B"/>
      <sheetName val="Schedule C &amp; D"/>
      <sheetName val="SCHEDULE-E"/>
      <sheetName val="Schedule-F"/>
      <sheetName val="NP others"/>
      <sheetName val="SCHEDULE-E (WIP)"/>
      <sheetName val="Schedule G-L"/>
      <sheetName val="SCHEDULEP&amp;L"/>
      <sheetName val="Mat Coumptation"/>
      <sheetName val="changes Mar10"/>
      <sheetName val="Asset_SBU2"/>
      <sheetName val="Alloc Retention(bhel adj)"/>
      <sheetName val="GROUPING"/>
      <sheetName val="GROUPING_Adjust"/>
      <sheetName val="Depreciation Others"/>
      <sheetName val="Trial Balance"/>
      <sheetName val="PMC 201011_Trans"/>
      <sheetName val="Con Trail Balance"/>
      <sheetName val="J Soft_Dec,09"/>
      <sheetName val="WIP Group(SBU2)"/>
      <sheetName val="software"/>
      <sheetName val="PMC SUMMARY Revised"/>
      <sheetName val="S.Creditors"/>
      <sheetName val="Loans &amp; Advances"/>
      <sheetName val="Summary_EPC"/>
      <sheetName val="SBU2_DEPRECIATION"/>
      <sheetName val="RWPL_O&amp;M"/>
      <sheetName val="Memo_SBU2_TB_1011"/>
      <sheetName val="Memo_SBU1_TB_1011"/>
      <sheetName val="SBU2_TB_201011"/>
      <sheetName val="SBU1_TB_201011"/>
      <sheetName val="SBU3_TB201011"/>
      <sheetName val="SBU3_TB201011_Old"/>
      <sheetName val="Liability reinst(FC)"/>
      <sheetName val="SBU2_Assets"/>
      <sheetName val="Alloc Ex.rate-All "/>
      <sheetName val="Allow Ex. Rate-Imported "/>
      <sheetName val="Forex working"/>
      <sheetName val="Software_capitalisation"/>
      <sheetName val="Depreciation(EPC)"/>
      <sheetName val="UI Written 30-sep-10"/>
      <sheetName val="Prepaid_Trans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es"/>
      <sheetName val="Schedule - 2"/>
      <sheetName val="Domesticdues"/>
      <sheetName val="Sheet5"/>
      <sheetName val="institution-dues"/>
      <sheetName val="FCL"/>
      <sheetName val="Summary"/>
      <sheetName val="summary-details"/>
      <sheetName val="Sheet3 (2)"/>
      <sheetName val="iabnd-ecb"/>
      <sheetName val="ia&amp;d-ecb"/>
      <sheetName val="commitment fee-ecb"/>
      <sheetName val="guarantee fee payable-ecb"/>
      <sheetName val="sbi-ac"/>
      <sheetName val="Sheet1"/>
      <sheetName val="Sheet2"/>
      <sheetName val="Sheet3"/>
      <sheetName val="tbc"/>
      <sheetName val="mancount"/>
      <sheetName val="PRESFMS"/>
      <sheetName val="Brainvisa-2003"/>
      <sheetName val="Schedule_-_2"/>
      <sheetName val="Sheet3_(2)"/>
      <sheetName val="commitment_fee-ecb"/>
      <sheetName val="guarantee_fee_payable-ecb"/>
    </sheetNames>
    <sheetDataSet>
      <sheetData sheetId="0" refreshError="1">
        <row r="3">
          <cell r="B3">
            <v>48.8</v>
          </cell>
        </row>
        <row r="4">
          <cell r="B4">
            <v>3.1139999999999999</v>
          </cell>
        </row>
        <row r="5">
          <cell r="B5">
            <v>21.91</v>
          </cell>
        </row>
        <row r="6">
          <cell r="B6">
            <v>6.53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"/>
      <sheetName val="CLAY"/>
      <sheetName val="SAND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CLAY"/>
      <sheetName val="dues"/>
      <sheetName val="b_master"/>
      <sheetName val="Input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1">
          <cell r="O1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Basic inputs+instructions "/>
      <sheetName val="Valuation"/>
      <sheetName val="Sensitivity"/>
      <sheetName val="Summary"/>
      <sheetName val="Eco_assmp"/>
      <sheetName val="Opp_assmp"/>
      <sheetName val="Fomento Consol"/>
      <sheetName val="ILPL_BP"/>
      <sheetName val="PMEPL_BP"/>
      <sheetName val="FKPL_BP"/>
      <sheetName val="SFI_BP"/>
      <sheetName val="SG_BP"/>
      <sheetName val="Goa Synergies"/>
      <sheetName val="Checks"/>
      <sheetName val="Basic inputs+instr"/>
      <sheetName val="&lt;-- Do not Print"/>
      <sheetName val="Cover"/>
      <sheetName val="Operating fin."/>
      <sheetName val="LBO Control"/>
      <sheetName val="S&amp;U"/>
      <sheetName val="LBO"/>
      <sheetName val="BS (US$) for IM"/>
      <sheetName val="Info Memo US$"/>
      <sheetName val="Info Memo Rsm"/>
      <sheetName val="Production"/>
      <sheetName val="Sensit"/>
      <sheetName val="Eq Value"/>
      <sheetName val="PER"/>
      <sheetName val="Options"/>
      <sheetName val="PowerPoint Output --&gt;"/>
      <sheetName val="S&amp;U private"/>
      <sheetName val="Output S&amp;U"/>
      <sheetName val="Output Private"/>
      <sheetName val="S&amp;U public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 BOQ"/>
      <sheetName val="Abstract"/>
      <sheetName val="AcqIS"/>
      <sheetName val="AcqBSCF"/>
      <sheetName val="Sens"/>
      <sheetName val="CLAY"/>
      <sheetName val="BTB"/>
      <sheetName val="cf"/>
      <sheetName val="orders"/>
    </sheetNames>
    <sheetDataSet>
      <sheetData sheetId="0" refreshError="1">
        <row r="2">
          <cell r="A2" t="str">
            <v>400 kV CONTROL ROOM BUILDING</v>
          </cell>
        </row>
        <row r="4">
          <cell r="C4" t="str">
            <v>Ground floor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Region"/>
      <sheetName val="Assumptions"/>
      <sheetName val="Data"/>
      <sheetName val="Bloomberg"/>
      <sheetName val="Setting"/>
      <sheetName val="Descriptions"/>
      <sheetName val="Estimates Sheet"/>
      <sheetName val="Old Estimates sheet"/>
      <sheetName val="DETAILED  BOQ"/>
      <sheetName val="AcqIS"/>
      <sheetName val="AcqBSCF"/>
      <sheetName val="Sens"/>
      <sheetName val="NLD - Assum"/>
      <sheetName val="Capex-fixed"/>
      <sheetName val="RCPL-P&amp;L"/>
      <sheetName val="Summary_by_Region"/>
      <sheetName val="Estimates_Sheet"/>
      <sheetName val="Old_Estimates_sheet"/>
      <sheetName val="DETAILED__BO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Sheet1"/>
      <sheetName val="Sheet2"/>
      <sheetName val="Sheet3"/>
      <sheetName val="Summary"/>
      <sheetName val="oem"/>
      <sheetName val="oem_pivot"/>
      <sheetName val="Data"/>
      <sheetName val="GI_26th June'04"/>
      <sheetName val="main"/>
      <sheetName val="GI_6Apr"/>
      <sheetName val="GI_13Apr"/>
      <sheetName val="GI_12Apr"/>
      <sheetName val="Setting"/>
      <sheetName val="Stock_Report_As_On_Day"/>
      <sheetName val="Insp_D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ici"/>
      <sheetName val="gicsubs.nonrest"/>
      <sheetName val="gic as per my"/>
      <sheetName val="iabnd(domestic)"/>
      <sheetName val="SBI"/>
      <sheetName val="lic"/>
      <sheetName val="idbi-due 31-10-2001"/>
      <sheetName val="iibi"/>
      <sheetName val="ifciafter 01-10-2000"/>
      <sheetName val="monthly"/>
      <sheetName val="ecb"/>
      <sheetName val="utinonrestructutred"/>
      <sheetName val="penal int. of bar-eximbank"/>
      <sheetName val="due to edc"/>
      <sheetName val="monthly default interest"/>
      <sheetName val="guarantee Commission-ECB"/>
      <sheetName val="ecb interest"/>
      <sheetName val="uti 22-06-2000"/>
      <sheetName val="all restructured"/>
      <sheetName val="total OD"/>
      <sheetName val="lic revised"/>
      <sheetName val="NIACL-as per my"/>
      <sheetName val="dpgreco"/>
      <sheetName val="Parameters"/>
      <sheetName val="Setting"/>
      <sheetName val="iNt- June02"/>
      <sheetName val="gicsubs_nonrest"/>
      <sheetName val="gic_as_per_my"/>
      <sheetName val="idbi-due_31-10-2001"/>
      <sheetName val="ifciafter_01-10-2000"/>
      <sheetName val="penal_int__of_bar-eximbank"/>
      <sheetName val="due_to_edc"/>
      <sheetName val="monthly_default_interest"/>
      <sheetName val="guarantee_Commission-ECB"/>
      <sheetName val="ecb_interest"/>
      <sheetName val="uti_22-06-2000"/>
      <sheetName val="all_restructured"/>
      <sheetName val="total_OD"/>
      <sheetName val="lic_revised"/>
      <sheetName val="NIACL-as_per_my"/>
    </sheetNames>
    <sheetDataSet>
      <sheetData sheetId="0" refreshError="1">
        <row r="3">
          <cell r="C3">
            <v>0.02</v>
          </cell>
        </row>
        <row r="4">
          <cell r="B4">
            <v>0.128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I"/>
      <sheetName val="Form II"/>
      <sheetName val="Form III"/>
      <sheetName val="Form IV"/>
      <sheetName val="Form V"/>
      <sheetName val="Form VI"/>
      <sheetName val="Assumption"/>
      <sheetName val="P&amp;L_BS"/>
      <sheetName val="Financial"/>
      <sheetName val="Working Capital"/>
      <sheetName val="Transfer Price of Lignite"/>
      <sheetName val="Transfer Price Per Unit"/>
      <sheetName val="Lignite_Requirement"/>
      <sheetName val="Dep &amp; Land Write off"/>
      <sheetName val="RTL"/>
      <sheetName val="Equity &amp; Sub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s"/>
      <sheetName val="Overdues"/>
      <sheetName val="Overdues -all rest."/>
      <sheetName val="summary"/>
      <sheetName val="Int - Cum02"/>
      <sheetName val="Mthly-Int - Aug02"/>
      <sheetName val="icic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7">
          <cell r="A57" t="str">
            <v xml:space="preserve">Facilities </v>
          </cell>
          <cell r="B57" t="str">
            <v>CASH</v>
          </cell>
          <cell r="I57" t="str">
            <v xml:space="preserve"> Sub  total CASH</v>
          </cell>
          <cell r="J57" t="str">
            <v>NON-CASH</v>
          </cell>
          <cell r="L57" t="str">
            <v xml:space="preserve"> Sub  total  NON -CASH</v>
          </cell>
          <cell r="M57" t="str">
            <v>GRAND Total</v>
          </cell>
        </row>
        <row r="58">
          <cell r="A58" t="str">
            <v xml:space="preserve">    Institutions</v>
          </cell>
          <cell r="B58" t="str">
            <v>RTL</v>
          </cell>
          <cell r="C58" t="str">
            <v>FCL</v>
          </cell>
          <cell r="D58" t="str">
            <v>NCD</v>
          </cell>
          <cell r="E58" t="str">
            <v>OFCD</v>
          </cell>
          <cell r="F58" t="str">
            <v>14% OFCD</v>
          </cell>
          <cell r="G58" t="str">
            <v>DPG</v>
          </cell>
          <cell r="H58" t="str">
            <v>EPCG</v>
          </cell>
          <cell r="J58" t="str">
            <v>0% RTL</v>
          </cell>
          <cell r="K58" t="str">
            <v>14% OFCD (W/off)</v>
          </cell>
          <cell r="N58" t="str">
            <v>Interest ABND</v>
          </cell>
          <cell r="O58" t="str">
            <v>Interest A&amp;D</v>
          </cell>
        </row>
        <row r="59">
          <cell r="A59" t="str">
            <v>Domestic Lenders: (A)</v>
          </cell>
        </row>
        <row r="60">
          <cell r="A60" t="str">
            <v>ICICI</v>
          </cell>
          <cell r="B60">
            <v>380824258</v>
          </cell>
          <cell r="C60">
            <v>23359073</v>
          </cell>
          <cell r="D60">
            <v>70421811</v>
          </cell>
          <cell r="E60">
            <v>12047723</v>
          </cell>
          <cell r="F60">
            <v>30323116</v>
          </cell>
          <cell r="G60">
            <v>31465836</v>
          </cell>
          <cell r="H60">
            <v>0</v>
          </cell>
          <cell r="I60">
            <v>548441817</v>
          </cell>
          <cell r="J60">
            <v>40466667</v>
          </cell>
          <cell r="K60">
            <v>29166667</v>
          </cell>
          <cell r="L60">
            <v>69633334</v>
          </cell>
          <cell r="M60">
            <v>618075151</v>
          </cell>
          <cell r="N60">
            <v>256970658</v>
          </cell>
          <cell r="O60">
            <v>361104493</v>
          </cell>
        </row>
        <row r="61">
          <cell r="A61" t="str">
            <v>IDBI</v>
          </cell>
          <cell r="B61">
            <v>204554254.39973202</v>
          </cell>
          <cell r="C61">
            <v>69872977.464333534</v>
          </cell>
          <cell r="D61">
            <v>7062053.3740260378</v>
          </cell>
          <cell r="E61">
            <v>6967232.3934244839</v>
          </cell>
          <cell r="F61">
            <v>18851136.347410843</v>
          </cell>
          <cell r="G61">
            <v>6184713</v>
          </cell>
          <cell r="H61">
            <v>0</v>
          </cell>
          <cell r="I61">
            <v>313492366.97892696</v>
          </cell>
          <cell r="J61">
            <v>23566667</v>
          </cell>
          <cell r="K61">
            <v>16966667</v>
          </cell>
          <cell r="L61">
            <v>40533334</v>
          </cell>
          <cell r="M61">
            <v>354025700.97892696</v>
          </cell>
          <cell r="N61">
            <v>100277918</v>
          </cell>
          <cell r="O61">
            <v>253747782.97892696</v>
          </cell>
        </row>
        <row r="62">
          <cell r="A62" t="str">
            <v>IFCI</v>
          </cell>
          <cell r="B62">
            <v>39413590.68253646</v>
          </cell>
          <cell r="C62">
            <v>42643623.347336814</v>
          </cell>
          <cell r="D62">
            <v>1998705.940120548</v>
          </cell>
          <cell r="E62">
            <v>4678119.3378519882</v>
          </cell>
          <cell r="F62">
            <v>4831206.6512767188</v>
          </cell>
          <cell r="G62">
            <v>6782874</v>
          </cell>
          <cell r="H62">
            <v>0</v>
          </cell>
          <cell r="I62">
            <v>100348119.95912254</v>
          </cell>
          <cell r="J62">
            <v>5900000</v>
          </cell>
          <cell r="K62">
            <v>4426667</v>
          </cell>
          <cell r="L62">
            <v>10326667</v>
          </cell>
          <cell r="M62">
            <v>110674786.95912254</v>
          </cell>
          <cell r="N62">
            <v>19281856</v>
          </cell>
          <cell r="O62">
            <v>91392930.959122539</v>
          </cell>
        </row>
        <row r="63">
          <cell r="A63" t="str">
            <v>IIBI</v>
          </cell>
          <cell r="B63">
            <v>12967588.596636221</v>
          </cell>
          <cell r="C63">
            <v>0</v>
          </cell>
          <cell r="D63">
            <v>768677.71739827842</v>
          </cell>
          <cell r="E63">
            <v>0</v>
          </cell>
          <cell r="F63">
            <v>1682520.9896578174</v>
          </cell>
          <cell r="G63">
            <v>2708807</v>
          </cell>
          <cell r="H63">
            <v>0</v>
          </cell>
          <cell r="I63">
            <v>18127594.303692318</v>
          </cell>
          <cell r="J63">
            <v>2300000</v>
          </cell>
          <cell r="K63">
            <v>1666666</v>
          </cell>
          <cell r="L63">
            <v>3966666</v>
          </cell>
          <cell r="M63">
            <v>22094260.303692318</v>
          </cell>
          <cell r="N63">
            <v>9071746</v>
          </cell>
          <cell r="O63">
            <v>13022514.303692318</v>
          </cell>
        </row>
        <row r="64">
          <cell r="A64" t="str">
            <v>UTI</v>
          </cell>
          <cell r="B64">
            <v>0</v>
          </cell>
          <cell r="C64">
            <v>0</v>
          </cell>
          <cell r="D64">
            <v>242993867.95897323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242993867.95897323</v>
          </cell>
          <cell r="J64">
            <v>0</v>
          </cell>
          <cell r="K64">
            <v>0</v>
          </cell>
          <cell r="L64">
            <v>0</v>
          </cell>
          <cell r="M64">
            <v>242993867.95897323</v>
          </cell>
          <cell r="N64">
            <v>64815018</v>
          </cell>
          <cell r="O64">
            <v>178178849.95897323</v>
          </cell>
        </row>
        <row r="65">
          <cell r="A65" t="str">
            <v>LIC</v>
          </cell>
          <cell r="B65">
            <v>81260100</v>
          </cell>
          <cell r="C65">
            <v>0</v>
          </cell>
          <cell r="D65">
            <v>21343226</v>
          </cell>
          <cell r="E65">
            <v>0</v>
          </cell>
          <cell r="F65">
            <v>11071942</v>
          </cell>
          <cell r="G65">
            <v>0</v>
          </cell>
          <cell r="H65">
            <v>0</v>
          </cell>
          <cell r="I65">
            <v>113675268</v>
          </cell>
          <cell r="J65">
            <v>13466667</v>
          </cell>
          <cell r="K65">
            <v>9700000</v>
          </cell>
          <cell r="L65">
            <v>23166667</v>
          </cell>
          <cell r="M65">
            <v>136841935</v>
          </cell>
          <cell r="N65">
            <v>66932637</v>
          </cell>
          <cell r="O65">
            <v>69909298</v>
          </cell>
        </row>
        <row r="66">
          <cell r="A66" t="str">
            <v>GIC</v>
          </cell>
          <cell r="B66">
            <v>8568023</v>
          </cell>
          <cell r="C66">
            <v>0</v>
          </cell>
          <cell r="D66">
            <v>0</v>
          </cell>
          <cell r="E66">
            <v>0</v>
          </cell>
          <cell r="F66">
            <v>1142618</v>
          </cell>
          <cell r="G66">
            <v>0</v>
          </cell>
          <cell r="H66">
            <v>0</v>
          </cell>
          <cell r="I66">
            <v>9710641</v>
          </cell>
          <cell r="J66">
            <v>1500000</v>
          </cell>
          <cell r="K66">
            <v>1083333</v>
          </cell>
          <cell r="L66">
            <v>2583333</v>
          </cell>
          <cell r="M66">
            <v>12293974</v>
          </cell>
          <cell r="N66">
            <v>6300296</v>
          </cell>
          <cell r="O66">
            <v>5993678</v>
          </cell>
        </row>
        <row r="67">
          <cell r="A67" t="str">
            <v>NIA</v>
          </cell>
          <cell r="B67">
            <v>23146863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23146863</v>
          </cell>
          <cell r="J67">
            <v>0</v>
          </cell>
          <cell r="K67">
            <v>0</v>
          </cell>
          <cell r="L67">
            <v>0</v>
          </cell>
          <cell r="M67">
            <v>23146863</v>
          </cell>
          <cell r="N67">
            <v>13417968</v>
          </cell>
          <cell r="O67">
            <v>9728895</v>
          </cell>
        </row>
        <row r="68">
          <cell r="A68" t="str">
            <v>UII</v>
          </cell>
          <cell r="B68">
            <v>18521244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18521244</v>
          </cell>
          <cell r="J68">
            <v>0</v>
          </cell>
          <cell r="K68">
            <v>0</v>
          </cell>
          <cell r="L68">
            <v>0</v>
          </cell>
          <cell r="M68">
            <v>18521244</v>
          </cell>
          <cell r="N68">
            <v>10739097</v>
          </cell>
          <cell r="O68">
            <v>7782147</v>
          </cell>
        </row>
        <row r="69">
          <cell r="A69" t="str">
            <v>NIC</v>
          </cell>
          <cell r="B69">
            <v>13885170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13885170</v>
          </cell>
          <cell r="J69">
            <v>0</v>
          </cell>
          <cell r="K69">
            <v>0</v>
          </cell>
          <cell r="L69">
            <v>0</v>
          </cell>
          <cell r="M69">
            <v>13885170</v>
          </cell>
          <cell r="N69">
            <v>8049843</v>
          </cell>
          <cell r="O69">
            <v>5835327</v>
          </cell>
        </row>
        <row r="70">
          <cell r="A70" t="str">
            <v>OIC</v>
          </cell>
          <cell r="B70">
            <v>13863871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13863871</v>
          </cell>
          <cell r="J70">
            <v>0</v>
          </cell>
          <cell r="K70">
            <v>0</v>
          </cell>
          <cell r="L70">
            <v>0</v>
          </cell>
          <cell r="M70">
            <v>13863871</v>
          </cell>
          <cell r="N70">
            <v>8037210</v>
          </cell>
          <cell r="O70">
            <v>5826661</v>
          </cell>
        </row>
        <row r="71">
          <cell r="A71" t="str">
            <v>SBI</v>
          </cell>
          <cell r="B71">
            <v>42220601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10933002</v>
          </cell>
          <cell r="H71">
            <v>0</v>
          </cell>
          <cell r="I71">
            <v>53153603</v>
          </cell>
          <cell r="J71">
            <v>0</v>
          </cell>
          <cell r="K71">
            <v>0</v>
          </cell>
          <cell r="L71">
            <v>0</v>
          </cell>
          <cell r="M71">
            <v>53153603</v>
          </cell>
          <cell r="N71">
            <v>10609997</v>
          </cell>
          <cell r="O71">
            <v>42543606</v>
          </cell>
        </row>
        <row r="72">
          <cell r="A72" t="str">
            <v>HDFC</v>
          </cell>
          <cell r="B72">
            <v>8444916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8444916</v>
          </cell>
          <cell r="J72">
            <v>0</v>
          </cell>
          <cell r="K72">
            <v>0</v>
          </cell>
          <cell r="L72">
            <v>0</v>
          </cell>
          <cell r="M72">
            <v>8444916</v>
          </cell>
          <cell r="O72">
            <v>8444916</v>
          </cell>
        </row>
        <row r="73">
          <cell r="A73" t="str">
            <v>SBIHF</v>
          </cell>
          <cell r="B73">
            <v>1687180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1687180</v>
          </cell>
          <cell r="L73">
            <v>0</v>
          </cell>
          <cell r="M73">
            <v>1687180</v>
          </cell>
          <cell r="O73">
            <v>1687180</v>
          </cell>
        </row>
        <row r="74">
          <cell r="A74" t="str">
            <v>PNB</v>
          </cell>
          <cell r="B74">
            <v>815626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5458076</v>
          </cell>
          <cell r="H74">
            <v>688756</v>
          </cell>
          <cell r="I74">
            <v>6962458</v>
          </cell>
          <cell r="J74">
            <v>0</v>
          </cell>
          <cell r="K74">
            <v>0</v>
          </cell>
          <cell r="L74">
            <v>0</v>
          </cell>
          <cell r="M74">
            <v>6962458</v>
          </cell>
          <cell r="N74">
            <v>815626</v>
          </cell>
          <cell r="O74">
            <v>6146832</v>
          </cell>
        </row>
        <row r="75">
          <cell r="A75" t="str">
            <v>VB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513510</v>
          </cell>
          <cell r="I75">
            <v>513510</v>
          </cell>
          <cell r="J75">
            <v>0</v>
          </cell>
          <cell r="K75">
            <v>0</v>
          </cell>
          <cell r="L75">
            <v>0</v>
          </cell>
          <cell r="M75">
            <v>513510</v>
          </cell>
          <cell r="O75">
            <v>513510</v>
          </cell>
        </row>
        <row r="76">
          <cell r="A76" t="str">
            <v>SBI-Spl.Loan</v>
          </cell>
          <cell r="B76">
            <v>978283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978283</v>
          </cell>
          <cell r="M76">
            <v>978283</v>
          </cell>
          <cell r="N76">
            <v>802834</v>
          </cell>
          <cell r="O76">
            <v>175449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O77">
            <v>0</v>
          </cell>
        </row>
        <row r="78">
          <cell r="A78" t="str">
            <v>TOTAL(A)</v>
          </cell>
          <cell r="B78">
            <v>851151568.67890465</v>
          </cell>
          <cell r="C78">
            <v>135875673.81167036</v>
          </cell>
          <cell r="D78">
            <v>344588341.99051809</v>
          </cell>
          <cell r="E78">
            <v>23693074.731276475</v>
          </cell>
          <cell r="F78">
            <v>67902539.988345385</v>
          </cell>
          <cell r="G78">
            <v>63533308</v>
          </cell>
          <cell r="H78">
            <v>1202266</v>
          </cell>
          <cell r="I78">
            <v>1487946773.2007151</v>
          </cell>
          <cell r="J78">
            <v>87200001</v>
          </cell>
          <cell r="K78">
            <v>63010000</v>
          </cell>
          <cell r="L78">
            <v>150210001</v>
          </cell>
          <cell r="M78">
            <v>1638156774.2007148</v>
          </cell>
          <cell r="N78">
            <v>576122704</v>
          </cell>
          <cell r="O78">
            <v>1062034070.2007148</v>
          </cell>
        </row>
        <row r="79">
          <cell r="A79" t="str">
            <v>ABND</v>
          </cell>
          <cell r="B79">
            <v>402623687</v>
          </cell>
          <cell r="C79">
            <v>34840114</v>
          </cell>
          <cell r="D79">
            <v>104988052</v>
          </cell>
          <cell r="E79">
            <v>7221968</v>
          </cell>
          <cell r="F79">
            <v>23041630</v>
          </cell>
        </row>
        <row r="80">
          <cell r="A80" t="str">
            <v>Foreign Lenders (B)</v>
          </cell>
          <cell r="B80" t="str">
            <v>Interest</v>
          </cell>
          <cell r="C80" t="str">
            <v>C. Fees</v>
          </cell>
          <cell r="D80" t="str">
            <v>G.Comm.</v>
          </cell>
        </row>
        <row r="81">
          <cell r="A81" t="str">
            <v>GUARANTEED : ( C)</v>
          </cell>
        </row>
        <row r="82">
          <cell r="A82" t="str">
            <v>Commerzbank Singapore</v>
          </cell>
          <cell r="B82">
            <v>4466512</v>
          </cell>
          <cell r="I82">
            <v>4466512</v>
          </cell>
          <cell r="L82">
            <v>0</v>
          </cell>
          <cell r="M82">
            <v>4466512</v>
          </cell>
          <cell r="N82">
            <v>4419208</v>
          </cell>
          <cell r="O82">
            <v>47304</v>
          </cell>
        </row>
        <row r="83">
          <cell r="A83" t="str">
            <v>RZB CFA-I</v>
          </cell>
          <cell r="B83">
            <v>56154989</v>
          </cell>
          <cell r="C83">
            <v>0</v>
          </cell>
          <cell r="D83">
            <v>18783868</v>
          </cell>
          <cell r="E83">
            <v>0</v>
          </cell>
          <cell r="G83">
            <v>0</v>
          </cell>
          <cell r="H83">
            <v>0</v>
          </cell>
          <cell r="I83">
            <v>74938857</v>
          </cell>
          <cell r="L83">
            <v>0</v>
          </cell>
          <cell r="M83">
            <v>74938857</v>
          </cell>
          <cell r="N83">
            <v>11059619</v>
          </cell>
          <cell r="O83">
            <v>63879238</v>
          </cell>
        </row>
        <row r="84">
          <cell r="A84" t="str">
            <v>RZB CFA-III-30%</v>
          </cell>
          <cell r="B84">
            <v>15168029.1</v>
          </cell>
          <cell r="C84">
            <v>-331</v>
          </cell>
          <cell r="D84">
            <v>19406085</v>
          </cell>
          <cell r="E84">
            <v>0</v>
          </cell>
          <cell r="G84">
            <v>0</v>
          </cell>
          <cell r="H84">
            <v>0</v>
          </cell>
          <cell r="I84">
            <v>69965851</v>
          </cell>
          <cell r="L84">
            <v>0</v>
          </cell>
          <cell r="M84">
            <v>69965851</v>
          </cell>
          <cell r="N84">
            <v>10858979</v>
          </cell>
          <cell r="O84">
            <v>59106872</v>
          </cell>
        </row>
        <row r="85">
          <cell r="A85" t="str">
            <v>USEXIM</v>
          </cell>
          <cell r="B85">
            <v>48864177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48864177</v>
          </cell>
          <cell r="L85">
            <v>0</v>
          </cell>
          <cell r="M85">
            <v>48864177</v>
          </cell>
          <cell r="N85">
            <v>6227996</v>
          </cell>
          <cell r="O85">
            <v>42636181</v>
          </cell>
        </row>
        <row r="86">
          <cell r="A86" t="str">
            <v>Barclays USA-</v>
          </cell>
          <cell r="B86">
            <v>13948277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13948277</v>
          </cell>
          <cell r="L86">
            <v>0</v>
          </cell>
          <cell r="M86">
            <v>13948277</v>
          </cell>
          <cell r="N86">
            <v>12456031</v>
          </cell>
          <cell r="O86">
            <v>1492246</v>
          </cell>
        </row>
        <row r="87">
          <cell r="A87" t="str">
            <v>SBI-Frankfurt</v>
          </cell>
          <cell r="B87">
            <v>7695884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7695884</v>
          </cell>
          <cell r="L87">
            <v>0</v>
          </cell>
          <cell r="M87">
            <v>7695884</v>
          </cell>
          <cell r="N87">
            <v>3536558</v>
          </cell>
          <cell r="O87">
            <v>4159326</v>
          </cell>
        </row>
        <row r="88">
          <cell r="A88" t="str">
            <v>Societe Generale</v>
          </cell>
          <cell r="B88">
            <v>209030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209030</v>
          </cell>
          <cell r="L88">
            <v>0</v>
          </cell>
          <cell r="M88">
            <v>209030</v>
          </cell>
          <cell r="O88">
            <v>209030</v>
          </cell>
        </row>
        <row r="89">
          <cell r="A89" t="str">
            <v>SBI-London</v>
          </cell>
          <cell r="B89">
            <v>15449595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15449595</v>
          </cell>
          <cell r="L89">
            <v>0</v>
          </cell>
          <cell r="M89">
            <v>15449595</v>
          </cell>
          <cell r="N89">
            <v>4413303</v>
          </cell>
          <cell r="O89">
            <v>11036292</v>
          </cell>
        </row>
        <row r="91">
          <cell r="A91" t="str">
            <v>TOTAL ( C)</v>
          </cell>
          <cell r="B91">
            <v>161956493.09999999</v>
          </cell>
          <cell r="C91">
            <v>-331</v>
          </cell>
          <cell r="D91">
            <v>38189953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235538183</v>
          </cell>
          <cell r="L91">
            <v>0</v>
          </cell>
          <cell r="M91">
            <v>235538183</v>
          </cell>
          <cell r="N91">
            <v>52971694</v>
          </cell>
          <cell r="O91">
            <v>182566489</v>
          </cell>
        </row>
        <row r="92">
          <cell r="A92" t="str">
            <v>ABND</v>
          </cell>
          <cell r="I92">
            <v>40769224</v>
          </cell>
        </row>
        <row r="93">
          <cell r="A93" t="str">
            <v>UNGUARANTEED : (D)</v>
          </cell>
          <cell r="I93">
            <v>0</v>
          </cell>
          <cell r="L93">
            <v>0</v>
          </cell>
          <cell r="M93">
            <v>0</v>
          </cell>
        </row>
        <row r="94">
          <cell r="A94" t="str">
            <v>Barclays/Dresdner</v>
          </cell>
          <cell r="B94">
            <v>17432264</v>
          </cell>
          <cell r="C94">
            <v>66674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17498938</v>
          </cell>
          <cell r="L94">
            <v>0</v>
          </cell>
          <cell r="M94">
            <v>17498938</v>
          </cell>
          <cell r="N94">
            <v>6451926</v>
          </cell>
          <cell r="O94">
            <v>11047012</v>
          </cell>
        </row>
        <row r="95">
          <cell r="A95" t="str">
            <v>RZB CFA-III-70%</v>
          </cell>
          <cell r="B95">
            <v>35392067.899999999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O95">
            <v>0</v>
          </cell>
        </row>
        <row r="96">
          <cell r="A96" t="str">
            <v>Barclays USA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O96">
            <v>0</v>
          </cell>
        </row>
        <row r="97">
          <cell r="A97" t="str">
            <v>EDC, Canada</v>
          </cell>
          <cell r="B97">
            <v>4702272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4702272</v>
          </cell>
          <cell r="L97">
            <v>0</v>
          </cell>
          <cell r="M97">
            <v>4702272</v>
          </cell>
          <cell r="N97">
            <v>1075758</v>
          </cell>
          <cell r="O97">
            <v>3626514</v>
          </cell>
        </row>
        <row r="99">
          <cell r="A99" t="str">
            <v>TOTAL(D)</v>
          </cell>
          <cell r="B99">
            <v>57526603.899999999</v>
          </cell>
          <cell r="C99">
            <v>66674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22201210</v>
          </cell>
          <cell r="J99">
            <v>0</v>
          </cell>
          <cell r="K99">
            <v>0</v>
          </cell>
          <cell r="L99">
            <v>0</v>
          </cell>
          <cell r="M99">
            <v>22201210</v>
          </cell>
          <cell r="N99">
            <v>7527684</v>
          </cell>
          <cell r="O99">
            <v>14673526</v>
          </cell>
        </row>
        <row r="100">
          <cell r="A100" t="str">
            <v>ABND</v>
          </cell>
          <cell r="I100">
            <v>21719392</v>
          </cell>
        </row>
        <row r="101">
          <cell r="A101" t="str">
            <v>TOTAL (B) = C + D</v>
          </cell>
          <cell r="B101">
            <v>219483097</v>
          </cell>
          <cell r="C101">
            <v>66343</v>
          </cell>
          <cell r="D101">
            <v>38189953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257739393</v>
          </cell>
          <cell r="J101">
            <v>0</v>
          </cell>
          <cell r="K101">
            <v>0</v>
          </cell>
          <cell r="L101">
            <v>0</v>
          </cell>
          <cell r="M101">
            <v>257739393</v>
          </cell>
          <cell r="N101">
            <v>60499378</v>
          </cell>
          <cell r="O101">
            <v>197240015</v>
          </cell>
        </row>
        <row r="103">
          <cell r="A103" t="str">
            <v>GRAND TOTAL ( A +B)</v>
          </cell>
          <cell r="I103">
            <v>1745686166.2007151</v>
          </cell>
          <cell r="L103">
            <v>150210001</v>
          </cell>
          <cell r="M103">
            <v>1895896167.2007148</v>
          </cell>
          <cell r="N103">
            <v>636622082</v>
          </cell>
          <cell r="O103">
            <v>1259274085.2007148</v>
          </cell>
        </row>
      </sheetData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"/>
      <sheetName val="Deputed In"/>
      <sheetName val="Timefb"/>
      <sheetName val="Trcasmaint"/>
      <sheetName val="Ldrycasual"/>
      <sheetName val="Castabulation"/>
      <sheetName val="Namepunjaason301001"/>
      <sheetName val="Namestochekpunja"/>
      <sheetName val="Confirmcasas24102001"/>
      <sheetName val="Devjistaff"/>
      <sheetName val="Cslsstwg"/>
      <sheetName val="Tmhmanpower"/>
      <sheetName val="Pivotapp"/>
      <sheetName val="Fbtr"/>
      <sheetName val="Appfb"/>
      <sheetName val="Appldry"/>
      <sheetName val="Timeoffice"/>
      <sheetName val="Int - Cum02"/>
      <sheetName val="Notes"/>
      <sheetName val="Mumbai T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Ticket</v>
          </cell>
          <cell r="B1" t="str">
            <v>Name</v>
          </cell>
          <cell r="C1" t="str">
            <v>Dptcode</v>
          </cell>
        </row>
        <row r="2">
          <cell r="A2">
            <v>1</v>
          </cell>
          <cell r="B2" t="str">
            <v>LALIT R SHAH</v>
          </cell>
          <cell r="C2" t="str">
            <v>ADMN</v>
          </cell>
        </row>
        <row r="3">
          <cell r="A3">
            <v>93</v>
          </cell>
          <cell r="B3" t="str">
            <v>KHUSHRU SIGANPORIA</v>
          </cell>
          <cell r="C3" t="str">
            <v>ADMN</v>
          </cell>
        </row>
        <row r="4">
          <cell r="A4">
            <v>2918</v>
          </cell>
          <cell r="B4" t="str">
            <v>WAGHELA J.LALLU</v>
          </cell>
          <cell r="C4" t="str">
            <v>ADMN</v>
          </cell>
        </row>
        <row r="5">
          <cell r="A5">
            <v>5631</v>
          </cell>
          <cell r="B5" t="str">
            <v>KSHIRSAGAR RAJKUMAR V.</v>
          </cell>
          <cell r="C5" t="str">
            <v>ADMN</v>
          </cell>
        </row>
        <row r="6">
          <cell r="A6">
            <v>9782</v>
          </cell>
          <cell r="B6" t="str">
            <v>CHACHAD BHARAT</v>
          </cell>
          <cell r="C6" t="str">
            <v>ADMN</v>
          </cell>
        </row>
        <row r="7">
          <cell r="A7">
            <v>10350</v>
          </cell>
          <cell r="B7" t="str">
            <v>AWASARE MILIND</v>
          </cell>
          <cell r="C7" t="str">
            <v>ADMN</v>
          </cell>
        </row>
        <row r="8">
          <cell r="A8">
            <v>10428</v>
          </cell>
          <cell r="B8" t="str">
            <v>KHARE PRAVEEN</v>
          </cell>
          <cell r="C8" t="str">
            <v>BY19</v>
          </cell>
        </row>
        <row r="9">
          <cell r="A9">
            <v>30459</v>
          </cell>
          <cell r="B9" t="str">
            <v>MORAES ELVIS</v>
          </cell>
          <cell r="C9" t="str">
            <v>BY19</v>
          </cell>
        </row>
        <row r="10">
          <cell r="A10">
            <v>30470</v>
          </cell>
          <cell r="B10" t="str">
            <v>GHAI KUNAL</v>
          </cell>
          <cell r="C10" t="str">
            <v>BY19</v>
          </cell>
        </row>
        <row r="11">
          <cell r="A11">
            <v>31101</v>
          </cell>
          <cell r="B11" t="str">
            <v>THAPA NEERAJ</v>
          </cell>
          <cell r="C11" t="str">
            <v>BY19</v>
          </cell>
        </row>
        <row r="12">
          <cell r="A12">
            <v>31107</v>
          </cell>
          <cell r="B12" t="str">
            <v>SHAHASANE RAMCHANDRA</v>
          </cell>
          <cell r="C12" t="str">
            <v>BY19</v>
          </cell>
        </row>
        <row r="13">
          <cell r="A13">
            <v>31118</v>
          </cell>
          <cell r="B13" t="str">
            <v>ARUNE RAJ RATAN</v>
          </cell>
          <cell r="C13" t="str">
            <v>BY19</v>
          </cell>
        </row>
        <row r="14">
          <cell r="A14">
            <v>1074</v>
          </cell>
          <cell r="B14" t="str">
            <v>BRAGANZA DOMINIC</v>
          </cell>
          <cell r="C14" t="str">
            <v>CACC</v>
          </cell>
        </row>
        <row r="15">
          <cell r="A15">
            <v>2388</v>
          </cell>
          <cell r="B15" t="str">
            <v>KALE PRADEEP B.</v>
          </cell>
          <cell r="C15" t="str">
            <v>CACC</v>
          </cell>
        </row>
        <row r="16">
          <cell r="A16">
            <v>2955</v>
          </cell>
          <cell r="B16" t="str">
            <v>LOBO A.</v>
          </cell>
          <cell r="C16" t="str">
            <v>CACC</v>
          </cell>
        </row>
        <row r="17">
          <cell r="A17">
            <v>3055</v>
          </cell>
          <cell r="B17" t="str">
            <v>MOHAN KRISHNA</v>
          </cell>
          <cell r="C17" t="str">
            <v>CACC</v>
          </cell>
        </row>
        <row r="18">
          <cell r="A18">
            <v>3219</v>
          </cell>
          <cell r="B18" t="str">
            <v>PALIWALLA HOOTOXI</v>
          </cell>
          <cell r="C18" t="str">
            <v>CACC</v>
          </cell>
        </row>
        <row r="19">
          <cell r="A19">
            <v>3413</v>
          </cell>
          <cell r="B19" t="str">
            <v>GADRE ASHOK</v>
          </cell>
          <cell r="C19" t="str">
            <v>CACC</v>
          </cell>
        </row>
        <row r="20">
          <cell r="A20">
            <v>3564</v>
          </cell>
          <cell r="B20" t="str">
            <v>A. RAVINDRAN</v>
          </cell>
          <cell r="C20" t="str">
            <v>CACC</v>
          </cell>
        </row>
        <row r="21">
          <cell r="A21">
            <v>3864</v>
          </cell>
          <cell r="B21" t="str">
            <v>JAGTAP D.D.</v>
          </cell>
          <cell r="C21" t="str">
            <v>CACC</v>
          </cell>
        </row>
        <row r="22">
          <cell r="A22">
            <v>4605</v>
          </cell>
          <cell r="B22" t="str">
            <v>TAMBE V.S.</v>
          </cell>
          <cell r="C22" t="str">
            <v>CACC</v>
          </cell>
        </row>
        <row r="23">
          <cell r="A23">
            <v>5109</v>
          </cell>
          <cell r="B23" t="str">
            <v>SHAIKH NAEEM</v>
          </cell>
          <cell r="C23" t="str">
            <v>CACC</v>
          </cell>
        </row>
        <row r="24">
          <cell r="A24">
            <v>6791</v>
          </cell>
          <cell r="B24" t="str">
            <v>JANWALKAR CHANDRAKANT</v>
          </cell>
          <cell r="C24" t="str">
            <v>CACC</v>
          </cell>
        </row>
        <row r="25">
          <cell r="A25">
            <v>6823</v>
          </cell>
          <cell r="B25" t="str">
            <v>KUNDER VIJAY S.</v>
          </cell>
          <cell r="C25" t="str">
            <v>CACC</v>
          </cell>
        </row>
        <row r="26">
          <cell r="A26">
            <v>10373</v>
          </cell>
          <cell r="B26" t="str">
            <v>SAYED IRSHAD</v>
          </cell>
          <cell r="C26" t="str">
            <v>CACC</v>
          </cell>
        </row>
        <row r="27">
          <cell r="A27">
            <v>10746</v>
          </cell>
          <cell r="B27" t="str">
            <v>SANE SUHAS  P.</v>
          </cell>
          <cell r="C27" t="str">
            <v>CACC</v>
          </cell>
        </row>
        <row r="28">
          <cell r="A28">
            <v>1167</v>
          </cell>
          <cell r="B28" t="str">
            <v>VAZ JOHN</v>
          </cell>
          <cell r="C28" t="str">
            <v>CFHS</v>
          </cell>
        </row>
        <row r="29">
          <cell r="A29">
            <v>1914</v>
          </cell>
          <cell r="B29" t="str">
            <v>DOTIWALLA SHIRIN</v>
          </cell>
          <cell r="C29" t="str">
            <v>CFHS</v>
          </cell>
        </row>
        <row r="30">
          <cell r="A30">
            <v>2145</v>
          </cell>
          <cell r="B30" t="str">
            <v>KAKODKAR RUCHIKA</v>
          </cell>
          <cell r="C30" t="str">
            <v>CFHS</v>
          </cell>
        </row>
        <row r="31">
          <cell r="A31">
            <v>2221</v>
          </cell>
          <cell r="B31" t="str">
            <v>BODKE SHIVRAM T.</v>
          </cell>
          <cell r="C31" t="str">
            <v>CFHS</v>
          </cell>
        </row>
        <row r="32">
          <cell r="A32">
            <v>2997</v>
          </cell>
          <cell r="B32" t="str">
            <v>MORE S.K.</v>
          </cell>
          <cell r="C32" t="str">
            <v>CFHS</v>
          </cell>
        </row>
        <row r="33">
          <cell r="A33">
            <v>3102</v>
          </cell>
          <cell r="B33" t="str">
            <v>BORKAR KINNARESH</v>
          </cell>
          <cell r="C33" t="str">
            <v>CFHS</v>
          </cell>
        </row>
        <row r="34">
          <cell r="A34">
            <v>3417</v>
          </cell>
          <cell r="B34" t="str">
            <v>DASS A.A.</v>
          </cell>
          <cell r="C34" t="str">
            <v>CFHS</v>
          </cell>
        </row>
        <row r="35">
          <cell r="A35">
            <v>4227</v>
          </cell>
          <cell r="B35" t="str">
            <v>RAMANNAMURTHY S.V.</v>
          </cell>
          <cell r="C35" t="str">
            <v>CFHS</v>
          </cell>
        </row>
        <row r="36">
          <cell r="A36">
            <v>4279</v>
          </cell>
          <cell r="B36" t="str">
            <v>BRAGANZA JANICE</v>
          </cell>
          <cell r="C36" t="str">
            <v>CFHS</v>
          </cell>
        </row>
        <row r="37">
          <cell r="A37">
            <v>4408</v>
          </cell>
          <cell r="B37" t="str">
            <v>KALE SUBHASH</v>
          </cell>
          <cell r="C37" t="str">
            <v>CFHS</v>
          </cell>
        </row>
        <row r="38">
          <cell r="A38">
            <v>4706</v>
          </cell>
          <cell r="B38" t="str">
            <v>FERNANDES CLARANCE</v>
          </cell>
          <cell r="C38" t="str">
            <v>CFHS</v>
          </cell>
        </row>
        <row r="39">
          <cell r="A39">
            <v>4914</v>
          </cell>
          <cell r="B39" t="str">
            <v>D,SA MARK</v>
          </cell>
          <cell r="C39" t="str">
            <v>CFHS</v>
          </cell>
        </row>
        <row r="40">
          <cell r="A40">
            <v>5195</v>
          </cell>
          <cell r="B40" t="str">
            <v>PANTHAKY DARASHA CYRUS</v>
          </cell>
          <cell r="C40" t="str">
            <v>CFHS</v>
          </cell>
        </row>
        <row r="41">
          <cell r="A41">
            <v>5292</v>
          </cell>
          <cell r="B41" t="str">
            <v>FERNANDES MARITA</v>
          </cell>
          <cell r="C41" t="str">
            <v>CFHS</v>
          </cell>
        </row>
        <row r="42">
          <cell r="A42">
            <v>5320</v>
          </cell>
          <cell r="B42" t="str">
            <v>PATEL SUSHMITA N.</v>
          </cell>
          <cell r="C42" t="str">
            <v>CFHS</v>
          </cell>
        </row>
        <row r="43">
          <cell r="A43">
            <v>6191</v>
          </cell>
          <cell r="B43" t="str">
            <v>SUBRAMANIUM N.</v>
          </cell>
          <cell r="C43" t="str">
            <v>CFHS</v>
          </cell>
        </row>
        <row r="44">
          <cell r="A44">
            <v>6628</v>
          </cell>
          <cell r="B44" t="str">
            <v>D'SA CAROL M.</v>
          </cell>
          <cell r="C44" t="str">
            <v>CFHS</v>
          </cell>
        </row>
        <row r="45">
          <cell r="A45">
            <v>6697</v>
          </cell>
          <cell r="B45" t="str">
            <v>BODHE S. D.</v>
          </cell>
          <cell r="C45" t="str">
            <v>CFHS</v>
          </cell>
        </row>
        <row r="46">
          <cell r="A46">
            <v>6698</v>
          </cell>
          <cell r="B46" t="str">
            <v>NARONHA FLORY J.</v>
          </cell>
          <cell r="C46" t="str">
            <v>CFHS</v>
          </cell>
        </row>
        <row r="47">
          <cell r="A47">
            <v>6838</v>
          </cell>
          <cell r="B47" t="str">
            <v>HASSAN AZIZAH</v>
          </cell>
          <cell r="C47" t="str">
            <v>CFHS</v>
          </cell>
        </row>
        <row r="48">
          <cell r="A48">
            <v>7069</v>
          </cell>
          <cell r="B48" t="str">
            <v>POPPEN MARIO</v>
          </cell>
          <cell r="C48" t="str">
            <v>CFHS</v>
          </cell>
        </row>
        <row r="49">
          <cell r="A49">
            <v>7088</v>
          </cell>
          <cell r="B49" t="str">
            <v>SOLANKI JAYA</v>
          </cell>
          <cell r="C49" t="str">
            <v>CFHS</v>
          </cell>
        </row>
        <row r="50">
          <cell r="A50">
            <v>7092</v>
          </cell>
          <cell r="B50" t="str">
            <v>KARMAKAR DEVPRASAD</v>
          </cell>
          <cell r="C50" t="str">
            <v>CFHS</v>
          </cell>
        </row>
        <row r="51">
          <cell r="A51">
            <v>7699</v>
          </cell>
          <cell r="B51" t="str">
            <v>BANKER BEHROZ HOMIYAR</v>
          </cell>
          <cell r="C51" t="str">
            <v>CFHS</v>
          </cell>
        </row>
        <row r="52">
          <cell r="A52">
            <v>8054</v>
          </cell>
          <cell r="B52" t="str">
            <v>D'SOUZA T.C.</v>
          </cell>
          <cell r="C52" t="str">
            <v>CFHS</v>
          </cell>
        </row>
        <row r="53">
          <cell r="A53">
            <v>8237</v>
          </cell>
          <cell r="B53" t="str">
            <v>AVARI PERINAZ</v>
          </cell>
          <cell r="C53" t="str">
            <v>CFHS</v>
          </cell>
        </row>
        <row r="54">
          <cell r="A54">
            <v>8261</v>
          </cell>
          <cell r="B54" t="str">
            <v>SAINI BAKHTAWAR</v>
          </cell>
          <cell r="C54" t="str">
            <v>CFHS</v>
          </cell>
        </row>
        <row r="55">
          <cell r="A55">
            <v>8464</v>
          </cell>
          <cell r="B55" t="str">
            <v>KINHIKAR AVINASH MADHUKAR</v>
          </cell>
          <cell r="C55" t="str">
            <v>CFHS</v>
          </cell>
        </row>
        <row r="56">
          <cell r="A56">
            <v>8573</v>
          </cell>
          <cell r="B56" t="str">
            <v>SHAIKH PURNIMA MRS.</v>
          </cell>
          <cell r="C56" t="str">
            <v>CFHS</v>
          </cell>
        </row>
        <row r="57">
          <cell r="A57">
            <v>8626</v>
          </cell>
          <cell r="B57" t="str">
            <v>VAZ MARCUS NAZARIO</v>
          </cell>
          <cell r="C57" t="str">
            <v>CFHS</v>
          </cell>
        </row>
        <row r="58">
          <cell r="A58">
            <v>8926</v>
          </cell>
          <cell r="B58" t="str">
            <v>MIRANDA SUNIL</v>
          </cell>
          <cell r="C58" t="str">
            <v>CFHS</v>
          </cell>
        </row>
        <row r="59">
          <cell r="A59">
            <v>9125</v>
          </cell>
          <cell r="B59" t="str">
            <v>D'CRUZ LUIZA</v>
          </cell>
          <cell r="C59" t="str">
            <v>CFHS</v>
          </cell>
        </row>
        <row r="60">
          <cell r="A60">
            <v>9170</v>
          </cell>
          <cell r="B60" t="str">
            <v>SRIJITA CHENOTH VILAS</v>
          </cell>
          <cell r="C60" t="str">
            <v>CFHS</v>
          </cell>
        </row>
        <row r="61">
          <cell r="A61">
            <v>9201</v>
          </cell>
          <cell r="B61" t="str">
            <v>THERESA CARVALHO</v>
          </cell>
          <cell r="C61" t="str">
            <v>CFHS</v>
          </cell>
        </row>
        <row r="62">
          <cell r="A62">
            <v>9214</v>
          </cell>
          <cell r="B62" t="str">
            <v>KAZI MOHD.HASAN</v>
          </cell>
          <cell r="C62" t="str">
            <v>CFHS</v>
          </cell>
        </row>
        <row r="63">
          <cell r="A63">
            <v>9325</v>
          </cell>
          <cell r="B63" t="str">
            <v>ZACHARIA JOSEPH</v>
          </cell>
          <cell r="C63" t="str">
            <v>CFHS</v>
          </cell>
        </row>
        <row r="64">
          <cell r="A64">
            <v>9408</v>
          </cell>
          <cell r="B64" t="str">
            <v>MOHAN PALLAVI</v>
          </cell>
          <cell r="C64" t="str">
            <v>CFHS</v>
          </cell>
        </row>
        <row r="65">
          <cell r="A65">
            <v>9484</v>
          </cell>
          <cell r="B65" t="str">
            <v>MAMA KHUSHNUM</v>
          </cell>
          <cell r="C65" t="str">
            <v>CFHS</v>
          </cell>
        </row>
        <row r="66">
          <cell r="A66">
            <v>9491</v>
          </cell>
          <cell r="B66" t="str">
            <v>GIDWANI PRIYANKA</v>
          </cell>
          <cell r="C66" t="str">
            <v>CFHS</v>
          </cell>
        </row>
        <row r="67">
          <cell r="A67">
            <v>9521</v>
          </cell>
          <cell r="B67" t="str">
            <v>SAPATWALA TAHER</v>
          </cell>
          <cell r="C67" t="str">
            <v>CFHS</v>
          </cell>
        </row>
        <row r="68">
          <cell r="A68">
            <v>9529</v>
          </cell>
          <cell r="B68" t="str">
            <v>BHAT ARATI VARAD</v>
          </cell>
          <cell r="C68" t="str">
            <v>CFHS</v>
          </cell>
        </row>
        <row r="69">
          <cell r="A69">
            <v>9539</v>
          </cell>
          <cell r="B69" t="str">
            <v>GOMES HAZINA</v>
          </cell>
          <cell r="C69" t="str">
            <v>CFHS</v>
          </cell>
        </row>
        <row r="70">
          <cell r="A70">
            <v>9576</v>
          </cell>
          <cell r="B70" t="str">
            <v>CHHAPWALA BINDIYA MISS</v>
          </cell>
          <cell r="C70" t="str">
            <v>CFHS</v>
          </cell>
        </row>
        <row r="71">
          <cell r="A71">
            <v>9634</v>
          </cell>
          <cell r="B71" t="str">
            <v>LALWANI VIKRAM DAYAL</v>
          </cell>
          <cell r="C71" t="str">
            <v>CFHS</v>
          </cell>
        </row>
        <row r="72">
          <cell r="A72">
            <v>9639</v>
          </cell>
          <cell r="B72" t="str">
            <v>SUDHAKARAN DEEPA</v>
          </cell>
          <cell r="C72" t="str">
            <v>CFHS</v>
          </cell>
        </row>
        <row r="73">
          <cell r="A73">
            <v>9672</v>
          </cell>
          <cell r="B73" t="str">
            <v>KARAMCHANDANI SEEMA</v>
          </cell>
          <cell r="C73" t="str">
            <v>CFHS</v>
          </cell>
        </row>
        <row r="74">
          <cell r="A74">
            <v>9673</v>
          </cell>
          <cell r="B74" t="str">
            <v>MISTRY DELNA</v>
          </cell>
          <cell r="C74" t="str">
            <v>CFHS</v>
          </cell>
        </row>
        <row r="75">
          <cell r="A75">
            <v>9680</v>
          </cell>
          <cell r="B75" t="str">
            <v>BALCHANDRAN NITIN</v>
          </cell>
          <cell r="C75" t="str">
            <v>CFHS</v>
          </cell>
        </row>
        <row r="76">
          <cell r="A76">
            <v>9706</v>
          </cell>
          <cell r="B76" t="str">
            <v>D'SOUZA SHALINI</v>
          </cell>
          <cell r="C76" t="str">
            <v>CFHS</v>
          </cell>
        </row>
        <row r="77">
          <cell r="A77">
            <v>9710</v>
          </cell>
          <cell r="B77" t="str">
            <v>JHAMNANI MEENA</v>
          </cell>
          <cell r="C77" t="str">
            <v>CFHS</v>
          </cell>
        </row>
        <row r="78">
          <cell r="A78">
            <v>9715</v>
          </cell>
          <cell r="B78" t="str">
            <v>SOLOMON MELANIE</v>
          </cell>
          <cell r="C78" t="str">
            <v>CFHS</v>
          </cell>
        </row>
        <row r="79">
          <cell r="A79">
            <v>9796</v>
          </cell>
          <cell r="B79" t="str">
            <v>FERNANDES ANABEL</v>
          </cell>
          <cell r="C79" t="str">
            <v>CFHS</v>
          </cell>
        </row>
        <row r="80">
          <cell r="A80">
            <v>9819</v>
          </cell>
          <cell r="B80" t="str">
            <v>MATHEWS GEETA  NILLAY</v>
          </cell>
          <cell r="C80" t="str">
            <v>CFHS</v>
          </cell>
        </row>
        <row r="81">
          <cell r="A81">
            <v>9823</v>
          </cell>
          <cell r="B81" t="str">
            <v>KHOT MAYA RITESH</v>
          </cell>
          <cell r="C81" t="str">
            <v>CFHS</v>
          </cell>
        </row>
        <row r="82">
          <cell r="A82">
            <v>9825</v>
          </cell>
          <cell r="B82" t="str">
            <v>BAVAN  ARMIN</v>
          </cell>
          <cell r="C82" t="str">
            <v>CFHS</v>
          </cell>
        </row>
        <row r="83">
          <cell r="A83">
            <v>9859</v>
          </cell>
          <cell r="B83" t="str">
            <v>SERENE FATIMA</v>
          </cell>
          <cell r="C83" t="str">
            <v>CFHS</v>
          </cell>
        </row>
        <row r="84">
          <cell r="A84">
            <v>9860</v>
          </cell>
          <cell r="B84" t="str">
            <v>JEEJEEBHOY PERVIN</v>
          </cell>
          <cell r="C84" t="str">
            <v>CFHS</v>
          </cell>
        </row>
        <row r="85">
          <cell r="A85">
            <v>9887</v>
          </cell>
          <cell r="B85" t="str">
            <v>BEHAL NIKHIL</v>
          </cell>
          <cell r="C85" t="str">
            <v>CFHS</v>
          </cell>
        </row>
        <row r="86">
          <cell r="A86">
            <v>9897</v>
          </cell>
          <cell r="B86" t="str">
            <v>ELAVIA ARMIN</v>
          </cell>
          <cell r="C86" t="str">
            <v>CFHS</v>
          </cell>
        </row>
        <row r="87">
          <cell r="A87">
            <v>9928</v>
          </cell>
          <cell r="B87" t="str">
            <v>BALASUBRAMANIAN ARVIND</v>
          </cell>
          <cell r="C87" t="str">
            <v>CFHS</v>
          </cell>
        </row>
        <row r="88">
          <cell r="A88">
            <v>9939</v>
          </cell>
          <cell r="B88" t="str">
            <v>TRIPUNITHARA GANESH</v>
          </cell>
          <cell r="C88" t="str">
            <v>CFHS</v>
          </cell>
        </row>
        <row r="89">
          <cell r="A89">
            <v>9986</v>
          </cell>
          <cell r="B89" t="str">
            <v>NAGARAJ NITA</v>
          </cell>
          <cell r="C89" t="str">
            <v>CFHS</v>
          </cell>
        </row>
        <row r="90">
          <cell r="A90">
            <v>10029</v>
          </cell>
          <cell r="B90" t="str">
            <v>FERNANDES PLATIMA</v>
          </cell>
          <cell r="C90" t="str">
            <v>CFHS</v>
          </cell>
        </row>
        <row r="91">
          <cell r="A91">
            <v>10038</v>
          </cell>
          <cell r="B91" t="str">
            <v>KARNAD MAHESH</v>
          </cell>
          <cell r="C91" t="str">
            <v>CFHS</v>
          </cell>
        </row>
        <row r="92">
          <cell r="A92">
            <v>10045</v>
          </cell>
          <cell r="B92" t="str">
            <v>SKANDAN SUNDER</v>
          </cell>
          <cell r="C92" t="str">
            <v>CFHS</v>
          </cell>
        </row>
        <row r="93">
          <cell r="A93">
            <v>10047</v>
          </cell>
          <cell r="B93" t="str">
            <v>RODRIGUES  CLAYTON</v>
          </cell>
          <cell r="C93" t="str">
            <v>CFHS</v>
          </cell>
        </row>
        <row r="94">
          <cell r="A94">
            <v>10063</v>
          </cell>
          <cell r="B94" t="str">
            <v>VEIGAS LINDA</v>
          </cell>
          <cell r="C94" t="str">
            <v>CFHS</v>
          </cell>
        </row>
        <row r="95">
          <cell r="A95">
            <v>10069</v>
          </cell>
          <cell r="B95" t="str">
            <v>JASOOMONEY DELNA</v>
          </cell>
          <cell r="C95" t="str">
            <v>CFHS</v>
          </cell>
        </row>
        <row r="96">
          <cell r="A96">
            <v>10070</v>
          </cell>
          <cell r="B96" t="str">
            <v>SHAH ARCHANA</v>
          </cell>
          <cell r="C96" t="str">
            <v>CFHS</v>
          </cell>
        </row>
        <row r="97">
          <cell r="A97">
            <v>10072</v>
          </cell>
          <cell r="B97" t="str">
            <v>FERNANDES SHEONA ROQUE</v>
          </cell>
          <cell r="C97" t="str">
            <v>CFHS</v>
          </cell>
        </row>
        <row r="98">
          <cell r="A98">
            <v>10074</v>
          </cell>
          <cell r="B98" t="str">
            <v>PATEL HUFRIZ</v>
          </cell>
          <cell r="C98" t="str">
            <v>CFHS</v>
          </cell>
        </row>
        <row r="99">
          <cell r="A99">
            <v>10094</v>
          </cell>
          <cell r="B99" t="str">
            <v>SAUVAJIT DE</v>
          </cell>
          <cell r="C99" t="str">
            <v>CFHS</v>
          </cell>
        </row>
        <row r="100">
          <cell r="A100">
            <v>10127</v>
          </cell>
          <cell r="B100" t="str">
            <v>PATEL NAVAAZ E.</v>
          </cell>
          <cell r="C100" t="str">
            <v>CFHS</v>
          </cell>
        </row>
        <row r="101">
          <cell r="A101">
            <v>10129</v>
          </cell>
          <cell r="B101" t="str">
            <v>DUBASH SHAUN</v>
          </cell>
          <cell r="C101" t="str">
            <v>CFHS</v>
          </cell>
        </row>
        <row r="102">
          <cell r="A102">
            <v>10133</v>
          </cell>
          <cell r="B102" t="str">
            <v>LEWIS SUSAN</v>
          </cell>
          <cell r="C102" t="str">
            <v>CFHS</v>
          </cell>
        </row>
        <row r="103">
          <cell r="A103">
            <v>10134</v>
          </cell>
          <cell r="B103" t="str">
            <v>PRESS JEHANGIR</v>
          </cell>
          <cell r="C103" t="str">
            <v>CFHS</v>
          </cell>
        </row>
        <row r="104">
          <cell r="A104">
            <v>10135</v>
          </cell>
          <cell r="B104" t="str">
            <v>PITHAWALA GULSHAN</v>
          </cell>
          <cell r="C104" t="str">
            <v>CFHS</v>
          </cell>
        </row>
        <row r="105">
          <cell r="A105">
            <v>10137</v>
          </cell>
          <cell r="B105" t="str">
            <v>SIDDHARAJSINGH SOLANKI</v>
          </cell>
          <cell r="C105" t="str">
            <v>CFHS</v>
          </cell>
        </row>
        <row r="106">
          <cell r="A106">
            <v>10154</v>
          </cell>
          <cell r="B106" t="str">
            <v>D'COSTA  ALWYN</v>
          </cell>
          <cell r="C106" t="str">
            <v>CFHS</v>
          </cell>
        </row>
        <row r="107">
          <cell r="A107">
            <v>10155</v>
          </cell>
          <cell r="B107" t="str">
            <v>AHUJA AARTI</v>
          </cell>
          <cell r="C107" t="str">
            <v>CFHS</v>
          </cell>
        </row>
        <row r="108">
          <cell r="A108">
            <v>10199</v>
          </cell>
          <cell r="B108" t="str">
            <v>BANATWALLA TARANNUM</v>
          </cell>
          <cell r="C108" t="str">
            <v>CFHS</v>
          </cell>
        </row>
        <row r="109">
          <cell r="A109">
            <v>10201</v>
          </cell>
          <cell r="B109" t="str">
            <v>BOTTLEWALA ABAN</v>
          </cell>
          <cell r="C109" t="str">
            <v>CFHS</v>
          </cell>
        </row>
        <row r="110">
          <cell r="A110">
            <v>10208</v>
          </cell>
          <cell r="B110" t="str">
            <v>FERNANDES JOSLYN</v>
          </cell>
          <cell r="C110" t="str">
            <v>CFHS</v>
          </cell>
        </row>
        <row r="111">
          <cell r="A111">
            <v>10230</v>
          </cell>
          <cell r="B111" t="str">
            <v>MUNCHERJEE FARAH</v>
          </cell>
          <cell r="C111" t="str">
            <v>CFHS</v>
          </cell>
        </row>
        <row r="112">
          <cell r="A112">
            <v>10233</v>
          </cell>
          <cell r="B112" t="str">
            <v>SHIMPI NIKHIL</v>
          </cell>
          <cell r="C112" t="str">
            <v>CFHS</v>
          </cell>
        </row>
        <row r="113">
          <cell r="A113">
            <v>10255</v>
          </cell>
          <cell r="B113" t="str">
            <v>BHAGAT KUNAL</v>
          </cell>
          <cell r="C113" t="str">
            <v>CFHS</v>
          </cell>
        </row>
        <row r="114">
          <cell r="A114">
            <v>10260</v>
          </cell>
          <cell r="B114" t="str">
            <v>RANDEV ANKUR</v>
          </cell>
          <cell r="C114" t="str">
            <v>CFHS</v>
          </cell>
        </row>
        <row r="115">
          <cell r="A115">
            <v>10262</v>
          </cell>
          <cell r="B115" t="str">
            <v>BHANDARI J.SINGH</v>
          </cell>
          <cell r="C115" t="str">
            <v>CFHS</v>
          </cell>
        </row>
        <row r="116">
          <cell r="A116">
            <v>10263</v>
          </cell>
          <cell r="B116" t="str">
            <v>SIDDIQUI SHAHRIAR</v>
          </cell>
          <cell r="C116" t="str">
            <v>CFHS</v>
          </cell>
        </row>
        <row r="117">
          <cell r="A117">
            <v>10265</v>
          </cell>
          <cell r="B117" t="str">
            <v>SHARMA TARUN</v>
          </cell>
          <cell r="C117" t="str">
            <v>CFHS</v>
          </cell>
        </row>
        <row r="118">
          <cell r="A118">
            <v>10267</v>
          </cell>
          <cell r="B118" t="str">
            <v>BAHL GUNJAN</v>
          </cell>
          <cell r="C118" t="str">
            <v>CFHS</v>
          </cell>
        </row>
        <row r="119">
          <cell r="A119">
            <v>10269</v>
          </cell>
          <cell r="B119" t="str">
            <v>SAWANT SAMPADA</v>
          </cell>
          <cell r="C119" t="str">
            <v>CFHS</v>
          </cell>
        </row>
        <row r="120">
          <cell r="A120">
            <v>10270</v>
          </cell>
          <cell r="B120" t="str">
            <v>MISTRY FIRUZA</v>
          </cell>
          <cell r="C120" t="str">
            <v>CFHS</v>
          </cell>
        </row>
        <row r="121">
          <cell r="A121">
            <v>10271</v>
          </cell>
          <cell r="B121" t="str">
            <v>DESOUZA RASNA ROSE</v>
          </cell>
          <cell r="C121" t="str">
            <v>CFHS</v>
          </cell>
        </row>
        <row r="122">
          <cell r="A122">
            <v>10272</v>
          </cell>
          <cell r="B122" t="str">
            <v>JHA ABHISHEK ABY</v>
          </cell>
          <cell r="C122" t="str">
            <v>CFHS</v>
          </cell>
        </row>
        <row r="123">
          <cell r="A123">
            <v>10273</v>
          </cell>
          <cell r="B123" t="str">
            <v>KUMAR PAUL PRASANNA</v>
          </cell>
          <cell r="C123" t="str">
            <v>CFHS</v>
          </cell>
        </row>
        <row r="124">
          <cell r="A124">
            <v>10285</v>
          </cell>
          <cell r="B124" t="str">
            <v>D'SOUZA ELAINE MARIA</v>
          </cell>
          <cell r="C124" t="str">
            <v>CFHS</v>
          </cell>
        </row>
        <row r="125">
          <cell r="A125">
            <v>10296</v>
          </cell>
          <cell r="B125" t="str">
            <v>KUZHIMADATHIL A.BOBBY</v>
          </cell>
          <cell r="C125" t="str">
            <v>CFHS</v>
          </cell>
        </row>
        <row r="126">
          <cell r="A126">
            <v>10299</v>
          </cell>
          <cell r="B126" t="str">
            <v>SINHA ANANYA</v>
          </cell>
          <cell r="C126" t="str">
            <v>CFHS</v>
          </cell>
        </row>
        <row r="127">
          <cell r="A127">
            <v>10318</v>
          </cell>
          <cell r="B127" t="str">
            <v>DOMAL DATTARAM S.</v>
          </cell>
          <cell r="C127" t="str">
            <v>CFHS</v>
          </cell>
        </row>
        <row r="128">
          <cell r="A128">
            <v>10333</v>
          </cell>
          <cell r="B128" t="str">
            <v>D'SOUZA VALERIE JUDY</v>
          </cell>
          <cell r="C128" t="str">
            <v>CFHS</v>
          </cell>
        </row>
        <row r="129">
          <cell r="A129">
            <v>10334</v>
          </cell>
          <cell r="B129" t="str">
            <v>PHADKE PRASAD PRABHAKAR</v>
          </cell>
          <cell r="C129" t="str">
            <v>CFHS</v>
          </cell>
        </row>
        <row r="130">
          <cell r="A130">
            <v>10335</v>
          </cell>
          <cell r="B130" t="str">
            <v>SWAMY R.NARAYAN</v>
          </cell>
          <cell r="C130" t="str">
            <v>CFHS</v>
          </cell>
        </row>
        <row r="131">
          <cell r="A131">
            <v>10384</v>
          </cell>
          <cell r="B131" t="str">
            <v>BILLIMORIA FARZANA</v>
          </cell>
          <cell r="C131" t="str">
            <v>CFHS</v>
          </cell>
        </row>
        <row r="132">
          <cell r="A132">
            <v>10385</v>
          </cell>
          <cell r="B132" t="str">
            <v>GUPTA ANAMIKA</v>
          </cell>
          <cell r="C132" t="str">
            <v>CFHS</v>
          </cell>
        </row>
        <row r="133">
          <cell r="A133">
            <v>10411</v>
          </cell>
          <cell r="B133" t="str">
            <v>MATHEW SMITA</v>
          </cell>
          <cell r="C133" t="str">
            <v>CFHS</v>
          </cell>
        </row>
        <row r="134">
          <cell r="A134">
            <v>10416</v>
          </cell>
          <cell r="B134" t="str">
            <v>MEHTA NATASHA</v>
          </cell>
          <cell r="C134" t="str">
            <v>CFHS</v>
          </cell>
        </row>
        <row r="135">
          <cell r="A135">
            <v>10420</v>
          </cell>
          <cell r="B135" t="str">
            <v>MUKHERJEE ARINDAM</v>
          </cell>
          <cell r="C135" t="str">
            <v>CFHS</v>
          </cell>
        </row>
        <row r="136">
          <cell r="A136">
            <v>10433</v>
          </cell>
          <cell r="B136" t="str">
            <v>SUBRAMANIAM KUMAR</v>
          </cell>
          <cell r="C136" t="str">
            <v>CFHS</v>
          </cell>
        </row>
        <row r="137">
          <cell r="A137">
            <v>10443</v>
          </cell>
          <cell r="B137" t="str">
            <v>BARRETTO MALEIKA</v>
          </cell>
          <cell r="C137" t="str">
            <v>CFHS</v>
          </cell>
        </row>
        <row r="138">
          <cell r="A138">
            <v>10447</v>
          </cell>
          <cell r="B138" t="str">
            <v>BISHT ATUL</v>
          </cell>
          <cell r="C138" t="str">
            <v>CFHS</v>
          </cell>
        </row>
        <row r="139">
          <cell r="A139">
            <v>10450</v>
          </cell>
          <cell r="B139" t="str">
            <v>NETTO INNOCENCIA</v>
          </cell>
          <cell r="C139" t="str">
            <v>CFHS</v>
          </cell>
        </row>
        <row r="140">
          <cell r="A140">
            <v>10456</v>
          </cell>
          <cell r="B140" t="str">
            <v>DINSHAW ROXCEN</v>
          </cell>
          <cell r="C140" t="str">
            <v>CFHS</v>
          </cell>
        </row>
        <row r="141">
          <cell r="A141">
            <v>10457</v>
          </cell>
          <cell r="B141" t="str">
            <v>VISHWANATHAN PRIYA</v>
          </cell>
          <cell r="C141" t="str">
            <v>CFHS</v>
          </cell>
        </row>
        <row r="142">
          <cell r="A142">
            <v>10459</v>
          </cell>
          <cell r="B142" t="str">
            <v>TATPATI REKHA</v>
          </cell>
          <cell r="C142" t="str">
            <v>CFHS</v>
          </cell>
        </row>
        <row r="143">
          <cell r="A143">
            <v>10470</v>
          </cell>
          <cell r="B143" t="str">
            <v>NAIK  AKHIL</v>
          </cell>
          <cell r="C143" t="str">
            <v>CFHS</v>
          </cell>
        </row>
        <row r="144">
          <cell r="A144">
            <v>10471</v>
          </cell>
          <cell r="B144" t="str">
            <v>BHIDE ROHINI</v>
          </cell>
          <cell r="C144" t="str">
            <v>CFHS</v>
          </cell>
        </row>
        <row r="145">
          <cell r="A145">
            <v>10472</v>
          </cell>
          <cell r="B145" t="str">
            <v>MATTO VITASTA</v>
          </cell>
          <cell r="C145" t="str">
            <v>CFHS</v>
          </cell>
        </row>
        <row r="146">
          <cell r="A146">
            <v>10474</v>
          </cell>
          <cell r="B146" t="str">
            <v>JAIN MANIKA</v>
          </cell>
          <cell r="C146" t="str">
            <v>CFHS</v>
          </cell>
        </row>
        <row r="147">
          <cell r="A147">
            <v>10476</v>
          </cell>
          <cell r="B147" t="str">
            <v>SUNKERSETH RAHUL</v>
          </cell>
          <cell r="C147" t="str">
            <v>CFHS</v>
          </cell>
        </row>
        <row r="148">
          <cell r="A148">
            <v>10477</v>
          </cell>
          <cell r="B148" t="str">
            <v>VIEGAS CHRISTOPHER</v>
          </cell>
          <cell r="C148" t="str">
            <v>CFHS</v>
          </cell>
        </row>
        <row r="149">
          <cell r="A149">
            <v>10478</v>
          </cell>
          <cell r="B149" t="str">
            <v>BATRA PRARTHNA</v>
          </cell>
          <cell r="C149" t="str">
            <v>CFHS</v>
          </cell>
        </row>
        <row r="150">
          <cell r="A150">
            <v>10479</v>
          </cell>
          <cell r="B150" t="str">
            <v>CHHABRA NATASHA</v>
          </cell>
          <cell r="C150" t="str">
            <v>CFHS</v>
          </cell>
        </row>
        <row r="151">
          <cell r="A151">
            <v>10482</v>
          </cell>
          <cell r="B151" t="str">
            <v>FERNANDES CHRISTABELE</v>
          </cell>
          <cell r="C151" t="str">
            <v>CFHS</v>
          </cell>
        </row>
        <row r="152">
          <cell r="A152">
            <v>10483</v>
          </cell>
          <cell r="B152" t="str">
            <v>NORONHA CYNTHIA</v>
          </cell>
          <cell r="C152" t="str">
            <v>CFHS</v>
          </cell>
        </row>
        <row r="153">
          <cell r="A153">
            <v>10485</v>
          </cell>
          <cell r="B153" t="str">
            <v>CHAWAN NAINA</v>
          </cell>
          <cell r="C153" t="str">
            <v>CFHS</v>
          </cell>
        </row>
        <row r="154">
          <cell r="A154">
            <v>10490</v>
          </cell>
          <cell r="B154" t="str">
            <v>SHASTRY KRISHNA</v>
          </cell>
          <cell r="C154" t="str">
            <v>CFHS</v>
          </cell>
        </row>
        <row r="155">
          <cell r="A155">
            <v>10497</v>
          </cell>
          <cell r="B155" t="str">
            <v>FISK SYLVIA</v>
          </cell>
          <cell r="C155" t="str">
            <v>CFHS</v>
          </cell>
        </row>
        <row r="156">
          <cell r="A156">
            <v>10498</v>
          </cell>
          <cell r="B156" t="str">
            <v>MISTRY PRATIMA</v>
          </cell>
          <cell r="C156" t="str">
            <v>CFHS</v>
          </cell>
        </row>
        <row r="157">
          <cell r="A157">
            <v>10532</v>
          </cell>
          <cell r="B157" t="str">
            <v>TULSYAN SUSHIL KUMAR</v>
          </cell>
          <cell r="C157" t="str">
            <v>CFHS</v>
          </cell>
        </row>
        <row r="158">
          <cell r="A158">
            <v>10563</v>
          </cell>
          <cell r="B158" t="str">
            <v>D'SILVA NISHA</v>
          </cell>
          <cell r="C158" t="str">
            <v>CFHS</v>
          </cell>
        </row>
        <row r="159">
          <cell r="A159">
            <v>10564</v>
          </cell>
          <cell r="B159" t="str">
            <v>EDULKAKA ANAHITA</v>
          </cell>
          <cell r="C159" t="str">
            <v>CFHS</v>
          </cell>
        </row>
        <row r="160">
          <cell r="A160">
            <v>10565</v>
          </cell>
          <cell r="B160" t="str">
            <v>JASSAWALLA AYESHA</v>
          </cell>
          <cell r="C160" t="str">
            <v>CFHS</v>
          </cell>
        </row>
        <row r="161">
          <cell r="A161">
            <v>10571</v>
          </cell>
          <cell r="B161" t="str">
            <v>MURTHY ANURADHA</v>
          </cell>
          <cell r="C161" t="str">
            <v>CFHS</v>
          </cell>
        </row>
        <row r="162">
          <cell r="A162">
            <v>10572</v>
          </cell>
          <cell r="B162" t="str">
            <v>PANGHAT DEEPLI</v>
          </cell>
          <cell r="C162" t="str">
            <v>CFHS</v>
          </cell>
        </row>
        <row r="163">
          <cell r="A163">
            <v>10574</v>
          </cell>
          <cell r="B163" t="str">
            <v>PAUL YASMIN RAJ</v>
          </cell>
          <cell r="C163" t="str">
            <v>CFHS</v>
          </cell>
        </row>
        <row r="164">
          <cell r="A164">
            <v>10575</v>
          </cell>
          <cell r="B164" t="str">
            <v>LAL VARTIKA</v>
          </cell>
          <cell r="C164" t="str">
            <v>CFHS</v>
          </cell>
        </row>
        <row r="165">
          <cell r="A165">
            <v>10578</v>
          </cell>
          <cell r="B165" t="str">
            <v>VENKATESH SUNIL</v>
          </cell>
          <cell r="C165" t="str">
            <v>CFHS</v>
          </cell>
        </row>
        <row r="166">
          <cell r="A166">
            <v>10580</v>
          </cell>
          <cell r="B166" t="str">
            <v>CHETRI NITESH</v>
          </cell>
          <cell r="C166" t="str">
            <v>CFHS</v>
          </cell>
        </row>
        <row r="167">
          <cell r="A167">
            <v>10581</v>
          </cell>
          <cell r="B167" t="str">
            <v>SIDANA HARMEET SINGH</v>
          </cell>
          <cell r="C167" t="str">
            <v>CFHS</v>
          </cell>
        </row>
        <row r="168">
          <cell r="A168">
            <v>10586</v>
          </cell>
          <cell r="B168" t="str">
            <v>ENGINEER FERZEEN CYRUS</v>
          </cell>
          <cell r="C168" t="str">
            <v>CFHS</v>
          </cell>
        </row>
        <row r="169">
          <cell r="A169">
            <v>10596</v>
          </cell>
          <cell r="B169" t="str">
            <v>GANGAKHEDKAR RAJESH</v>
          </cell>
          <cell r="C169" t="str">
            <v>CFHS</v>
          </cell>
        </row>
        <row r="170">
          <cell r="A170">
            <v>10624</v>
          </cell>
          <cell r="B170" t="str">
            <v>GODSAY DEEPIKA</v>
          </cell>
          <cell r="C170" t="str">
            <v>CFHS</v>
          </cell>
        </row>
        <row r="171">
          <cell r="A171">
            <v>10641</v>
          </cell>
          <cell r="B171" t="str">
            <v>RODRIGUES NELLY</v>
          </cell>
          <cell r="C171" t="str">
            <v>CFHS</v>
          </cell>
        </row>
        <row r="172">
          <cell r="A172">
            <v>10654</v>
          </cell>
          <cell r="B172" t="str">
            <v>RODRIGUES RYAN</v>
          </cell>
          <cell r="C172" t="str">
            <v>CFHS</v>
          </cell>
        </row>
        <row r="173">
          <cell r="A173">
            <v>10656</v>
          </cell>
          <cell r="B173" t="str">
            <v>PINTO KEITH JUDE</v>
          </cell>
          <cell r="C173" t="str">
            <v>CFHS</v>
          </cell>
        </row>
        <row r="174">
          <cell r="A174">
            <v>10675</v>
          </cell>
          <cell r="B174" t="str">
            <v>IRANI ARZOOMAN</v>
          </cell>
          <cell r="C174" t="str">
            <v>CFHS</v>
          </cell>
        </row>
        <row r="175">
          <cell r="A175">
            <v>10677</v>
          </cell>
          <cell r="B175" t="str">
            <v>SHAIKH SABHIA</v>
          </cell>
          <cell r="C175" t="str">
            <v>CFHS</v>
          </cell>
        </row>
        <row r="176">
          <cell r="A176">
            <v>10688</v>
          </cell>
          <cell r="B176" t="str">
            <v>SUWARNA ASHA</v>
          </cell>
          <cell r="C176" t="str">
            <v>CFHS</v>
          </cell>
        </row>
        <row r="177">
          <cell r="A177">
            <v>10692</v>
          </cell>
          <cell r="B177" t="str">
            <v>FERNANDES ZAHRA</v>
          </cell>
          <cell r="C177" t="str">
            <v>CFHS</v>
          </cell>
        </row>
        <row r="178">
          <cell r="A178">
            <v>10693</v>
          </cell>
          <cell r="B178" t="str">
            <v>PULIMI GOUTHAM</v>
          </cell>
          <cell r="C178" t="str">
            <v>CFHS</v>
          </cell>
        </row>
        <row r="179">
          <cell r="A179">
            <v>10697</v>
          </cell>
          <cell r="B179" t="str">
            <v>AHMEDABADI FAZILA</v>
          </cell>
          <cell r="C179" t="str">
            <v>CFHS</v>
          </cell>
        </row>
        <row r="180">
          <cell r="A180">
            <v>10701</v>
          </cell>
          <cell r="B180" t="str">
            <v>ALVE KIRAN</v>
          </cell>
          <cell r="C180" t="str">
            <v>CFHS</v>
          </cell>
        </row>
        <row r="181">
          <cell r="A181">
            <v>10702</v>
          </cell>
          <cell r="B181" t="str">
            <v>SALDANHA SAMANTHA</v>
          </cell>
          <cell r="C181" t="str">
            <v>CFHS</v>
          </cell>
        </row>
        <row r="182">
          <cell r="A182">
            <v>10716</v>
          </cell>
          <cell r="B182" t="str">
            <v>KATARIA SHEENA</v>
          </cell>
          <cell r="C182" t="str">
            <v>CFHS</v>
          </cell>
        </row>
        <row r="183">
          <cell r="A183">
            <v>10717</v>
          </cell>
          <cell r="B183" t="str">
            <v>FRAMROZE NERISSA</v>
          </cell>
          <cell r="C183" t="str">
            <v>CFHS</v>
          </cell>
        </row>
        <row r="184">
          <cell r="A184">
            <v>10726</v>
          </cell>
          <cell r="B184" t="str">
            <v>MEHTA ZUBIN</v>
          </cell>
          <cell r="C184" t="str">
            <v>CFHS</v>
          </cell>
        </row>
        <row r="185">
          <cell r="A185">
            <v>10732</v>
          </cell>
          <cell r="B185" t="str">
            <v>CARVALHO CHERYL</v>
          </cell>
          <cell r="C185" t="str">
            <v>CFHS</v>
          </cell>
        </row>
        <row r="186">
          <cell r="A186">
            <v>10736</v>
          </cell>
          <cell r="B186" t="str">
            <v>VELLAPPILLIL RAJAN</v>
          </cell>
          <cell r="C186" t="str">
            <v>CFHS</v>
          </cell>
        </row>
        <row r="187">
          <cell r="A187">
            <v>10761</v>
          </cell>
          <cell r="B187" t="str">
            <v>VAKIL PARINAZ</v>
          </cell>
          <cell r="C187" t="str">
            <v>CFHS</v>
          </cell>
        </row>
        <row r="188">
          <cell r="A188">
            <v>10767</v>
          </cell>
          <cell r="B188" t="str">
            <v>SAHGAL SONALI</v>
          </cell>
          <cell r="C188" t="str">
            <v>CFHS</v>
          </cell>
        </row>
        <row r="189">
          <cell r="A189">
            <v>10776</v>
          </cell>
          <cell r="B189" t="str">
            <v>KALRA SHALINI</v>
          </cell>
          <cell r="C189" t="str">
            <v>CFHS</v>
          </cell>
        </row>
        <row r="190">
          <cell r="A190">
            <v>10795</v>
          </cell>
          <cell r="B190" t="str">
            <v>JAGGI SANJEEV</v>
          </cell>
          <cell r="C190" t="str">
            <v>CFHS</v>
          </cell>
        </row>
        <row r="191">
          <cell r="A191">
            <v>1033</v>
          </cell>
          <cell r="B191" t="str">
            <v>ROCH ERICH</v>
          </cell>
          <cell r="C191" t="str">
            <v>CHRD</v>
          </cell>
        </row>
        <row r="192">
          <cell r="A192">
            <v>10345</v>
          </cell>
          <cell r="B192" t="str">
            <v>MOTIHAR JAI</v>
          </cell>
          <cell r="C192" t="str">
            <v>CORP</v>
          </cell>
        </row>
        <row r="193">
          <cell r="A193">
            <v>10621</v>
          </cell>
          <cell r="B193" t="str">
            <v>BHASIN PRAVIN</v>
          </cell>
          <cell r="C193" t="str">
            <v>CORP</v>
          </cell>
        </row>
        <row r="194">
          <cell r="A194">
            <v>10742</v>
          </cell>
          <cell r="B194" t="str">
            <v>PENDSE NEETA</v>
          </cell>
          <cell r="C194" t="str">
            <v>CORP</v>
          </cell>
        </row>
        <row r="195">
          <cell r="A195">
            <v>1032</v>
          </cell>
          <cell r="B195" t="str">
            <v>JOSE K.D.</v>
          </cell>
          <cell r="C195" t="str">
            <v>CRBC</v>
          </cell>
        </row>
        <row r="196">
          <cell r="A196">
            <v>5763</v>
          </cell>
          <cell r="B196" t="str">
            <v>JOSHI VINAYAK S.</v>
          </cell>
          <cell r="C196" t="str">
            <v>CRBC</v>
          </cell>
        </row>
        <row r="197">
          <cell r="A197">
            <v>7024</v>
          </cell>
          <cell r="B197" t="str">
            <v>TADGE B.M.</v>
          </cell>
          <cell r="C197" t="str">
            <v>CRBC</v>
          </cell>
        </row>
        <row r="198">
          <cell r="A198">
            <v>7263</v>
          </cell>
          <cell r="B198" t="str">
            <v>KALE B.PADMAKAR</v>
          </cell>
          <cell r="C198" t="str">
            <v>CRBC</v>
          </cell>
        </row>
        <row r="199">
          <cell r="A199">
            <v>2786</v>
          </cell>
          <cell r="B199" t="str">
            <v>BHAIRAGDAR A.ZAFFAR.</v>
          </cell>
          <cell r="C199" t="str">
            <v>CRDT</v>
          </cell>
        </row>
        <row r="200">
          <cell r="A200">
            <v>2809</v>
          </cell>
          <cell r="B200" t="str">
            <v>KINI PREMNATH N.</v>
          </cell>
          <cell r="C200" t="str">
            <v>CRDT</v>
          </cell>
        </row>
        <row r="201">
          <cell r="A201">
            <v>2971</v>
          </cell>
          <cell r="B201" t="str">
            <v>ALBAN MERIPO</v>
          </cell>
          <cell r="C201" t="str">
            <v>CRDT</v>
          </cell>
        </row>
        <row r="202">
          <cell r="A202">
            <v>3015</v>
          </cell>
          <cell r="B202" t="str">
            <v>DEVANAND BABU</v>
          </cell>
          <cell r="C202" t="str">
            <v>CRDT</v>
          </cell>
        </row>
        <row r="203">
          <cell r="A203">
            <v>3101</v>
          </cell>
          <cell r="B203" t="str">
            <v>DESAI PRAKASH V.</v>
          </cell>
          <cell r="C203" t="str">
            <v>CRDT</v>
          </cell>
        </row>
        <row r="204">
          <cell r="A204">
            <v>4010</v>
          </cell>
          <cell r="B204" t="str">
            <v>AMDOSKAR SHANKAR K.</v>
          </cell>
          <cell r="C204" t="str">
            <v>CRDT</v>
          </cell>
        </row>
        <row r="205">
          <cell r="A205">
            <v>5241</v>
          </cell>
          <cell r="B205" t="str">
            <v>GAWDE SUNIL LAXMAN</v>
          </cell>
          <cell r="C205" t="str">
            <v>CRDT</v>
          </cell>
        </row>
        <row r="206">
          <cell r="A206">
            <v>5465</v>
          </cell>
          <cell r="B206" t="str">
            <v>ALPHONSO HILLARY</v>
          </cell>
          <cell r="C206" t="str">
            <v>CRDT</v>
          </cell>
        </row>
        <row r="207">
          <cell r="A207">
            <v>5529</v>
          </cell>
          <cell r="B207" t="str">
            <v>HINDOLE SWAMINATH I.</v>
          </cell>
          <cell r="C207" t="str">
            <v>CRDT</v>
          </cell>
        </row>
        <row r="208">
          <cell r="A208">
            <v>5552</v>
          </cell>
          <cell r="B208" t="str">
            <v>INSPECTOR PERVIN K.</v>
          </cell>
          <cell r="C208" t="str">
            <v>CRDT</v>
          </cell>
        </row>
        <row r="209">
          <cell r="A209">
            <v>5961</v>
          </cell>
          <cell r="B209" t="str">
            <v>MENEZES MARK</v>
          </cell>
          <cell r="C209" t="str">
            <v>CRDT</v>
          </cell>
        </row>
        <row r="210">
          <cell r="A210">
            <v>6110</v>
          </cell>
          <cell r="B210" t="str">
            <v>DSOUZA IVAN ALBERT</v>
          </cell>
          <cell r="C210" t="str">
            <v>CRDT</v>
          </cell>
        </row>
        <row r="211">
          <cell r="A211">
            <v>6233</v>
          </cell>
          <cell r="B211" t="str">
            <v>SURYAKULA R.M.</v>
          </cell>
          <cell r="C211" t="str">
            <v>CRDT</v>
          </cell>
        </row>
        <row r="212">
          <cell r="A212">
            <v>7096</v>
          </cell>
          <cell r="B212" t="str">
            <v>RANE SUHAS D.</v>
          </cell>
          <cell r="C212" t="str">
            <v>CRDT</v>
          </cell>
        </row>
        <row r="213">
          <cell r="A213">
            <v>9489</v>
          </cell>
          <cell r="B213" t="str">
            <v>MUDARTHA KULDEEP</v>
          </cell>
          <cell r="C213" t="str">
            <v>CRDT</v>
          </cell>
        </row>
        <row r="214">
          <cell r="A214">
            <v>9665</v>
          </cell>
          <cell r="B214" t="str">
            <v>PUNJABI GEETA</v>
          </cell>
          <cell r="C214" t="str">
            <v>CRDT</v>
          </cell>
        </row>
        <row r="215">
          <cell r="A215">
            <v>31420</v>
          </cell>
          <cell r="B215" t="str">
            <v>SEQUEIRA REMEDIOS</v>
          </cell>
          <cell r="C215" t="str">
            <v>CRDT</v>
          </cell>
        </row>
        <row r="216">
          <cell r="A216">
            <v>9857</v>
          </cell>
          <cell r="B216" t="str">
            <v>BHUWAD VINOD</v>
          </cell>
          <cell r="C216" t="str">
            <v>CRMN</v>
          </cell>
        </row>
        <row r="217">
          <cell r="A217">
            <v>10797</v>
          </cell>
          <cell r="B217" t="str">
            <v>ZOOMKAWALA ABDE-ALI</v>
          </cell>
          <cell r="C217" t="str">
            <v>F&amp;B</v>
          </cell>
        </row>
        <row r="218">
          <cell r="A218">
            <v>10798</v>
          </cell>
          <cell r="B218" t="str">
            <v>KHOSLA VISHAL</v>
          </cell>
          <cell r="C218" t="str">
            <v>F&amp;B</v>
          </cell>
        </row>
        <row r="219">
          <cell r="A219">
            <v>10799</v>
          </cell>
          <cell r="B219" t="str">
            <v>RAWLANI RAVI</v>
          </cell>
          <cell r="C219" t="str">
            <v>F&amp;B</v>
          </cell>
        </row>
        <row r="220">
          <cell r="A220">
            <v>10800</v>
          </cell>
          <cell r="B220" t="str">
            <v>SHAIKH VAZID ALI</v>
          </cell>
          <cell r="C220" t="str">
            <v>F&amp;B</v>
          </cell>
        </row>
        <row r="221">
          <cell r="A221">
            <v>10801</v>
          </cell>
          <cell r="B221" t="str">
            <v>PANTHAKY BURZIS</v>
          </cell>
          <cell r="C221" t="str">
            <v>F&amp;B</v>
          </cell>
        </row>
        <row r="222">
          <cell r="A222">
            <v>10802</v>
          </cell>
          <cell r="B222" t="str">
            <v>DAVID TERENCE</v>
          </cell>
          <cell r="C222" t="str">
            <v>F&amp;B</v>
          </cell>
        </row>
        <row r="223">
          <cell r="A223">
            <v>10803</v>
          </cell>
          <cell r="B223" t="str">
            <v>D'COSTA VERNER</v>
          </cell>
          <cell r="C223" t="str">
            <v>F&amp;B</v>
          </cell>
        </row>
        <row r="224">
          <cell r="A224">
            <v>10804</v>
          </cell>
          <cell r="B224" t="str">
            <v>KUMAR ABNASH</v>
          </cell>
          <cell r="C224" t="str">
            <v>F&amp;B</v>
          </cell>
        </row>
        <row r="225">
          <cell r="A225">
            <v>10805</v>
          </cell>
          <cell r="B225" t="str">
            <v>GUPTA RAKESH</v>
          </cell>
          <cell r="C225" t="str">
            <v>F&amp;B</v>
          </cell>
        </row>
        <row r="226">
          <cell r="A226">
            <v>10806</v>
          </cell>
          <cell r="B226" t="str">
            <v>SHROFF DANESH</v>
          </cell>
          <cell r="C226" t="str">
            <v>F&amp;B</v>
          </cell>
        </row>
        <row r="227">
          <cell r="A227">
            <v>10810</v>
          </cell>
          <cell r="B227" t="str">
            <v>LOBO AYESHA</v>
          </cell>
          <cell r="C227" t="str">
            <v>F&amp;B</v>
          </cell>
        </row>
        <row r="228">
          <cell r="A228">
            <v>10810</v>
          </cell>
          <cell r="B228" t="str">
            <v>LOBO AYESHA</v>
          </cell>
          <cell r="C228" t="str">
            <v>F&amp;B</v>
          </cell>
        </row>
        <row r="229">
          <cell r="A229">
            <v>10876</v>
          </cell>
          <cell r="B229" t="str">
            <v>BHANDARI HEMA</v>
          </cell>
          <cell r="C229" t="str">
            <v>F&amp;B</v>
          </cell>
        </row>
        <row r="230">
          <cell r="A230">
            <v>10878</v>
          </cell>
          <cell r="B230" t="str">
            <v>LIMA YUSHANE C.</v>
          </cell>
          <cell r="C230" t="str">
            <v>F&amp;B</v>
          </cell>
        </row>
        <row r="231">
          <cell r="A231">
            <v>10879</v>
          </cell>
          <cell r="B231" t="str">
            <v>NARIMAN ANAHITA</v>
          </cell>
          <cell r="C231" t="str">
            <v>F&amp;B</v>
          </cell>
        </row>
        <row r="232">
          <cell r="A232">
            <v>30824</v>
          </cell>
          <cell r="B232" t="str">
            <v>FERNANDES GLEN A.</v>
          </cell>
          <cell r="C232" t="str">
            <v>F&amp;B</v>
          </cell>
        </row>
        <row r="233">
          <cell r="A233">
            <v>31304</v>
          </cell>
          <cell r="B233" t="str">
            <v>NALAWADE HARSHAD K.</v>
          </cell>
          <cell r="C233" t="str">
            <v>F&amp;B</v>
          </cell>
        </row>
        <row r="234">
          <cell r="A234">
            <v>31361</v>
          </cell>
          <cell r="B234" t="str">
            <v>MARKAR SUSHANT</v>
          </cell>
          <cell r="C234" t="str">
            <v>F&amp;B</v>
          </cell>
        </row>
        <row r="235">
          <cell r="A235">
            <v>31369</v>
          </cell>
          <cell r="B235" t="str">
            <v>FERNANDES BRIAN</v>
          </cell>
          <cell r="C235" t="str">
            <v>F&amp;B</v>
          </cell>
        </row>
        <row r="236">
          <cell r="A236">
            <v>31370</v>
          </cell>
          <cell r="B236" t="str">
            <v>DIAS CAJETAN</v>
          </cell>
          <cell r="C236" t="str">
            <v>F&amp;B</v>
          </cell>
        </row>
        <row r="237">
          <cell r="A237">
            <v>31371</v>
          </cell>
          <cell r="B237" t="str">
            <v>ELANJICKAL ROBIN</v>
          </cell>
          <cell r="C237" t="str">
            <v>F&amp;B</v>
          </cell>
        </row>
        <row r="238">
          <cell r="A238">
            <v>31372</v>
          </cell>
          <cell r="B238" t="str">
            <v>LOBO ELROY</v>
          </cell>
          <cell r="C238" t="str">
            <v>F&amp;B</v>
          </cell>
        </row>
        <row r="239">
          <cell r="A239">
            <v>31373</v>
          </cell>
          <cell r="B239" t="str">
            <v>NORONHA FRANCES</v>
          </cell>
          <cell r="C239" t="str">
            <v>F&amp;B</v>
          </cell>
        </row>
        <row r="240">
          <cell r="A240">
            <v>31374</v>
          </cell>
          <cell r="B240" t="str">
            <v>D'COSTA FRANKLIN</v>
          </cell>
          <cell r="C240" t="str">
            <v>F&amp;B</v>
          </cell>
        </row>
        <row r="241">
          <cell r="A241">
            <v>31377</v>
          </cell>
          <cell r="B241" t="str">
            <v>RODRIGUES LANSON</v>
          </cell>
          <cell r="C241" t="str">
            <v>F&amp;B</v>
          </cell>
        </row>
        <row r="242">
          <cell r="A242">
            <v>31378</v>
          </cell>
          <cell r="B242" t="str">
            <v>LOBO LEROY</v>
          </cell>
          <cell r="C242" t="str">
            <v>F&amp;B</v>
          </cell>
        </row>
        <row r="243">
          <cell r="A243">
            <v>31381</v>
          </cell>
          <cell r="B243" t="str">
            <v>SURVE RAHUL</v>
          </cell>
          <cell r="C243" t="str">
            <v>F&amp;B</v>
          </cell>
        </row>
        <row r="244">
          <cell r="A244">
            <v>31383</v>
          </cell>
          <cell r="B244" t="str">
            <v>MASCARENHAS ROYDIN</v>
          </cell>
          <cell r="C244" t="str">
            <v>F&amp;B</v>
          </cell>
        </row>
        <row r="245">
          <cell r="A245">
            <v>31384</v>
          </cell>
          <cell r="B245" t="str">
            <v>WARIK SANDEEP</v>
          </cell>
          <cell r="C245" t="str">
            <v>F&amp;B</v>
          </cell>
        </row>
        <row r="246">
          <cell r="A246">
            <v>31385</v>
          </cell>
          <cell r="B246" t="str">
            <v>PATEL SOYAB</v>
          </cell>
          <cell r="C246" t="str">
            <v>F&amp;B</v>
          </cell>
        </row>
        <row r="247">
          <cell r="A247">
            <v>31386</v>
          </cell>
          <cell r="B247" t="str">
            <v>THEVAR SOMASUNDARAM</v>
          </cell>
          <cell r="C247" t="str">
            <v>F&amp;B</v>
          </cell>
        </row>
        <row r="248">
          <cell r="A248">
            <v>31387</v>
          </cell>
          <cell r="B248" t="str">
            <v>NAGABATHULLA SUNNY</v>
          </cell>
          <cell r="C248" t="str">
            <v>F&amp;B</v>
          </cell>
        </row>
        <row r="249">
          <cell r="A249">
            <v>31388</v>
          </cell>
          <cell r="B249" t="str">
            <v>KADAM HARSHAD</v>
          </cell>
          <cell r="C249" t="str">
            <v>F&amp;B</v>
          </cell>
        </row>
        <row r="250">
          <cell r="A250">
            <v>31389</v>
          </cell>
          <cell r="B250" t="str">
            <v>THAPA RAJA</v>
          </cell>
          <cell r="C250" t="str">
            <v>F&amp;B</v>
          </cell>
        </row>
        <row r="251">
          <cell r="A251">
            <v>31390</v>
          </cell>
          <cell r="B251" t="str">
            <v>KRISHNAN V</v>
          </cell>
          <cell r="C251" t="str">
            <v>F&amp;B</v>
          </cell>
        </row>
        <row r="252">
          <cell r="A252">
            <v>31391</v>
          </cell>
          <cell r="B252" t="str">
            <v>ROHIT SHAILESH V</v>
          </cell>
          <cell r="C252" t="str">
            <v>F&amp;B</v>
          </cell>
        </row>
        <row r="253">
          <cell r="A253">
            <v>2668</v>
          </cell>
          <cell r="B253" t="str">
            <v>GOMES BERTALINHO</v>
          </cell>
          <cell r="C253" t="str">
            <v>FBAB</v>
          </cell>
        </row>
        <row r="254">
          <cell r="A254">
            <v>4124</v>
          </cell>
          <cell r="B254" t="str">
            <v>ANCHAN IMMANUAL G.</v>
          </cell>
          <cell r="C254" t="str">
            <v>FBAB</v>
          </cell>
        </row>
        <row r="255">
          <cell r="A255">
            <v>5059</v>
          </cell>
          <cell r="B255" t="str">
            <v>KARKERA KRISHNA GOPAL</v>
          </cell>
          <cell r="C255" t="str">
            <v>FBAB</v>
          </cell>
        </row>
        <row r="256">
          <cell r="A256">
            <v>9427</v>
          </cell>
          <cell r="B256" t="str">
            <v>TANEJA RAHUL</v>
          </cell>
          <cell r="C256" t="str">
            <v>FBAB</v>
          </cell>
        </row>
        <row r="257">
          <cell r="A257">
            <v>9844</v>
          </cell>
          <cell r="B257" t="str">
            <v>KADAV ROHAN</v>
          </cell>
          <cell r="C257" t="str">
            <v>FBAB</v>
          </cell>
        </row>
        <row r="258">
          <cell r="A258">
            <v>10165</v>
          </cell>
          <cell r="B258" t="str">
            <v>BODKE SANTOSH</v>
          </cell>
          <cell r="C258" t="str">
            <v>FBAB</v>
          </cell>
        </row>
        <row r="259">
          <cell r="A259">
            <v>30843</v>
          </cell>
          <cell r="B259" t="str">
            <v>FERNANDES CLAYTON</v>
          </cell>
          <cell r="C259" t="str">
            <v>FBAB</v>
          </cell>
        </row>
        <row r="260">
          <cell r="A260">
            <v>30845</v>
          </cell>
          <cell r="B260" t="str">
            <v>DHANAK MILAP</v>
          </cell>
          <cell r="C260" t="str">
            <v>FBAB</v>
          </cell>
        </row>
        <row r="261">
          <cell r="A261">
            <v>31123</v>
          </cell>
          <cell r="B261" t="str">
            <v>PAREKAR AMIT</v>
          </cell>
          <cell r="C261" t="str">
            <v>FBAB</v>
          </cell>
        </row>
        <row r="262">
          <cell r="A262">
            <v>31125</v>
          </cell>
          <cell r="B262" t="str">
            <v>SHENVI HEMANT</v>
          </cell>
          <cell r="C262" t="str">
            <v>FBAB</v>
          </cell>
        </row>
        <row r="263">
          <cell r="A263">
            <v>31182</v>
          </cell>
          <cell r="B263" t="str">
            <v>PINCHEIRO CLARENCE</v>
          </cell>
          <cell r="C263" t="str">
            <v>FBAB</v>
          </cell>
        </row>
        <row r="264">
          <cell r="A264">
            <v>31376</v>
          </cell>
          <cell r="B264" t="str">
            <v>D'SOUZA JUAN</v>
          </cell>
          <cell r="C264" t="str">
            <v>FBAB</v>
          </cell>
        </row>
        <row r="265">
          <cell r="A265">
            <v>5023</v>
          </cell>
          <cell r="B265" t="str">
            <v>D,SOUZA T. NEWTON</v>
          </cell>
          <cell r="C265" t="str">
            <v>FBBH</v>
          </cell>
        </row>
        <row r="266">
          <cell r="A266">
            <v>5515</v>
          </cell>
          <cell r="B266" t="str">
            <v>PALAN JAYA SHANKAR</v>
          </cell>
          <cell r="C266" t="str">
            <v>FBBH</v>
          </cell>
        </row>
        <row r="267">
          <cell r="A267">
            <v>6111</v>
          </cell>
          <cell r="B267" t="str">
            <v>AHMED SHAIKH SAEED A.</v>
          </cell>
          <cell r="C267" t="str">
            <v>FBBH</v>
          </cell>
        </row>
        <row r="268">
          <cell r="A268">
            <v>10342</v>
          </cell>
          <cell r="B268" t="str">
            <v>NORONHA VINOD</v>
          </cell>
          <cell r="C268" t="str">
            <v>FBBH</v>
          </cell>
        </row>
        <row r="269">
          <cell r="A269">
            <v>10660</v>
          </cell>
          <cell r="B269" t="str">
            <v>KOTIAN SACHIN</v>
          </cell>
          <cell r="C269" t="str">
            <v>FBBH</v>
          </cell>
        </row>
        <row r="270">
          <cell r="A270">
            <v>1630</v>
          </cell>
          <cell r="B270" t="str">
            <v>SILVEIRA C.B.</v>
          </cell>
          <cell r="C270" t="str">
            <v>FBBQ</v>
          </cell>
        </row>
        <row r="271">
          <cell r="A271">
            <v>1958</v>
          </cell>
          <cell r="B271" t="str">
            <v>KADIR A. ABDUL</v>
          </cell>
          <cell r="C271" t="str">
            <v>FBBQ</v>
          </cell>
        </row>
        <row r="272">
          <cell r="A272">
            <v>2251</v>
          </cell>
          <cell r="B272" t="str">
            <v>NAIR MOHANAN M.</v>
          </cell>
          <cell r="C272" t="str">
            <v>FBBQ</v>
          </cell>
        </row>
        <row r="273">
          <cell r="A273">
            <v>2600</v>
          </cell>
          <cell r="B273" t="str">
            <v>IRANI BEHRAM</v>
          </cell>
          <cell r="C273" t="str">
            <v>FBBQ</v>
          </cell>
        </row>
        <row r="274">
          <cell r="A274">
            <v>2629</v>
          </cell>
          <cell r="B274" t="str">
            <v>GULIANA THAKURK.KESHAV</v>
          </cell>
          <cell r="C274" t="str">
            <v>FBBQ</v>
          </cell>
        </row>
        <row r="275">
          <cell r="A275">
            <v>2718</v>
          </cell>
          <cell r="B275" t="str">
            <v>KESHAV KRIPALRAJ</v>
          </cell>
          <cell r="C275" t="str">
            <v>FBBQ</v>
          </cell>
        </row>
        <row r="276">
          <cell r="A276">
            <v>2742</v>
          </cell>
          <cell r="B276" t="str">
            <v>REMJI MAHADEO BABU</v>
          </cell>
          <cell r="C276" t="str">
            <v>FBBQ</v>
          </cell>
        </row>
        <row r="277">
          <cell r="A277">
            <v>2791</v>
          </cell>
          <cell r="B277" t="str">
            <v>DESAI SADANAND R.</v>
          </cell>
          <cell r="C277" t="str">
            <v>FBBQ</v>
          </cell>
        </row>
        <row r="278">
          <cell r="A278">
            <v>2817</v>
          </cell>
          <cell r="B278" t="str">
            <v>JAGTAP BALKRISHNA DAGDU</v>
          </cell>
          <cell r="C278" t="str">
            <v>FBBQ</v>
          </cell>
        </row>
        <row r="279">
          <cell r="A279">
            <v>3054</v>
          </cell>
          <cell r="B279" t="str">
            <v>RIBEIRO WALTER ROQUE MR.</v>
          </cell>
          <cell r="C279" t="str">
            <v>FBBQ</v>
          </cell>
        </row>
        <row r="280">
          <cell r="A280">
            <v>3131</v>
          </cell>
          <cell r="B280" t="str">
            <v>RAO C.V.</v>
          </cell>
          <cell r="C280" t="str">
            <v>FBBQ</v>
          </cell>
        </row>
        <row r="281">
          <cell r="A281">
            <v>3185</v>
          </cell>
          <cell r="B281" t="str">
            <v>THOMAS M.T.</v>
          </cell>
          <cell r="C281" t="str">
            <v>FBBQ</v>
          </cell>
        </row>
        <row r="282">
          <cell r="A282">
            <v>3209</v>
          </cell>
          <cell r="B282" t="str">
            <v>JAGADE V.S.</v>
          </cell>
          <cell r="C282" t="str">
            <v>FBBQ</v>
          </cell>
        </row>
        <row r="283">
          <cell r="A283">
            <v>3292</v>
          </cell>
          <cell r="B283" t="str">
            <v>SATTAR DESHMUKH ABDUL</v>
          </cell>
          <cell r="C283" t="str">
            <v>FBBQ</v>
          </cell>
        </row>
        <row r="284">
          <cell r="A284">
            <v>3577</v>
          </cell>
          <cell r="B284" t="str">
            <v>BINGI GURUCHARAN</v>
          </cell>
          <cell r="C284" t="str">
            <v>FBBQ</v>
          </cell>
        </row>
        <row r="285">
          <cell r="A285">
            <v>3580</v>
          </cell>
          <cell r="B285" t="str">
            <v>GAIKWAD JAYANT M.</v>
          </cell>
          <cell r="C285" t="str">
            <v>FBBQ</v>
          </cell>
        </row>
        <row r="286">
          <cell r="A286">
            <v>3583</v>
          </cell>
          <cell r="B286" t="str">
            <v>PAWAR T.B.</v>
          </cell>
          <cell r="C286" t="str">
            <v>FBBQ</v>
          </cell>
        </row>
        <row r="287">
          <cell r="A287">
            <v>3616</v>
          </cell>
          <cell r="B287" t="str">
            <v>AKHTAR NAEEM</v>
          </cell>
          <cell r="C287" t="str">
            <v>FBBQ</v>
          </cell>
        </row>
        <row r="288">
          <cell r="A288">
            <v>4070</v>
          </cell>
          <cell r="B288" t="str">
            <v>MENDONCA JOHN PETER</v>
          </cell>
          <cell r="C288" t="str">
            <v>FBBQ</v>
          </cell>
        </row>
        <row r="289">
          <cell r="A289">
            <v>4084</v>
          </cell>
          <cell r="B289" t="str">
            <v>CHAVDA DARA R.</v>
          </cell>
          <cell r="C289" t="str">
            <v>FBBQ</v>
          </cell>
        </row>
        <row r="290">
          <cell r="A290">
            <v>4111</v>
          </cell>
          <cell r="B290" t="str">
            <v>PATIL RATAN M.</v>
          </cell>
          <cell r="C290" t="str">
            <v>FBBQ</v>
          </cell>
        </row>
        <row r="291">
          <cell r="A291">
            <v>4125</v>
          </cell>
          <cell r="B291" t="str">
            <v>FFRKANDEY N. BINGI</v>
          </cell>
          <cell r="C291" t="str">
            <v>FBBQ</v>
          </cell>
        </row>
        <row r="292">
          <cell r="A292">
            <v>4155</v>
          </cell>
          <cell r="B292" t="str">
            <v>JOSEPH PADAYATTY T.</v>
          </cell>
          <cell r="C292" t="str">
            <v>FBBQ</v>
          </cell>
        </row>
        <row r="293">
          <cell r="A293">
            <v>4220</v>
          </cell>
          <cell r="B293" t="str">
            <v>KADNE SUNIL S.</v>
          </cell>
          <cell r="C293" t="str">
            <v>FBBQ</v>
          </cell>
        </row>
        <row r="294">
          <cell r="A294">
            <v>4294</v>
          </cell>
          <cell r="B294" t="str">
            <v>MANE SURESH RAMCHANDRA</v>
          </cell>
          <cell r="C294" t="str">
            <v>FBBQ</v>
          </cell>
        </row>
        <row r="295">
          <cell r="A295">
            <v>4596</v>
          </cell>
          <cell r="B295" t="str">
            <v>FERNANDES VINCENT P.</v>
          </cell>
          <cell r="C295" t="str">
            <v>FBBQ</v>
          </cell>
        </row>
        <row r="296">
          <cell r="A296">
            <v>4650</v>
          </cell>
          <cell r="B296" t="str">
            <v>IRANI RUSI S.</v>
          </cell>
          <cell r="C296" t="str">
            <v>FBBQ</v>
          </cell>
        </row>
        <row r="297">
          <cell r="A297">
            <v>4674</v>
          </cell>
          <cell r="B297" t="str">
            <v>SAKPAL RAMCHANDRA</v>
          </cell>
          <cell r="C297" t="str">
            <v>FBBQ</v>
          </cell>
        </row>
        <row r="298">
          <cell r="A298">
            <v>4722</v>
          </cell>
          <cell r="B298" t="str">
            <v>FERNANDES HARICK W.</v>
          </cell>
          <cell r="C298" t="str">
            <v>FBBQ</v>
          </cell>
        </row>
        <row r="299">
          <cell r="A299">
            <v>4780</v>
          </cell>
          <cell r="B299" t="str">
            <v>LOBO LUCAS B.</v>
          </cell>
          <cell r="C299" t="str">
            <v>FBBQ</v>
          </cell>
        </row>
        <row r="300">
          <cell r="A300">
            <v>4796</v>
          </cell>
          <cell r="B300" t="str">
            <v>KSHIRSAGAR NATHU M.</v>
          </cell>
          <cell r="C300" t="str">
            <v>FBBQ</v>
          </cell>
        </row>
        <row r="301">
          <cell r="A301">
            <v>4979</v>
          </cell>
          <cell r="B301" t="str">
            <v>NEVES CARLITO A.</v>
          </cell>
          <cell r="C301" t="str">
            <v>FBBQ</v>
          </cell>
        </row>
        <row r="302">
          <cell r="A302">
            <v>5034</v>
          </cell>
          <cell r="B302" t="str">
            <v>GOVADIA NOSHIR C.</v>
          </cell>
          <cell r="C302" t="str">
            <v>FBBQ</v>
          </cell>
        </row>
        <row r="303">
          <cell r="A303">
            <v>5069</v>
          </cell>
          <cell r="B303" t="str">
            <v>PARDESHI L.KATAR SINGH</v>
          </cell>
          <cell r="C303" t="str">
            <v>FBBQ</v>
          </cell>
        </row>
        <row r="304">
          <cell r="A304">
            <v>5071</v>
          </cell>
          <cell r="B304" t="str">
            <v>ABDUL GAFFOOR K.DESHMUKH</v>
          </cell>
          <cell r="C304" t="str">
            <v>FBBQ</v>
          </cell>
        </row>
        <row r="305">
          <cell r="A305">
            <v>5117</v>
          </cell>
          <cell r="B305" t="str">
            <v>SHETTY EKNATH</v>
          </cell>
          <cell r="C305" t="str">
            <v>FBBQ</v>
          </cell>
        </row>
        <row r="306">
          <cell r="A306">
            <v>5163</v>
          </cell>
          <cell r="B306" t="str">
            <v>KARKERA MANOHR P.</v>
          </cell>
          <cell r="C306" t="str">
            <v>FBBQ</v>
          </cell>
        </row>
        <row r="307">
          <cell r="A307">
            <v>5339</v>
          </cell>
          <cell r="B307" t="str">
            <v>JADHAV VIJAY B.</v>
          </cell>
          <cell r="C307" t="str">
            <v>FBBQ</v>
          </cell>
        </row>
        <row r="308">
          <cell r="A308">
            <v>5404</v>
          </cell>
          <cell r="B308" t="str">
            <v>BOHRA KUNDAN SINGH</v>
          </cell>
          <cell r="C308" t="str">
            <v>FBBQ</v>
          </cell>
        </row>
        <row r="309">
          <cell r="A309">
            <v>5489</v>
          </cell>
          <cell r="B309" t="str">
            <v>REBELLO J.</v>
          </cell>
          <cell r="C309" t="str">
            <v>FBBQ</v>
          </cell>
        </row>
        <row r="310">
          <cell r="A310">
            <v>5544</v>
          </cell>
          <cell r="B310" t="str">
            <v>VAZ STANLEY</v>
          </cell>
          <cell r="C310" t="str">
            <v>FBBQ</v>
          </cell>
        </row>
        <row r="311">
          <cell r="A311">
            <v>5819</v>
          </cell>
          <cell r="B311" t="str">
            <v>SINGH B.P.</v>
          </cell>
          <cell r="C311" t="str">
            <v>FBBQ</v>
          </cell>
        </row>
        <row r="312">
          <cell r="A312">
            <v>5821</v>
          </cell>
          <cell r="B312" t="str">
            <v>BALMIK SHYAM SUNDER</v>
          </cell>
          <cell r="C312" t="str">
            <v>FBBQ</v>
          </cell>
        </row>
        <row r="313">
          <cell r="A313">
            <v>5823</v>
          </cell>
          <cell r="B313" t="str">
            <v>GULIANA MAHENDRA B.</v>
          </cell>
          <cell r="C313" t="str">
            <v>FBBQ</v>
          </cell>
        </row>
        <row r="314">
          <cell r="A314">
            <v>5827</v>
          </cell>
          <cell r="B314" t="str">
            <v>YADAV RAMJAG</v>
          </cell>
          <cell r="C314" t="str">
            <v>FBBQ</v>
          </cell>
        </row>
        <row r="315">
          <cell r="A315">
            <v>5829</v>
          </cell>
          <cell r="B315" t="str">
            <v>FERNANDES BERNARD</v>
          </cell>
          <cell r="C315" t="str">
            <v>FBBQ</v>
          </cell>
        </row>
        <row r="316">
          <cell r="A316">
            <v>5835</v>
          </cell>
          <cell r="B316" t="str">
            <v>MORE KAMLAKAR K.</v>
          </cell>
          <cell r="C316" t="str">
            <v>FBBQ</v>
          </cell>
        </row>
        <row r="317">
          <cell r="A317">
            <v>5899</v>
          </cell>
          <cell r="B317" t="str">
            <v>D,COSTA LANCY</v>
          </cell>
          <cell r="C317" t="str">
            <v>FBBQ</v>
          </cell>
        </row>
        <row r="318">
          <cell r="A318">
            <v>5913</v>
          </cell>
          <cell r="B318" t="str">
            <v>PARMAR YESHWANT D.</v>
          </cell>
          <cell r="C318" t="str">
            <v>FBBQ</v>
          </cell>
        </row>
        <row r="319">
          <cell r="A319">
            <v>5915</v>
          </cell>
          <cell r="B319" t="str">
            <v>SOLANKI K.R.</v>
          </cell>
          <cell r="C319" t="str">
            <v>FBBQ</v>
          </cell>
        </row>
        <row r="320">
          <cell r="A320">
            <v>5916</v>
          </cell>
          <cell r="B320" t="str">
            <v>RATHOD S.S.</v>
          </cell>
          <cell r="C320" t="str">
            <v>FBBQ</v>
          </cell>
        </row>
        <row r="321">
          <cell r="A321">
            <v>5918</v>
          </cell>
          <cell r="B321" t="str">
            <v>LOPES F.</v>
          </cell>
          <cell r="C321" t="str">
            <v>FBBQ</v>
          </cell>
        </row>
        <row r="322">
          <cell r="A322">
            <v>5968</v>
          </cell>
          <cell r="B322" t="str">
            <v>BASERA LAXMAN SINGH</v>
          </cell>
          <cell r="C322" t="str">
            <v>FBBQ</v>
          </cell>
        </row>
        <row r="323">
          <cell r="A323">
            <v>6225</v>
          </cell>
          <cell r="B323" t="str">
            <v>PATEL MOHAMMED ASLAM</v>
          </cell>
          <cell r="C323" t="str">
            <v>FBBQ</v>
          </cell>
        </row>
        <row r="324">
          <cell r="A324">
            <v>6229</v>
          </cell>
          <cell r="B324" t="str">
            <v>KSHIRSAGER K. M.</v>
          </cell>
          <cell r="C324" t="str">
            <v>FBBQ</v>
          </cell>
        </row>
        <row r="325">
          <cell r="A325">
            <v>6593</v>
          </cell>
          <cell r="B325" t="str">
            <v>DAROOWALA MANEK</v>
          </cell>
          <cell r="C325" t="str">
            <v>FBBQ</v>
          </cell>
        </row>
        <row r="326">
          <cell r="A326">
            <v>8230</v>
          </cell>
          <cell r="B326" t="str">
            <v>NORONHA PRIYA</v>
          </cell>
          <cell r="C326" t="str">
            <v>FBBQ</v>
          </cell>
        </row>
        <row r="327">
          <cell r="A327">
            <v>9000</v>
          </cell>
          <cell r="B327" t="str">
            <v>KINI JYOTI A.</v>
          </cell>
          <cell r="C327" t="str">
            <v>FBBQ</v>
          </cell>
        </row>
        <row r="328">
          <cell r="A328">
            <v>9176</v>
          </cell>
          <cell r="B328" t="str">
            <v>MONSORATE SHARON</v>
          </cell>
          <cell r="C328" t="str">
            <v>FBBQ</v>
          </cell>
        </row>
        <row r="329">
          <cell r="A329">
            <v>9225</v>
          </cell>
          <cell r="B329" t="str">
            <v>DESAI T.NEETU</v>
          </cell>
          <cell r="C329" t="str">
            <v>FBBQ</v>
          </cell>
        </row>
        <row r="330">
          <cell r="A330">
            <v>9328</v>
          </cell>
          <cell r="B330" t="str">
            <v>IRANI PORUSHASP J.</v>
          </cell>
          <cell r="C330" t="str">
            <v>FBBQ</v>
          </cell>
        </row>
        <row r="331">
          <cell r="A331">
            <v>9404</v>
          </cell>
          <cell r="B331" t="str">
            <v>BISNOI ALOK</v>
          </cell>
          <cell r="C331" t="str">
            <v>FBBQ</v>
          </cell>
        </row>
        <row r="332">
          <cell r="A332">
            <v>9600</v>
          </cell>
          <cell r="B332" t="str">
            <v>SHARMA AMAN</v>
          </cell>
          <cell r="C332" t="str">
            <v>FBBQ</v>
          </cell>
        </row>
        <row r="333">
          <cell r="A333">
            <v>10019</v>
          </cell>
          <cell r="B333" t="str">
            <v>LOPES DAVIS</v>
          </cell>
          <cell r="C333" t="str">
            <v>FBBQ</v>
          </cell>
        </row>
        <row r="334">
          <cell r="A334">
            <v>10147</v>
          </cell>
          <cell r="B334" t="str">
            <v>D'SOUZA AGNELO</v>
          </cell>
          <cell r="C334" t="str">
            <v>FBBQ</v>
          </cell>
        </row>
        <row r="335">
          <cell r="A335">
            <v>10162</v>
          </cell>
          <cell r="B335" t="str">
            <v>BHIMWAL JUJJAWAL</v>
          </cell>
          <cell r="C335" t="str">
            <v>FBBQ</v>
          </cell>
        </row>
        <row r="336">
          <cell r="A336">
            <v>10338</v>
          </cell>
          <cell r="B336" t="str">
            <v>MARQUES MARINA</v>
          </cell>
          <cell r="C336" t="str">
            <v>FBBQ</v>
          </cell>
        </row>
        <row r="337">
          <cell r="A337">
            <v>10356</v>
          </cell>
          <cell r="B337" t="str">
            <v>DAS LIPIKA</v>
          </cell>
          <cell r="C337" t="str">
            <v>FBBQ</v>
          </cell>
        </row>
        <row r="338">
          <cell r="A338">
            <v>10591</v>
          </cell>
          <cell r="B338" t="str">
            <v>PATHRIKAR DEEPALI</v>
          </cell>
          <cell r="C338" t="str">
            <v>FBBQ</v>
          </cell>
        </row>
        <row r="339">
          <cell r="A339">
            <v>10629</v>
          </cell>
          <cell r="B339" t="str">
            <v>KOTHARI KUNAL</v>
          </cell>
          <cell r="C339" t="str">
            <v>FBBQ</v>
          </cell>
        </row>
        <row r="340">
          <cell r="A340">
            <v>10674</v>
          </cell>
          <cell r="B340" t="str">
            <v>KHOSLA ISHRAT</v>
          </cell>
          <cell r="C340" t="str">
            <v>FBBQ</v>
          </cell>
        </row>
        <row r="341">
          <cell r="A341">
            <v>10720</v>
          </cell>
          <cell r="B341" t="str">
            <v>KHARE SAMEER</v>
          </cell>
          <cell r="C341" t="str">
            <v>FBBQ</v>
          </cell>
        </row>
        <row r="342">
          <cell r="A342">
            <v>30443</v>
          </cell>
          <cell r="B342" t="str">
            <v>KAHAN JAVED</v>
          </cell>
          <cell r="C342" t="str">
            <v>FBBQ</v>
          </cell>
        </row>
        <row r="343">
          <cell r="A343">
            <v>30468</v>
          </cell>
          <cell r="B343" t="str">
            <v>DEVADASON ASHWIN</v>
          </cell>
          <cell r="C343" t="str">
            <v>FBBQ</v>
          </cell>
        </row>
        <row r="344">
          <cell r="A344">
            <v>30803</v>
          </cell>
          <cell r="B344" t="str">
            <v>REBELLO FLYNN</v>
          </cell>
          <cell r="C344" t="str">
            <v>FBBQ</v>
          </cell>
        </row>
        <row r="345">
          <cell r="A345">
            <v>30806</v>
          </cell>
          <cell r="B345" t="str">
            <v>D'SOUZA VALENTINE</v>
          </cell>
          <cell r="C345" t="str">
            <v>FBBQ</v>
          </cell>
        </row>
        <row r="346">
          <cell r="A346">
            <v>30813</v>
          </cell>
          <cell r="B346" t="str">
            <v>FERNANDES DOLRECH</v>
          </cell>
          <cell r="C346" t="str">
            <v>FBBQ</v>
          </cell>
        </row>
        <row r="347">
          <cell r="A347">
            <v>30820</v>
          </cell>
          <cell r="B347" t="str">
            <v>FERNANDES DARRYL</v>
          </cell>
          <cell r="C347" t="str">
            <v>FBBQ</v>
          </cell>
        </row>
        <row r="348">
          <cell r="A348">
            <v>30823</v>
          </cell>
          <cell r="B348" t="str">
            <v>D'SOUZA SAVIO</v>
          </cell>
          <cell r="C348" t="str">
            <v>FBBQ</v>
          </cell>
        </row>
        <row r="349">
          <cell r="A349">
            <v>30825</v>
          </cell>
          <cell r="B349" t="str">
            <v>DIAS GILROY</v>
          </cell>
          <cell r="C349" t="str">
            <v>FBBQ</v>
          </cell>
        </row>
        <row r="350">
          <cell r="A350">
            <v>30830</v>
          </cell>
          <cell r="B350" t="str">
            <v>FERNANDES JUDE</v>
          </cell>
          <cell r="C350" t="str">
            <v>FBBQ</v>
          </cell>
        </row>
        <row r="351">
          <cell r="A351">
            <v>30835</v>
          </cell>
          <cell r="B351" t="str">
            <v>CRASTO FRANCIS</v>
          </cell>
          <cell r="C351" t="str">
            <v>FBBQ</v>
          </cell>
        </row>
        <row r="352">
          <cell r="A352">
            <v>30836</v>
          </cell>
          <cell r="B352" t="str">
            <v>GER LLOYD</v>
          </cell>
          <cell r="C352" t="str">
            <v>FBBQ</v>
          </cell>
        </row>
        <row r="353">
          <cell r="A353">
            <v>30841</v>
          </cell>
          <cell r="B353" t="str">
            <v>SOANS ELVIS</v>
          </cell>
          <cell r="C353" t="str">
            <v>FBBQ</v>
          </cell>
        </row>
        <row r="354">
          <cell r="A354">
            <v>30867</v>
          </cell>
          <cell r="B354" t="str">
            <v>COUTINHO GREVILLE PAUL</v>
          </cell>
          <cell r="C354" t="str">
            <v>FBBQ</v>
          </cell>
        </row>
        <row r="355">
          <cell r="A355">
            <v>30868</v>
          </cell>
          <cell r="B355" t="str">
            <v>VAZ SHAWN</v>
          </cell>
          <cell r="C355" t="str">
            <v>FBBQ</v>
          </cell>
        </row>
        <row r="356">
          <cell r="A356">
            <v>30885</v>
          </cell>
          <cell r="B356" t="str">
            <v>CHANDER HEMANT</v>
          </cell>
          <cell r="C356" t="str">
            <v>FBBQ</v>
          </cell>
        </row>
        <row r="357">
          <cell r="A357">
            <v>30887</v>
          </cell>
          <cell r="B357" t="str">
            <v>KHAIRE PRASANJEET</v>
          </cell>
          <cell r="C357" t="str">
            <v>FBBQ</v>
          </cell>
        </row>
        <row r="358">
          <cell r="A358">
            <v>30888</v>
          </cell>
          <cell r="B358" t="str">
            <v>VELSO ARNOLD</v>
          </cell>
          <cell r="C358" t="str">
            <v>FBBQ</v>
          </cell>
        </row>
        <row r="359">
          <cell r="A359">
            <v>30889</v>
          </cell>
          <cell r="B359" t="str">
            <v>GURSON FLAVIAN</v>
          </cell>
          <cell r="C359" t="str">
            <v>FBBQ</v>
          </cell>
        </row>
        <row r="360">
          <cell r="A360">
            <v>30891</v>
          </cell>
          <cell r="B360" t="str">
            <v>DESHMUKH SHAHZAAD</v>
          </cell>
          <cell r="C360" t="str">
            <v>FBBQ</v>
          </cell>
        </row>
        <row r="361">
          <cell r="A361">
            <v>30893</v>
          </cell>
          <cell r="B361" t="str">
            <v>DESHMUKH SHOYEB</v>
          </cell>
          <cell r="C361" t="str">
            <v>FBBQ</v>
          </cell>
        </row>
        <row r="362">
          <cell r="A362">
            <v>30895</v>
          </cell>
          <cell r="B362" t="str">
            <v>DIAS NOEL</v>
          </cell>
          <cell r="C362" t="str">
            <v>FBBQ</v>
          </cell>
        </row>
        <row r="363">
          <cell r="A363">
            <v>31110</v>
          </cell>
          <cell r="B363" t="str">
            <v>ALMEIDA IVAN</v>
          </cell>
          <cell r="C363" t="str">
            <v>FBBQ</v>
          </cell>
        </row>
        <row r="364">
          <cell r="A364">
            <v>31115</v>
          </cell>
          <cell r="B364" t="str">
            <v>DULGAI VIJENDRA</v>
          </cell>
          <cell r="C364" t="str">
            <v>FBBQ</v>
          </cell>
        </row>
        <row r="365">
          <cell r="A365">
            <v>31155</v>
          </cell>
          <cell r="B365" t="str">
            <v>BHUHANAPALLI MADUSUDAN</v>
          </cell>
          <cell r="C365" t="str">
            <v>FBBQ</v>
          </cell>
        </row>
        <row r="366">
          <cell r="A366">
            <v>31157</v>
          </cell>
          <cell r="B366" t="str">
            <v>D'SILVA LESLEID</v>
          </cell>
          <cell r="C366" t="str">
            <v>FBBQ</v>
          </cell>
        </row>
        <row r="367">
          <cell r="A367">
            <v>31159</v>
          </cell>
          <cell r="B367" t="str">
            <v>D'SOUZA ROMANO</v>
          </cell>
          <cell r="C367" t="str">
            <v>FBBQ</v>
          </cell>
        </row>
        <row r="368">
          <cell r="A368">
            <v>31166</v>
          </cell>
          <cell r="B368" t="str">
            <v>D'SILVA RONNY</v>
          </cell>
          <cell r="C368" t="str">
            <v>FBBQ</v>
          </cell>
        </row>
        <row r="369">
          <cell r="A369">
            <v>31181</v>
          </cell>
          <cell r="B369" t="str">
            <v>BHOSALE AMIT</v>
          </cell>
          <cell r="C369" t="str">
            <v>FBBQ</v>
          </cell>
        </row>
        <row r="370">
          <cell r="A370">
            <v>31188</v>
          </cell>
          <cell r="B370" t="str">
            <v>JADHAV JITENDRA</v>
          </cell>
          <cell r="C370" t="str">
            <v>FBBQ</v>
          </cell>
        </row>
        <row r="371">
          <cell r="A371">
            <v>31198</v>
          </cell>
          <cell r="B371" t="str">
            <v>DESHMUKH SARFARAZ</v>
          </cell>
          <cell r="C371" t="str">
            <v>FBBQ</v>
          </cell>
        </row>
        <row r="372">
          <cell r="A372">
            <v>31303</v>
          </cell>
          <cell r="B372" t="str">
            <v>RODRIQUES RICHARD</v>
          </cell>
          <cell r="C372" t="str">
            <v>FBBQ</v>
          </cell>
        </row>
        <row r="373">
          <cell r="A373">
            <v>31305</v>
          </cell>
          <cell r="B373" t="str">
            <v>BISWAS ABHIJIT</v>
          </cell>
          <cell r="C373" t="str">
            <v>FBBQ</v>
          </cell>
        </row>
        <row r="374">
          <cell r="A374">
            <v>31306</v>
          </cell>
          <cell r="B374" t="str">
            <v>BORKAR ABHIJIT</v>
          </cell>
          <cell r="C374" t="str">
            <v>FBBQ</v>
          </cell>
        </row>
        <row r="375">
          <cell r="A375">
            <v>31307</v>
          </cell>
          <cell r="B375" t="str">
            <v>SAHA AMIT</v>
          </cell>
          <cell r="C375" t="str">
            <v>FBBQ</v>
          </cell>
        </row>
        <row r="376">
          <cell r="A376">
            <v>31313</v>
          </cell>
          <cell r="B376" t="str">
            <v>THAKUR RAJESHWAR</v>
          </cell>
          <cell r="C376" t="str">
            <v>FBBQ</v>
          </cell>
        </row>
        <row r="377">
          <cell r="A377">
            <v>31314</v>
          </cell>
          <cell r="B377" t="str">
            <v>RODRIDQUES RAKESH</v>
          </cell>
          <cell r="C377" t="str">
            <v>FBBQ</v>
          </cell>
        </row>
        <row r="378">
          <cell r="A378">
            <v>31320</v>
          </cell>
          <cell r="B378" t="str">
            <v>SUVARNA SANDEEP S.</v>
          </cell>
          <cell r="C378" t="str">
            <v>FBBQ</v>
          </cell>
        </row>
        <row r="379">
          <cell r="A379">
            <v>31325</v>
          </cell>
          <cell r="B379" t="str">
            <v>FARGOSE PRAVIN</v>
          </cell>
          <cell r="C379" t="str">
            <v>FBBQ</v>
          </cell>
        </row>
        <row r="380">
          <cell r="A380">
            <v>31329</v>
          </cell>
          <cell r="B380" t="str">
            <v>MIRZA JAFFER</v>
          </cell>
          <cell r="C380" t="str">
            <v>FBBQ</v>
          </cell>
        </row>
        <row r="381">
          <cell r="A381">
            <v>31342</v>
          </cell>
          <cell r="B381" t="str">
            <v>SALDANHA AUSTIN</v>
          </cell>
          <cell r="C381" t="str">
            <v>FBBQ</v>
          </cell>
        </row>
        <row r="382">
          <cell r="A382">
            <v>31356</v>
          </cell>
          <cell r="B382" t="str">
            <v>SHIVALKAR SAMIR</v>
          </cell>
          <cell r="C382" t="str">
            <v>FBBQ</v>
          </cell>
        </row>
        <row r="383">
          <cell r="A383">
            <v>31358</v>
          </cell>
          <cell r="B383" t="str">
            <v>ALMEIDA SNEDDEN</v>
          </cell>
          <cell r="C383" t="str">
            <v>FBBQ</v>
          </cell>
        </row>
        <row r="384">
          <cell r="A384">
            <v>31365</v>
          </cell>
          <cell r="B384" t="str">
            <v>SHINDE VIJAY</v>
          </cell>
          <cell r="C384" t="str">
            <v>FBBQ</v>
          </cell>
        </row>
        <row r="385">
          <cell r="A385">
            <v>31366</v>
          </cell>
          <cell r="B385" t="str">
            <v>VYAS SAMEER</v>
          </cell>
          <cell r="C385" t="str">
            <v>FBBQ</v>
          </cell>
        </row>
        <row r="386">
          <cell r="A386">
            <v>1959</v>
          </cell>
          <cell r="B386" t="str">
            <v>PANCHAL GOVIND R.</v>
          </cell>
          <cell r="C386" t="str">
            <v>FBCH</v>
          </cell>
        </row>
        <row r="387">
          <cell r="A387">
            <v>2814</v>
          </cell>
          <cell r="B387" t="str">
            <v>ABDUL HAKIM</v>
          </cell>
          <cell r="C387" t="str">
            <v>FBCH</v>
          </cell>
        </row>
        <row r="388">
          <cell r="A388">
            <v>3456</v>
          </cell>
          <cell r="B388" t="str">
            <v>DCOSTA  PATRICK</v>
          </cell>
          <cell r="C388" t="str">
            <v>FBCH</v>
          </cell>
        </row>
        <row r="389">
          <cell r="A389">
            <v>4210</v>
          </cell>
          <cell r="B389" t="str">
            <v>FERNANDES ALEX JOHN</v>
          </cell>
          <cell r="C389" t="str">
            <v>FBCH</v>
          </cell>
        </row>
        <row r="390">
          <cell r="A390">
            <v>4518</v>
          </cell>
          <cell r="B390" t="str">
            <v>FERNANDES NICHOLAS</v>
          </cell>
          <cell r="C390" t="str">
            <v>FBCH</v>
          </cell>
        </row>
        <row r="391">
          <cell r="A391">
            <v>4721</v>
          </cell>
          <cell r="B391" t="str">
            <v>THOMAS VERGHES</v>
          </cell>
          <cell r="C391" t="str">
            <v>FBCH</v>
          </cell>
        </row>
        <row r="392">
          <cell r="A392">
            <v>6207</v>
          </cell>
          <cell r="B392" t="str">
            <v>SIMPI SENPANDU R.</v>
          </cell>
          <cell r="C392" t="str">
            <v>FBCH</v>
          </cell>
        </row>
        <row r="393">
          <cell r="A393">
            <v>6581</v>
          </cell>
          <cell r="B393" t="str">
            <v>FERNANDES ANDREW ALEX</v>
          </cell>
          <cell r="C393" t="str">
            <v>FBCH</v>
          </cell>
        </row>
        <row r="394">
          <cell r="A394">
            <v>6832</v>
          </cell>
          <cell r="B394" t="str">
            <v>FERNANDES MAFALDINA</v>
          </cell>
          <cell r="C394" t="str">
            <v>FBCH</v>
          </cell>
        </row>
        <row r="395">
          <cell r="A395">
            <v>8239</v>
          </cell>
          <cell r="B395" t="str">
            <v>SAMPAT PANKAJ HEMENDRA</v>
          </cell>
          <cell r="C395" t="str">
            <v>FBCH</v>
          </cell>
        </row>
        <row r="396">
          <cell r="A396">
            <v>8529</v>
          </cell>
          <cell r="B396" t="str">
            <v>RANJEET RAJEBHOY</v>
          </cell>
          <cell r="C396" t="str">
            <v>FBCH</v>
          </cell>
        </row>
        <row r="397">
          <cell r="A397">
            <v>9178</v>
          </cell>
          <cell r="B397" t="str">
            <v>KALAMBASTE NARESH</v>
          </cell>
          <cell r="C397" t="str">
            <v>FBCH</v>
          </cell>
        </row>
        <row r="398">
          <cell r="A398">
            <v>9347</v>
          </cell>
          <cell r="B398" t="str">
            <v>KUDARAVALLI POORNIMA</v>
          </cell>
          <cell r="C398" t="str">
            <v>FBCH</v>
          </cell>
        </row>
        <row r="399">
          <cell r="A399">
            <v>9513</v>
          </cell>
          <cell r="B399" t="str">
            <v>KOLI SHASHINATH NARAYAN</v>
          </cell>
          <cell r="C399" t="str">
            <v>FBCH</v>
          </cell>
        </row>
        <row r="400">
          <cell r="A400">
            <v>10167</v>
          </cell>
          <cell r="B400" t="str">
            <v>RADHAKRISHNAN SANDEEP</v>
          </cell>
          <cell r="C400" t="str">
            <v>FBCH</v>
          </cell>
        </row>
        <row r="401">
          <cell r="A401">
            <v>10690</v>
          </cell>
          <cell r="B401" t="str">
            <v>BHANA VEENA</v>
          </cell>
          <cell r="C401" t="str">
            <v>FBCH</v>
          </cell>
        </row>
        <row r="402">
          <cell r="A402">
            <v>30457</v>
          </cell>
          <cell r="B402" t="str">
            <v>RUSTOMJEE FARZAD</v>
          </cell>
          <cell r="C402" t="str">
            <v>FBCH</v>
          </cell>
        </row>
        <row r="403">
          <cell r="A403">
            <v>30805</v>
          </cell>
          <cell r="B403" t="str">
            <v>KANDALKAR DINESH R.</v>
          </cell>
          <cell r="C403" t="str">
            <v>FBCH</v>
          </cell>
        </row>
        <row r="404">
          <cell r="A404">
            <v>30812</v>
          </cell>
          <cell r="B404" t="str">
            <v>RAO VIKRAM</v>
          </cell>
          <cell r="C404" t="str">
            <v>FBCH</v>
          </cell>
        </row>
        <row r="405">
          <cell r="A405">
            <v>30831</v>
          </cell>
          <cell r="B405" t="str">
            <v>SALDANHA ELDRIGDES</v>
          </cell>
          <cell r="C405" t="str">
            <v>FBCH</v>
          </cell>
        </row>
        <row r="406">
          <cell r="A406">
            <v>30861</v>
          </cell>
          <cell r="B406" t="str">
            <v>IGATPURIKAR CHETAN</v>
          </cell>
          <cell r="C406" t="str">
            <v>FBCH</v>
          </cell>
        </row>
        <row r="407">
          <cell r="A407">
            <v>30870</v>
          </cell>
          <cell r="B407" t="str">
            <v>SETH RAHUL</v>
          </cell>
          <cell r="C407" t="str">
            <v>FBCH</v>
          </cell>
        </row>
        <row r="408">
          <cell r="A408">
            <v>31103</v>
          </cell>
          <cell r="B408" t="str">
            <v>TIPNIS ANKUR S</v>
          </cell>
          <cell r="C408" t="str">
            <v>FBCH</v>
          </cell>
        </row>
        <row r="409">
          <cell r="A409">
            <v>31151</v>
          </cell>
          <cell r="B409" t="str">
            <v>BALI NITIN</v>
          </cell>
          <cell r="C409" t="str">
            <v>FBCH</v>
          </cell>
        </row>
        <row r="410">
          <cell r="A410">
            <v>31193</v>
          </cell>
          <cell r="B410" t="str">
            <v>CORNELLO NOEL</v>
          </cell>
          <cell r="C410" t="str">
            <v>FBCH</v>
          </cell>
        </row>
        <row r="411">
          <cell r="A411">
            <v>31345</v>
          </cell>
          <cell r="B411" t="str">
            <v>SHINGHARE GAJENDRA</v>
          </cell>
          <cell r="C411" t="str">
            <v>FBCH</v>
          </cell>
        </row>
        <row r="412">
          <cell r="A412">
            <v>31350</v>
          </cell>
          <cell r="B412" t="str">
            <v>MONTERIO NAVIN</v>
          </cell>
          <cell r="C412" t="str">
            <v>FBCH</v>
          </cell>
        </row>
        <row r="413">
          <cell r="A413">
            <v>2123</v>
          </cell>
          <cell r="B413" t="str">
            <v>JAGTAP SUDAM BHIKOO</v>
          </cell>
          <cell r="C413" t="str">
            <v>FBGD</v>
          </cell>
        </row>
        <row r="414">
          <cell r="A414">
            <v>2707</v>
          </cell>
          <cell r="B414" t="str">
            <v>D,SOUZA JOSEPH</v>
          </cell>
          <cell r="C414" t="str">
            <v>FBGD</v>
          </cell>
        </row>
        <row r="415">
          <cell r="A415">
            <v>3293</v>
          </cell>
          <cell r="B415" t="str">
            <v>PATEL ABDUL MAZID</v>
          </cell>
          <cell r="C415" t="str">
            <v>FBGD</v>
          </cell>
        </row>
        <row r="416">
          <cell r="A416">
            <v>3436</v>
          </cell>
          <cell r="B416" t="str">
            <v>FERNANDES PATRICK GABRIEL</v>
          </cell>
          <cell r="C416" t="str">
            <v>FBGD</v>
          </cell>
        </row>
        <row r="417">
          <cell r="A417">
            <v>4129</v>
          </cell>
          <cell r="B417" t="str">
            <v>YELVE YESHWANT</v>
          </cell>
          <cell r="C417" t="str">
            <v>FBGD</v>
          </cell>
        </row>
        <row r="418">
          <cell r="A418">
            <v>4927</v>
          </cell>
          <cell r="B418" t="str">
            <v>D,MELLO RONALD</v>
          </cell>
          <cell r="C418" t="str">
            <v>FBGD</v>
          </cell>
        </row>
        <row r="419">
          <cell r="A419">
            <v>4980</v>
          </cell>
          <cell r="B419" t="str">
            <v>COUTINHO O. JASCINTO</v>
          </cell>
          <cell r="C419" t="str">
            <v>FBGD</v>
          </cell>
        </row>
        <row r="420">
          <cell r="A420">
            <v>5305</v>
          </cell>
          <cell r="B420" t="str">
            <v>ROSARIO ANTHONY</v>
          </cell>
          <cell r="C420" t="str">
            <v>FBGD</v>
          </cell>
        </row>
        <row r="421">
          <cell r="A421">
            <v>5308</v>
          </cell>
          <cell r="B421" t="str">
            <v>D,MELLO PETER D.</v>
          </cell>
          <cell r="C421" t="str">
            <v>FBGD</v>
          </cell>
        </row>
        <row r="422">
          <cell r="A422">
            <v>5366</v>
          </cell>
          <cell r="B422" t="str">
            <v>BATLIWALLA PERCY M.</v>
          </cell>
          <cell r="C422" t="str">
            <v>FBGD</v>
          </cell>
        </row>
        <row r="423">
          <cell r="A423">
            <v>5824</v>
          </cell>
          <cell r="B423" t="str">
            <v>SHINDE BABAN</v>
          </cell>
          <cell r="C423" t="str">
            <v>FBGD</v>
          </cell>
        </row>
        <row r="424">
          <cell r="A424">
            <v>5825</v>
          </cell>
          <cell r="B424" t="str">
            <v>ABIBOOR REHMAN</v>
          </cell>
          <cell r="C424" t="str">
            <v>FBGD</v>
          </cell>
        </row>
        <row r="425">
          <cell r="A425">
            <v>5832</v>
          </cell>
          <cell r="B425" t="str">
            <v>REMJI RAJARAM</v>
          </cell>
          <cell r="C425" t="str">
            <v>FBGD</v>
          </cell>
        </row>
        <row r="426">
          <cell r="A426">
            <v>6499</v>
          </cell>
          <cell r="B426" t="str">
            <v>JOSHI GURDATTA R.</v>
          </cell>
          <cell r="C426" t="str">
            <v>FBGD</v>
          </cell>
        </row>
        <row r="427">
          <cell r="A427">
            <v>7806</v>
          </cell>
          <cell r="B427" t="str">
            <v>GHAG KAMLESH</v>
          </cell>
          <cell r="C427" t="str">
            <v>FBGD</v>
          </cell>
        </row>
        <row r="428">
          <cell r="A428">
            <v>8817</v>
          </cell>
          <cell r="B428" t="str">
            <v>RAKESH MISHRA</v>
          </cell>
          <cell r="C428" t="str">
            <v>FBGD</v>
          </cell>
        </row>
        <row r="429">
          <cell r="A429">
            <v>9206</v>
          </cell>
          <cell r="B429" t="str">
            <v>HIMANSHU Z.PATEL</v>
          </cell>
          <cell r="C429" t="str">
            <v>FBGD</v>
          </cell>
        </row>
        <row r="430">
          <cell r="A430">
            <v>9729</v>
          </cell>
          <cell r="B430" t="str">
            <v>YENNEMADI MILIND</v>
          </cell>
          <cell r="C430" t="str">
            <v>FBGD</v>
          </cell>
        </row>
        <row r="431">
          <cell r="A431">
            <v>10166</v>
          </cell>
          <cell r="B431" t="str">
            <v>ZACK JAMSHID C</v>
          </cell>
          <cell r="C431" t="str">
            <v>FBGD</v>
          </cell>
        </row>
        <row r="432">
          <cell r="A432">
            <v>10323</v>
          </cell>
          <cell r="B432" t="str">
            <v>PEREIRA GLEN</v>
          </cell>
          <cell r="C432" t="str">
            <v>FBGD</v>
          </cell>
        </row>
        <row r="433">
          <cell r="A433">
            <v>10827</v>
          </cell>
          <cell r="B433" t="str">
            <v>MAHONAO RINCHUI</v>
          </cell>
          <cell r="C433" t="str">
            <v>FBGD</v>
          </cell>
        </row>
        <row r="434">
          <cell r="A434">
            <v>30814</v>
          </cell>
          <cell r="B434" t="str">
            <v>D'SOUZA RYAN</v>
          </cell>
          <cell r="C434" t="str">
            <v>FBGD</v>
          </cell>
        </row>
        <row r="435">
          <cell r="A435">
            <v>30829</v>
          </cell>
          <cell r="B435" t="str">
            <v>PEREIRA MELROY</v>
          </cell>
          <cell r="C435" t="str">
            <v>FBGD</v>
          </cell>
        </row>
        <row r="436">
          <cell r="A436">
            <v>30883</v>
          </cell>
          <cell r="B436" t="str">
            <v>D'SILVA SHELDON</v>
          </cell>
          <cell r="C436" t="str">
            <v>FBGD</v>
          </cell>
        </row>
        <row r="437">
          <cell r="A437">
            <v>31171</v>
          </cell>
          <cell r="B437" t="str">
            <v>D'SOUZA ANTHONY</v>
          </cell>
          <cell r="C437" t="str">
            <v>FBGD</v>
          </cell>
        </row>
        <row r="438">
          <cell r="A438">
            <v>1955</v>
          </cell>
          <cell r="B438" t="str">
            <v>VICHARE ASHOK TUKARAM</v>
          </cell>
          <cell r="C438" t="str">
            <v>FBHB</v>
          </cell>
        </row>
        <row r="439">
          <cell r="A439">
            <v>2195</v>
          </cell>
          <cell r="B439" t="str">
            <v>DIAS MONTHU</v>
          </cell>
          <cell r="C439" t="str">
            <v>FBHB</v>
          </cell>
        </row>
        <row r="440">
          <cell r="A440">
            <v>2815</v>
          </cell>
          <cell r="B440" t="str">
            <v>SHIRKE JANARDHAN</v>
          </cell>
          <cell r="C440" t="str">
            <v>FBHB</v>
          </cell>
        </row>
        <row r="441">
          <cell r="A441">
            <v>3149</v>
          </cell>
          <cell r="B441" t="str">
            <v>POOJARI UDAY K.</v>
          </cell>
          <cell r="C441" t="str">
            <v>FBHB</v>
          </cell>
        </row>
        <row r="442">
          <cell r="A442">
            <v>4310</v>
          </cell>
          <cell r="B442" t="str">
            <v>MISTRY DARA TEHMTON</v>
          </cell>
          <cell r="C442" t="str">
            <v>FBHB</v>
          </cell>
        </row>
        <row r="443">
          <cell r="A443">
            <v>4642</v>
          </cell>
          <cell r="B443" t="str">
            <v>UMAKANT K.</v>
          </cell>
          <cell r="C443" t="str">
            <v>FBHB</v>
          </cell>
        </row>
        <row r="444">
          <cell r="A444">
            <v>5110</v>
          </cell>
          <cell r="B444" t="str">
            <v>CHASKAR A.D.</v>
          </cell>
          <cell r="C444" t="str">
            <v>FBHB</v>
          </cell>
        </row>
        <row r="445">
          <cell r="A445">
            <v>8941</v>
          </cell>
          <cell r="B445" t="str">
            <v>BALLANEY DEEPAK</v>
          </cell>
          <cell r="C445" t="str">
            <v>FBHB</v>
          </cell>
        </row>
        <row r="446">
          <cell r="A446">
            <v>10146</v>
          </cell>
          <cell r="B446" t="str">
            <v>D'SOUZA SAMSON</v>
          </cell>
          <cell r="C446" t="str">
            <v>FBHB</v>
          </cell>
        </row>
        <row r="447">
          <cell r="A447">
            <v>31109</v>
          </cell>
          <cell r="B447" t="str">
            <v>PAITHANKAR BHARAT</v>
          </cell>
          <cell r="C447" t="str">
            <v>FBHB</v>
          </cell>
        </row>
        <row r="448">
          <cell r="A448">
            <v>31114</v>
          </cell>
          <cell r="B448" t="str">
            <v>QUADROS GLADWYN M</v>
          </cell>
          <cell r="C448" t="str">
            <v>FBHB</v>
          </cell>
        </row>
        <row r="449">
          <cell r="A449">
            <v>1866</v>
          </cell>
          <cell r="B449" t="str">
            <v>NARSEY JAYSINGHBHAI</v>
          </cell>
          <cell r="C449" t="str">
            <v>FBRS</v>
          </cell>
        </row>
        <row r="450">
          <cell r="A450">
            <v>2110</v>
          </cell>
          <cell r="B450" t="str">
            <v>KARIM ABDUL</v>
          </cell>
          <cell r="C450" t="str">
            <v>FBRS</v>
          </cell>
        </row>
        <row r="451">
          <cell r="A451">
            <v>2690</v>
          </cell>
          <cell r="B451" t="str">
            <v>TAMBE MARUTI K.</v>
          </cell>
          <cell r="C451" t="str">
            <v>FBRS</v>
          </cell>
        </row>
        <row r="452">
          <cell r="A452">
            <v>2694</v>
          </cell>
          <cell r="B452" t="str">
            <v>CHASKER DATTATRAY</v>
          </cell>
          <cell r="C452" t="str">
            <v>FBRS</v>
          </cell>
        </row>
        <row r="453">
          <cell r="A453">
            <v>2747</v>
          </cell>
          <cell r="B453" t="str">
            <v>SHINDE D.V.</v>
          </cell>
          <cell r="C453" t="str">
            <v>FBRS</v>
          </cell>
        </row>
        <row r="454">
          <cell r="A454">
            <v>2811</v>
          </cell>
          <cell r="B454" t="str">
            <v>MALI P.N.</v>
          </cell>
          <cell r="C454" t="str">
            <v>FBRS</v>
          </cell>
        </row>
        <row r="455">
          <cell r="A455">
            <v>2972</v>
          </cell>
          <cell r="B455" t="str">
            <v>GOLLA RAMCHANDRA</v>
          </cell>
          <cell r="C455" t="str">
            <v>FBRS</v>
          </cell>
        </row>
        <row r="456">
          <cell r="A456">
            <v>3088</v>
          </cell>
          <cell r="B456" t="str">
            <v>GHOLAP ANANT S.</v>
          </cell>
          <cell r="C456" t="str">
            <v>FBRS</v>
          </cell>
        </row>
        <row r="457">
          <cell r="A457">
            <v>3294</v>
          </cell>
          <cell r="B457" t="str">
            <v>UTEKAR CHANDRAKANT</v>
          </cell>
          <cell r="C457" t="str">
            <v>FBRS</v>
          </cell>
        </row>
        <row r="458">
          <cell r="A458">
            <v>3308</v>
          </cell>
          <cell r="B458" t="str">
            <v>AHMAD HAFIZ S.</v>
          </cell>
          <cell r="C458" t="str">
            <v>FBRS</v>
          </cell>
        </row>
        <row r="459">
          <cell r="A459">
            <v>3367</v>
          </cell>
          <cell r="B459" t="str">
            <v>SHAIKH Z.S.</v>
          </cell>
          <cell r="C459" t="str">
            <v>FBRS</v>
          </cell>
        </row>
        <row r="460">
          <cell r="A460">
            <v>3381</v>
          </cell>
          <cell r="B460" t="str">
            <v>JADHAV SHIVRAM B.</v>
          </cell>
          <cell r="C460" t="str">
            <v>FBRS</v>
          </cell>
        </row>
        <row r="461">
          <cell r="A461">
            <v>3454</v>
          </cell>
          <cell r="B461" t="str">
            <v>D,SOUZA ALCANTRO G.</v>
          </cell>
          <cell r="C461" t="str">
            <v>FBRS</v>
          </cell>
        </row>
        <row r="462">
          <cell r="A462">
            <v>3574</v>
          </cell>
          <cell r="B462" t="str">
            <v>GURRAM KRISHNA</v>
          </cell>
          <cell r="C462" t="str">
            <v>FBRS</v>
          </cell>
        </row>
        <row r="463">
          <cell r="A463">
            <v>3576</v>
          </cell>
          <cell r="B463" t="str">
            <v>BHUVAD KISAN T.</v>
          </cell>
          <cell r="C463" t="str">
            <v>FBRS</v>
          </cell>
        </row>
        <row r="464">
          <cell r="A464">
            <v>4032</v>
          </cell>
          <cell r="B464" t="str">
            <v>UAGHADE BHIMRAO</v>
          </cell>
          <cell r="C464" t="str">
            <v>FBRS</v>
          </cell>
        </row>
        <row r="465">
          <cell r="A465">
            <v>4035</v>
          </cell>
          <cell r="B465" t="str">
            <v>D'COSTA ERIC ANTHONY</v>
          </cell>
          <cell r="C465" t="str">
            <v>FBRS</v>
          </cell>
        </row>
        <row r="466">
          <cell r="A466">
            <v>4056</v>
          </cell>
          <cell r="B466" t="str">
            <v>MENEZES MARIO.</v>
          </cell>
          <cell r="C466" t="str">
            <v>FBRS</v>
          </cell>
        </row>
        <row r="467">
          <cell r="A467">
            <v>4120</v>
          </cell>
          <cell r="B467" t="str">
            <v>JADHAV SADANAND</v>
          </cell>
          <cell r="C467" t="str">
            <v>FBRS</v>
          </cell>
        </row>
        <row r="468">
          <cell r="A468">
            <v>4158</v>
          </cell>
          <cell r="B468" t="str">
            <v>FERNANDES FRANCIS C.</v>
          </cell>
          <cell r="C468" t="str">
            <v>FBRS</v>
          </cell>
        </row>
        <row r="469">
          <cell r="A469">
            <v>4544</v>
          </cell>
          <cell r="B469" t="str">
            <v>JANGA DEVIAYA</v>
          </cell>
          <cell r="C469" t="str">
            <v>FBRS</v>
          </cell>
        </row>
        <row r="470">
          <cell r="A470">
            <v>4549</v>
          </cell>
          <cell r="B470" t="str">
            <v>PATEL A. HANIF</v>
          </cell>
          <cell r="C470" t="str">
            <v>FBRS</v>
          </cell>
        </row>
        <row r="471">
          <cell r="A471">
            <v>4634</v>
          </cell>
          <cell r="B471" t="str">
            <v>GUPTA RAMESH R.</v>
          </cell>
          <cell r="C471" t="str">
            <v>FBRS</v>
          </cell>
        </row>
        <row r="472">
          <cell r="A472">
            <v>4800</v>
          </cell>
          <cell r="B472" t="str">
            <v>GAIKWAD V.M.</v>
          </cell>
          <cell r="C472" t="str">
            <v>FBRS</v>
          </cell>
        </row>
        <row r="473">
          <cell r="A473">
            <v>4872</v>
          </cell>
          <cell r="B473" t="str">
            <v>KADAM KISAN K.</v>
          </cell>
          <cell r="C473" t="str">
            <v>FBRS</v>
          </cell>
        </row>
        <row r="474">
          <cell r="A474">
            <v>5070</v>
          </cell>
          <cell r="B474" t="str">
            <v>PATEL RAUF ABDUL</v>
          </cell>
          <cell r="C474" t="str">
            <v>FBRS</v>
          </cell>
        </row>
        <row r="475">
          <cell r="A475">
            <v>5190</v>
          </cell>
          <cell r="B475" t="str">
            <v>OLIVERIA RAPHAL E.</v>
          </cell>
          <cell r="C475" t="str">
            <v>FBRS</v>
          </cell>
        </row>
        <row r="476">
          <cell r="A476">
            <v>5211</v>
          </cell>
          <cell r="B476" t="str">
            <v>OVAL   G.PRABHAKAR</v>
          </cell>
          <cell r="C476" t="str">
            <v>FBRS</v>
          </cell>
        </row>
        <row r="477">
          <cell r="A477">
            <v>5225</v>
          </cell>
          <cell r="B477" t="str">
            <v>DIAS A. RODNEY</v>
          </cell>
          <cell r="C477" t="str">
            <v>FBRS</v>
          </cell>
        </row>
        <row r="478">
          <cell r="A478">
            <v>5306</v>
          </cell>
          <cell r="B478" t="str">
            <v>SEQUEIRA MICHAEL</v>
          </cell>
          <cell r="C478" t="str">
            <v>FBRS</v>
          </cell>
        </row>
        <row r="479">
          <cell r="A479">
            <v>5379</v>
          </cell>
          <cell r="B479" t="str">
            <v>RAMUGADE S. MR..</v>
          </cell>
          <cell r="C479" t="str">
            <v>FBRS</v>
          </cell>
        </row>
        <row r="480">
          <cell r="A480">
            <v>5747</v>
          </cell>
          <cell r="B480" t="str">
            <v>FERRAO JOSEPH A.</v>
          </cell>
          <cell r="C480" t="str">
            <v>FBRS</v>
          </cell>
        </row>
        <row r="481">
          <cell r="A481">
            <v>5803</v>
          </cell>
          <cell r="B481" t="str">
            <v>MARTIS FAUSTIN BASIL</v>
          </cell>
          <cell r="C481" t="str">
            <v>FBRS</v>
          </cell>
        </row>
        <row r="482">
          <cell r="A482">
            <v>5949</v>
          </cell>
          <cell r="B482" t="str">
            <v>FERNANDES TEDDY TONY</v>
          </cell>
          <cell r="C482" t="str">
            <v>FBRS</v>
          </cell>
        </row>
        <row r="483">
          <cell r="A483">
            <v>5966</v>
          </cell>
          <cell r="B483" t="str">
            <v>BINGI KISHAN R.</v>
          </cell>
          <cell r="C483" t="str">
            <v>FBRS</v>
          </cell>
        </row>
        <row r="484">
          <cell r="A484">
            <v>6040</v>
          </cell>
          <cell r="B484" t="str">
            <v>ROHOM ANTHONY DAVID</v>
          </cell>
          <cell r="C484" t="str">
            <v>FBRS</v>
          </cell>
        </row>
        <row r="485">
          <cell r="A485">
            <v>6189</v>
          </cell>
          <cell r="B485" t="str">
            <v>CHAUDHARY ANKUSH</v>
          </cell>
          <cell r="C485" t="str">
            <v>FBRS</v>
          </cell>
        </row>
        <row r="486">
          <cell r="A486">
            <v>6657</v>
          </cell>
          <cell r="B486" t="str">
            <v>OBEROI DINESH HARIRAM</v>
          </cell>
          <cell r="C486" t="str">
            <v>FBRS</v>
          </cell>
        </row>
        <row r="487">
          <cell r="A487">
            <v>6766</v>
          </cell>
          <cell r="B487" t="str">
            <v>MAHARATHY BHARAT B.</v>
          </cell>
          <cell r="C487" t="str">
            <v>FBRS</v>
          </cell>
        </row>
        <row r="488">
          <cell r="A488">
            <v>6996</v>
          </cell>
          <cell r="B488" t="str">
            <v>JADHAV S.PANDURANG.</v>
          </cell>
          <cell r="C488" t="str">
            <v>FBRS</v>
          </cell>
        </row>
        <row r="489">
          <cell r="A489">
            <v>7729</v>
          </cell>
          <cell r="B489" t="str">
            <v>TORAATO LESTER F.</v>
          </cell>
          <cell r="C489" t="str">
            <v>FBRS</v>
          </cell>
        </row>
        <row r="490">
          <cell r="A490">
            <v>8152</v>
          </cell>
          <cell r="B490" t="str">
            <v>GOLLAMUDI SREEMANTH</v>
          </cell>
          <cell r="C490" t="str">
            <v>FBRS</v>
          </cell>
        </row>
        <row r="491">
          <cell r="A491">
            <v>8510</v>
          </cell>
          <cell r="B491" t="str">
            <v>FERNANDES RFKHA MISS</v>
          </cell>
          <cell r="C491" t="str">
            <v>FBRS</v>
          </cell>
        </row>
        <row r="492">
          <cell r="A492">
            <v>8806</v>
          </cell>
          <cell r="B492" t="str">
            <v>JANICE REBELLO</v>
          </cell>
          <cell r="C492" t="str">
            <v>FBRS</v>
          </cell>
        </row>
        <row r="493">
          <cell r="A493">
            <v>9137</v>
          </cell>
          <cell r="B493" t="str">
            <v>PEDNEKAR DEEPAK SIVRAM</v>
          </cell>
          <cell r="C493" t="str">
            <v>FBRS</v>
          </cell>
        </row>
        <row r="494">
          <cell r="A494">
            <v>9559</v>
          </cell>
          <cell r="B494" t="str">
            <v>WAGHELA PRAKASH</v>
          </cell>
          <cell r="C494" t="str">
            <v>FBRS</v>
          </cell>
        </row>
        <row r="495">
          <cell r="A495">
            <v>9824</v>
          </cell>
          <cell r="B495" t="str">
            <v>DESHMUKH JAVED</v>
          </cell>
          <cell r="C495" t="str">
            <v>FBRS</v>
          </cell>
        </row>
        <row r="496">
          <cell r="A496">
            <v>9953</v>
          </cell>
          <cell r="B496" t="str">
            <v>MEENA K.SINGH</v>
          </cell>
          <cell r="C496" t="str">
            <v>FBRS</v>
          </cell>
        </row>
        <row r="497">
          <cell r="A497">
            <v>9972</v>
          </cell>
          <cell r="B497" t="str">
            <v>GADE HARSHADA</v>
          </cell>
          <cell r="C497" t="str">
            <v>FBRS</v>
          </cell>
        </row>
        <row r="498">
          <cell r="A498">
            <v>10024</v>
          </cell>
          <cell r="B498" t="str">
            <v>KHANDEKAR PRASHANT</v>
          </cell>
          <cell r="C498" t="str">
            <v>FBRS</v>
          </cell>
        </row>
        <row r="499">
          <cell r="A499">
            <v>10113</v>
          </cell>
          <cell r="B499" t="str">
            <v>PRASAD DHANVANTI</v>
          </cell>
          <cell r="C499" t="str">
            <v>FBRS</v>
          </cell>
        </row>
        <row r="500">
          <cell r="A500">
            <v>10197</v>
          </cell>
          <cell r="B500" t="str">
            <v>SINGH SIDANA H</v>
          </cell>
          <cell r="C500" t="str">
            <v>FBRS</v>
          </cell>
        </row>
        <row r="501">
          <cell r="A501">
            <v>10441</v>
          </cell>
          <cell r="B501" t="str">
            <v>UDASI RENU</v>
          </cell>
          <cell r="C501" t="str">
            <v>FBRS</v>
          </cell>
        </row>
        <row r="502">
          <cell r="A502">
            <v>10547</v>
          </cell>
          <cell r="B502" t="str">
            <v>JADHAV RAJENDRA</v>
          </cell>
          <cell r="C502" t="str">
            <v>FBRS</v>
          </cell>
        </row>
        <row r="503">
          <cell r="A503">
            <v>10569</v>
          </cell>
          <cell r="B503" t="str">
            <v>MONTEIRO MARISSA</v>
          </cell>
          <cell r="C503" t="str">
            <v>FBRS</v>
          </cell>
        </row>
        <row r="504">
          <cell r="A504">
            <v>10570</v>
          </cell>
          <cell r="B504" t="str">
            <v>MACHADO ASHLEY</v>
          </cell>
          <cell r="C504" t="str">
            <v>FBRS</v>
          </cell>
        </row>
        <row r="505">
          <cell r="A505">
            <v>10601</v>
          </cell>
          <cell r="B505" t="str">
            <v>UMAR SHABANA</v>
          </cell>
          <cell r="C505" t="str">
            <v>FBRS</v>
          </cell>
        </row>
        <row r="506">
          <cell r="A506">
            <v>10635</v>
          </cell>
          <cell r="B506" t="str">
            <v>BOSE SUHASH</v>
          </cell>
          <cell r="C506" t="str">
            <v>FBRS</v>
          </cell>
        </row>
        <row r="507">
          <cell r="A507">
            <v>10659</v>
          </cell>
          <cell r="B507" t="str">
            <v>KAZI MUNIRUDDIN</v>
          </cell>
          <cell r="C507" t="str">
            <v>FBRS</v>
          </cell>
        </row>
        <row r="508">
          <cell r="A508">
            <v>10661</v>
          </cell>
          <cell r="B508" t="str">
            <v>REBELLO FREDERICK</v>
          </cell>
          <cell r="C508" t="str">
            <v>FBRS</v>
          </cell>
        </row>
        <row r="509">
          <cell r="A509">
            <v>10665</v>
          </cell>
          <cell r="B509" t="str">
            <v>RODRIQUES KEVIN</v>
          </cell>
          <cell r="C509" t="str">
            <v>FBRS</v>
          </cell>
        </row>
        <row r="510">
          <cell r="A510">
            <v>10707</v>
          </cell>
          <cell r="B510" t="str">
            <v>MOON AMIT</v>
          </cell>
          <cell r="C510" t="str">
            <v>FBRS</v>
          </cell>
        </row>
        <row r="511">
          <cell r="A511">
            <v>30432</v>
          </cell>
          <cell r="B511" t="str">
            <v>D'SOUZA SUNIL</v>
          </cell>
          <cell r="C511" t="str">
            <v>FBRS</v>
          </cell>
        </row>
        <row r="512">
          <cell r="A512">
            <v>30455</v>
          </cell>
          <cell r="B512" t="str">
            <v>BRAGANZA SHELDON</v>
          </cell>
          <cell r="C512" t="str">
            <v>FBRS</v>
          </cell>
        </row>
        <row r="513">
          <cell r="A513">
            <v>30461</v>
          </cell>
          <cell r="B513" t="str">
            <v>COUTINHO VICTOR</v>
          </cell>
          <cell r="C513" t="str">
            <v>FBRS</v>
          </cell>
        </row>
        <row r="514">
          <cell r="A514">
            <v>30586</v>
          </cell>
          <cell r="B514" t="str">
            <v>MIRANDA JOEL</v>
          </cell>
          <cell r="C514" t="str">
            <v>FBRS</v>
          </cell>
        </row>
        <row r="515">
          <cell r="A515">
            <v>30802</v>
          </cell>
          <cell r="B515" t="str">
            <v>PATKAR SALIL S.</v>
          </cell>
          <cell r="C515" t="str">
            <v>FBRS</v>
          </cell>
        </row>
        <row r="516">
          <cell r="A516">
            <v>30804</v>
          </cell>
          <cell r="B516" t="str">
            <v>SHETTY VIJAY</v>
          </cell>
          <cell r="C516" t="str">
            <v>FBRS</v>
          </cell>
        </row>
        <row r="517">
          <cell r="A517">
            <v>30832</v>
          </cell>
          <cell r="B517" t="str">
            <v>BORGES JUDE</v>
          </cell>
          <cell r="C517" t="str">
            <v>FBRS</v>
          </cell>
        </row>
        <row r="518">
          <cell r="A518">
            <v>30837</v>
          </cell>
          <cell r="B518" t="str">
            <v>UMRIGAR NEVIL</v>
          </cell>
          <cell r="C518" t="str">
            <v>FBRS</v>
          </cell>
        </row>
        <row r="519">
          <cell r="A519">
            <v>30844</v>
          </cell>
          <cell r="B519" t="str">
            <v>RODRIQUES OSWIN</v>
          </cell>
          <cell r="C519" t="str">
            <v>FBRS</v>
          </cell>
        </row>
        <row r="520">
          <cell r="A520">
            <v>30865</v>
          </cell>
          <cell r="B520" t="str">
            <v>BANGERA NARESH</v>
          </cell>
          <cell r="C520" t="str">
            <v>FBRS</v>
          </cell>
        </row>
        <row r="521">
          <cell r="A521">
            <v>30872</v>
          </cell>
          <cell r="B521" t="str">
            <v>MENDONSA AJAY</v>
          </cell>
          <cell r="C521" t="str">
            <v>FBRS</v>
          </cell>
        </row>
        <row r="522">
          <cell r="A522">
            <v>31105</v>
          </cell>
          <cell r="B522" t="str">
            <v>SALDANHA ALLWYN S</v>
          </cell>
          <cell r="C522" t="str">
            <v>FBRS</v>
          </cell>
        </row>
        <row r="523">
          <cell r="A523">
            <v>31108</v>
          </cell>
          <cell r="B523" t="str">
            <v>SALDANHA ALWYN ALBERT</v>
          </cell>
          <cell r="C523" t="str">
            <v>FBRS</v>
          </cell>
        </row>
        <row r="524">
          <cell r="A524">
            <v>31129</v>
          </cell>
          <cell r="B524" t="str">
            <v>QURESHI RASHEED</v>
          </cell>
          <cell r="C524" t="str">
            <v>FBRS</v>
          </cell>
        </row>
        <row r="525">
          <cell r="A525">
            <v>31149</v>
          </cell>
          <cell r="B525" t="str">
            <v>DEY PRAMOD</v>
          </cell>
          <cell r="C525" t="str">
            <v>FBRS</v>
          </cell>
        </row>
        <row r="526">
          <cell r="A526">
            <v>31152</v>
          </cell>
          <cell r="B526" t="str">
            <v>SAHU GANESH</v>
          </cell>
          <cell r="C526" t="str">
            <v>FBRS</v>
          </cell>
        </row>
        <row r="527">
          <cell r="A527">
            <v>31162</v>
          </cell>
          <cell r="B527" t="str">
            <v>NAIR KAMLESH</v>
          </cell>
          <cell r="C527" t="str">
            <v>FBRS</v>
          </cell>
        </row>
        <row r="528">
          <cell r="A528">
            <v>31189</v>
          </cell>
          <cell r="B528" t="str">
            <v>CHASKAR KIRAN</v>
          </cell>
          <cell r="C528" t="str">
            <v>FBRS</v>
          </cell>
        </row>
        <row r="529">
          <cell r="A529">
            <v>31302</v>
          </cell>
          <cell r="B529" t="str">
            <v>FERNANDES EDGAR R.</v>
          </cell>
          <cell r="C529" t="str">
            <v>FBRS</v>
          </cell>
        </row>
        <row r="530">
          <cell r="A530">
            <v>31315</v>
          </cell>
          <cell r="B530" t="str">
            <v>D'SOUZA CALLAGHAN C.</v>
          </cell>
          <cell r="C530" t="str">
            <v>FBRS</v>
          </cell>
        </row>
        <row r="531">
          <cell r="A531">
            <v>31317</v>
          </cell>
          <cell r="B531" t="str">
            <v>KOTIYA DEEPAK</v>
          </cell>
          <cell r="C531" t="str">
            <v>FBRS</v>
          </cell>
        </row>
        <row r="532">
          <cell r="A532">
            <v>31318</v>
          </cell>
          <cell r="B532" t="str">
            <v>MONTERIO ALEX P.</v>
          </cell>
          <cell r="C532" t="str">
            <v>FBRS</v>
          </cell>
        </row>
        <row r="533">
          <cell r="A533">
            <v>31319</v>
          </cell>
          <cell r="B533" t="str">
            <v>D'SOUZA REAGAN D.</v>
          </cell>
          <cell r="C533" t="str">
            <v>FBRS</v>
          </cell>
        </row>
        <row r="534">
          <cell r="A534">
            <v>31323</v>
          </cell>
          <cell r="B534" t="str">
            <v>D'SOUZA RODLEE</v>
          </cell>
          <cell r="C534" t="str">
            <v>FBRS</v>
          </cell>
        </row>
        <row r="535">
          <cell r="A535">
            <v>31324</v>
          </cell>
          <cell r="B535" t="str">
            <v>VIEGAS NEIL E.</v>
          </cell>
          <cell r="C535" t="str">
            <v>FBRS</v>
          </cell>
        </row>
        <row r="536">
          <cell r="A536">
            <v>31343</v>
          </cell>
          <cell r="B536" t="str">
            <v>CASTELINO AVIL</v>
          </cell>
          <cell r="C536" t="str">
            <v>FBRS</v>
          </cell>
        </row>
        <row r="537">
          <cell r="A537">
            <v>31344</v>
          </cell>
          <cell r="B537" t="str">
            <v>HENDRICKS FOBIAN</v>
          </cell>
          <cell r="C537" t="str">
            <v>FBRS</v>
          </cell>
        </row>
        <row r="538">
          <cell r="A538">
            <v>31346</v>
          </cell>
          <cell r="B538" t="str">
            <v>ALMEIDA GILBERT</v>
          </cell>
          <cell r="C538" t="str">
            <v>FBRS</v>
          </cell>
        </row>
        <row r="539">
          <cell r="A539">
            <v>31353</v>
          </cell>
          <cell r="B539" t="str">
            <v>LIMA REINBERT</v>
          </cell>
          <cell r="C539" t="str">
            <v>FBRS</v>
          </cell>
        </row>
        <row r="540">
          <cell r="A540">
            <v>31354</v>
          </cell>
          <cell r="B540" t="str">
            <v>DANDEKAR ROHAN</v>
          </cell>
          <cell r="C540" t="str">
            <v>FBRS</v>
          </cell>
        </row>
        <row r="541">
          <cell r="A541">
            <v>31357</v>
          </cell>
          <cell r="B541" t="str">
            <v>D'SOUZA SAVIO</v>
          </cell>
          <cell r="C541" t="str">
            <v>FBRS</v>
          </cell>
        </row>
        <row r="542">
          <cell r="A542">
            <v>31364</v>
          </cell>
          <cell r="B542" t="str">
            <v>TASHILDAR WASIM</v>
          </cell>
          <cell r="C542" t="str">
            <v>FBRS</v>
          </cell>
        </row>
        <row r="543">
          <cell r="A543">
            <v>5159</v>
          </cell>
          <cell r="B543" t="str">
            <v>QUADROS R. LANCELOT</v>
          </cell>
          <cell r="C543" t="str">
            <v>FBSB</v>
          </cell>
        </row>
        <row r="544">
          <cell r="A544">
            <v>5826</v>
          </cell>
          <cell r="B544" t="str">
            <v>FERNANDES JOHN ALEX</v>
          </cell>
          <cell r="C544" t="str">
            <v>FBSB</v>
          </cell>
        </row>
        <row r="545">
          <cell r="A545">
            <v>6759</v>
          </cell>
          <cell r="B545" t="str">
            <v>SILVERIA ALVES</v>
          </cell>
          <cell r="C545" t="str">
            <v>FBSB</v>
          </cell>
        </row>
        <row r="546">
          <cell r="A546">
            <v>9718</v>
          </cell>
          <cell r="B546" t="str">
            <v>SHARMA ANKUSH</v>
          </cell>
          <cell r="C546" t="str">
            <v>FBSB</v>
          </cell>
        </row>
        <row r="547">
          <cell r="A547">
            <v>9779</v>
          </cell>
          <cell r="B547" t="str">
            <v>KANCHAN DEEPAK</v>
          </cell>
          <cell r="C547" t="str">
            <v>FBSB</v>
          </cell>
        </row>
        <row r="548">
          <cell r="A548">
            <v>10602</v>
          </cell>
          <cell r="B548" t="str">
            <v>JOSHI RAHUL</v>
          </cell>
          <cell r="C548" t="str">
            <v>FBSB</v>
          </cell>
        </row>
        <row r="549">
          <cell r="A549">
            <v>30466</v>
          </cell>
          <cell r="B549" t="str">
            <v>MIRANDA FLETCHER</v>
          </cell>
          <cell r="C549" t="str">
            <v>FBSB</v>
          </cell>
        </row>
        <row r="550">
          <cell r="A550">
            <v>30810</v>
          </cell>
          <cell r="B550" t="str">
            <v>D'MELLO NEIL</v>
          </cell>
          <cell r="C550" t="str">
            <v>FBSB</v>
          </cell>
        </row>
        <row r="551">
          <cell r="A551">
            <v>30816</v>
          </cell>
          <cell r="B551" t="str">
            <v>LOBO ALEX</v>
          </cell>
          <cell r="C551" t="str">
            <v>FBSB</v>
          </cell>
        </row>
        <row r="552">
          <cell r="A552">
            <v>31170</v>
          </cell>
          <cell r="B552" t="str">
            <v>D'SOUZA MACIVEE</v>
          </cell>
          <cell r="C552" t="str">
            <v>FBSB</v>
          </cell>
        </row>
        <row r="553">
          <cell r="A553">
            <v>31190</v>
          </cell>
          <cell r="B553" t="str">
            <v>JOSEPH LYNN</v>
          </cell>
          <cell r="C553" t="str">
            <v>FBSB</v>
          </cell>
        </row>
        <row r="554">
          <cell r="A554">
            <v>2315</v>
          </cell>
          <cell r="B554" t="str">
            <v>SHINDE ANAND M.</v>
          </cell>
          <cell r="C554" t="str">
            <v>FBSH</v>
          </cell>
        </row>
        <row r="555">
          <cell r="A555">
            <v>2818</v>
          </cell>
          <cell r="B555" t="str">
            <v>CHASKAR BAJIRA0 D.</v>
          </cell>
          <cell r="C555" t="str">
            <v>FBSH</v>
          </cell>
        </row>
        <row r="556">
          <cell r="A556">
            <v>3028</v>
          </cell>
          <cell r="B556" t="str">
            <v>JAITAPKAR RAVINDRA  D.</v>
          </cell>
          <cell r="C556" t="str">
            <v>FBSH</v>
          </cell>
        </row>
        <row r="557">
          <cell r="A557">
            <v>3169</v>
          </cell>
          <cell r="B557" t="str">
            <v>GOMES ANTHONY</v>
          </cell>
          <cell r="C557" t="str">
            <v>FBSH</v>
          </cell>
        </row>
        <row r="558">
          <cell r="A558">
            <v>3187</v>
          </cell>
          <cell r="B558" t="str">
            <v>OMANAKUTTAN C.N.</v>
          </cell>
          <cell r="C558" t="str">
            <v>FBSH</v>
          </cell>
        </row>
        <row r="559">
          <cell r="A559">
            <v>3250</v>
          </cell>
          <cell r="B559" t="str">
            <v>D,SOUZA RICHARD</v>
          </cell>
          <cell r="C559" t="str">
            <v>FBSH</v>
          </cell>
        </row>
        <row r="560">
          <cell r="A560">
            <v>3315</v>
          </cell>
          <cell r="B560" t="str">
            <v>DIAS WILSON A.</v>
          </cell>
          <cell r="C560" t="str">
            <v>FBSH</v>
          </cell>
        </row>
        <row r="561">
          <cell r="A561">
            <v>3484</v>
          </cell>
          <cell r="B561" t="str">
            <v>GUPTA DINESH R.</v>
          </cell>
          <cell r="C561" t="str">
            <v>FBSH</v>
          </cell>
        </row>
        <row r="562">
          <cell r="A562">
            <v>3588</v>
          </cell>
          <cell r="B562" t="str">
            <v>SHEIKH SALIM</v>
          </cell>
          <cell r="C562" t="str">
            <v>FBSH</v>
          </cell>
        </row>
        <row r="563">
          <cell r="A563">
            <v>3806</v>
          </cell>
          <cell r="B563" t="str">
            <v>PANDORI JITTE</v>
          </cell>
          <cell r="C563" t="str">
            <v>FBSH</v>
          </cell>
        </row>
        <row r="564">
          <cell r="A564">
            <v>4007</v>
          </cell>
          <cell r="B564" t="str">
            <v>PAUL CHAKALAKAL</v>
          </cell>
          <cell r="C564" t="str">
            <v>FBSH</v>
          </cell>
        </row>
        <row r="565">
          <cell r="A565">
            <v>4105</v>
          </cell>
          <cell r="B565" t="str">
            <v>AGRE KASHINATH M.,</v>
          </cell>
          <cell r="C565" t="str">
            <v>FBSH</v>
          </cell>
        </row>
        <row r="566">
          <cell r="A566">
            <v>4156</v>
          </cell>
          <cell r="B566" t="str">
            <v>SHINDE KASHINATH N.</v>
          </cell>
          <cell r="C566" t="str">
            <v>FBSH</v>
          </cell>
        </row>
        <row r="567">
          <cell r="A567">
            <v>4209</v>
          </cell>
          <cell r="B567" t="str">
            <v>GULIANA  HIMMAT R.</v>
          </cell>
          <cell r="C567" t="str">
            <v>FBSH</v>
          </cell>
        </row>
        <row r="568">
          <cell r="A568">
            <v>4228</v>
          </cell>
          <cell r="B568" t="str">
            <v>LOBO CYRIL</v>
          </cell>
          <cell r="C568" t="str">
            <v>FBSH</v>
          </cell>
        </row>
        <row r="569">
          <cell r="A569">
            <v>4487</v>
          </cell>
          <cell r="B569" t="str">
            <v>D,SOUZA HILLARY</v>
          </cell>
          <cell r="C569" t="str">
            <v>FBSH</v>
          </cell>
        </row>
        <row r="570">
          <cell r="A570">
            <v>4672</v>
          </cell>
          <cell r="B570" t="str">
            <v>THORAT TANAJI S.</v>
          </cell>
          <cell r="C570" t="str">
            <v>FBSH</v>
          </cell>
        </row>
        <row r="571">
          <cell r="A571">
            <v>4676</v>
          </cell>
          <cell r="B571" t="str">
            <v>NIKAM M. LAXMAN</v>
          </cell>
          <cell r="C571" t="str">
            <v>FBSH</v>
          </cell>
        </row>
        <row r="572">
          <cell r="A572">
            <v>4957</v>
          </cell>
          <cell r="B572" t="str">
            <v>SHEIKH ABDUL REHMAN</v>
          </cell>
          <cell r="C572" t="str">
            <v>FBSH</v>
          </cell>
        </row>
        <row r="573">
          <cell r="A573">
            <v>4963</v>
          </cell>
          <cell r="B573" t="str">
            <v>MERCHANDE G.ANANT</v>
          </cell>
          <cell r="C573" t="str">
            <v>FBSH</v>
          </cell>
        </row>
        <row r="574">
          <cell r="A574">
            <v>4982</v>
          </cell>
          <cell r="B574" t="str">
            <v>GOLI MOHAN</v>
          </cell>
          <cell r="C574" t="str">
            <v>FBSH</v>
          </cell>
        </row>
        <row r="575">
          <cell r="A575">
            <v>5062</v>
          </cell>
          <cell r="B575" t="str">
            <v>PUJARI KADYA SHIVA</v>
          </cell>
          <cell r="C575" t="str">
            <v>FBSH</v>
          </cell>
        </row>
        <row r="576">
          <cell r="A576">
            <v>5276</v>
          </cell>
          <cell r="B576" t="str">
            <v>COUTINHO AGNELO URBAN</v>
          </cell>
          <cell r="C576" t="str">
            <v>FBSH</v>
          </cell>
        </row>
        <row r="577">
          <cell r="A577">
            <v>5309</v>
          </cell>
          <cell r="B577" t="str">
            <v>D,SOUZA SIMON</v>
          </cell>
          <cell r="C577" t="str">
            <v>FBSH</v>
          </cell>
        </row>
        <row r="578">
          <cell r="A578">
            <v>5318</v>
          </cell>
          <cell r="B578" t="str">
            <v>CHASKAR ANIL B.</v>
          </cell>
          <cell r="C578" t="str">
            <v>FBSH</v>
          </cell>
        </row>
        <row r="579">
          <cell r="A579">
            <v>5368</v>
          </cell>
          <cell r="B579" t="str">
            <v>MAGALHAS ANTHONY R.</v>
          </cell>
          <cell r="C579" t="str">
            <v>FBSH</v>
          </cell>
        </row>
        <row r="580">
          <cell r="A580">
            <v>5376</v>
          </cell>
          <cell r="B580" t="str">
            <v>PAWAR R.K.</v>
          </cell>
          <cell r="C580" t="str">
            <v>FBSH</v>
          </cell>
        </row>
        <row r="581">
          <cell r="A581">
            <v>5516</v>
          </cell>
          <cell r="B581" t="str">
            <v>VERGHESH K.V.</v>
          </cell>
          <cell r="C581" t="str">
            <v>FBSH</v>
          </cell>
        </row>
        <row r="582">
          <cell r="A582">
            <v>5554</v>
          </cell>
          <cell r="B582" t="str">
            <v>FERNANDES PATRICK</v>
          </cell>
          <cell r="C582" t="str">
            <v>FBSH</v>
          </cell>
        </row>
        <row r="583">
          <cell r="A583">
            <v>5752</v>
          </cell>
          <cell r="B583" t="str">
            <v>RODRIGUES STEPHEN M.</v>
          </cell>
          <cell r="C583" t="str">
            <v>FBSH</v>
          </cell>
        </row>
        <row r="584">
          <cell r="A584">
            <v>5814</v>
          </cell>
          <cell r="B584" t="str">
            <v>MUTTA RAJABHOY.</v>
          </cell>
          <cell r="C584" t="str">
            <v>FBSH</v>
          </cell>
        </row>
        <row r="585">
          <cell r="A585">
            <v>5921</v>
          </cell>
          <cell r="B585" t="str">
            <v>JADHAV RAMESH HARI</v>
          </cell>
          <cell r="C585" t="str">
            <v>FBSH</v>
          </cell>
        </row>
        <row r="586">
          <cell r="A586">
            <v>5939</v>
          </cell>
          <cell r="B586" t="str">
            <v>KOTIYA SINGH PURAN.</v>
          </cell>
          <cell r="C586" t="str">
            <v>FBSH</v>
          </cell>
        </row>
        <row r="587">
          <cell r="A587">
            <v>5945</v>
          </cell>
          <cell r="B587" t="str">
            <v>ANDRADE  ALLWYN L.</v>
          </cell>
          <cell r="C587" t="str">
            <v>FBSH</v>
          </cell>
        </row>
        <row r="588">
          <cell r="A588">
            <v>6226</v>
          </cell>
          <cell r="B588" t="str">
            <v>LOUIS P.FRANCIS</v>
          </cell>
          <cell r="C588" t="str">
            <v>FBSH</v>
          </cell>
        </row>
        <row r="589">
          <cell r="A589">
            <v>6562</v>
          </cell>
          <cell r="B589" t="str">
            <v>NIRBHAVANE S.M.</v>
          </cell>
          <cell r="C589" t="str">
            <v>FBSH</v>
          </cell>
        </row>
        <row r="590">
          <cell r="A590">
            <v>6973</v>
          </cell>
          <cell r="B590" t="str">
            <v>GUPTA NEERAJ</v>
          </cell>
          <cell r="C590" t="str">
            <v>FBSH</v>
          </cell>
        </row>
        <row r="591">
          <cell r="A591">
            <v>7261</v>
          </cell>
          <cell r="B591" t="str">
            <v>KHAN MOHAMMED A.</v>
          </cell>
          <cell r="C591" t="str">
            <v>FBSH</v>
          </cell>
        </row>
        <row r="592">
          <cell r="A592">
            <v>7727</v>
          </cell>
          <cell r="B592" t="str">
            <v>ANTAO HILLARY JOSITO</v>
          </cell>
          <cell r="C592" t="str">
            <v>FBSH</v>
          </cell>
        </row>
        <row r="593">
          <cell r="A593">
            <v>8992</v>
          </cell>
          <cell r="B593" t="str">
            <v>ROMIL RATRA</v>
          </cell>
          <cell r="C593" t="str">
            <v>FBSH</v>
          </cell>
        </row>
        <row r="594">
          <cell r="A594">
            <v>9246</v>
          </cell>
          <cell r="B594" t="str">
            <v>KAMATH PRAVIN G.</v>
          </cell>
          <cell r="C594" t="str">
            <v>FBSH</v>
          </cell>
        </row>
        <row r="595">
          <cell r="A595">
            <v>9327</v>
          </cell>
          <cell r="B595" t="str">
            <v>SHAHEEN N.RAJGURU</v>
          </cell>
          <cell r="C595" t="str">
            <v>FBSH</v>
          </cell>
        </row>
        <row r="596">
          <cell r="A596">
            <v>9800</v>
          </cell>
          <cell r="B596" t="str">
            <v>CHIMBAIKAR SHARMILA</v>
          </cell>
          <cell r="C596" t="str">
            <v>FBSH</v>
          </cell>
        </row>
        <row r="597">
          <cell r="A597">
            <v>9962</v>
          </cell>
          <cell r="B597" t="str">
            <v>GIRIDHAR RAKESH K.</v>
          </cell>
          <cell r="C597" t="str">
            <v>FBSH</v>
          </cell>
        </row>
        <row r="598">
          <cell r="A598">
            <v>10030</v>
          </cell>
          <cell r="B598" t="str">
            <v>GAIKWAD SATISH</v>
          </cell>
          <cell r="C598" t="str">
            <v>FBSH</v>
          </cell>
        </row>
        <row r="599">
          <cell r="A599">
            <v>10156</v>
          </cell>
          <cell r="B599" t="str">
            <v>DUBEY AMAN</v>
          </cell>
          <cell r="C599" t="str">
            <v>FBSH</v>
          </cell>
        </row>
        <row r="600">
          <cell r="A600">
            <v>10159</v>
          </cell>
          <cell r="B600" t="str">
            <v>PARIKH DHRUV</v>
          </cell>
          <cell r="C600" t="str">
            <v>FBSH</v>
          </cell>
        </row>
        <row r="601">
          <cell r="A601">
            <v>10169</v>
          </cell>
          <cell r="B601" t="str">
            <v>KACHERLA NAVIN G</v>
          </cell>
          <cell r="C601" t="str">
            <v>FBSH</v>
          </cell>
        </row>
        <row r="602">
          <cell r="A602">
            <v>10324</v>
          </cell>
          <cell r="B602" t="str">
            <v>APTE BHUSHAN</v>
          </cell>
          <cell r="C602" t="str">
            <v>FBSH</v>
          </cell>
        </row>
        <row r="603">
          <cell r="A603">
            <v>10538</v>
          </cell>
          <cell r="B603" t="str">
            <v>KOTHARI DHAVAL</v>
          </cell>
          <cell r="C603" t="str">
            <v>FBSH</v>
          </cell>
        </row>
        <row r="604">
          <cell r="A604">
            <v>10589</v>
          </cell>
          <cell r="B604" t="str">
            <v>SALIAN GEETA</v>
          </cell>
          <cell r="C604" t="str">
            <v>FBSH</v>
          </cell>
        </row>
        <row r="605">
          <cell r="A605">
            <v>10666</v>
          </cell>
          <cell r="B605" t="str">
            <v>TYAGI PIYUSH</v>
          </cell>
          <cell r="C605" t="str">
            <v>FBSH</v>
          </cell>
        </row>
        <row r="606">
          <cell r="A606">
            <v>30449</v>
          </cell>
          <cell r="B606" t="str">
            <v>SHARMA MRUDUL</v>
          </cell>
          <cell r="C606" t="str">
            <v>FBSH</v>
          </cell>
        </row>
        <row r="607">
          <cell r="A607">
            <v>30503</v>
          </cell>
          <cell r="B607" t="str">
            <v>SINGH CHAITANYA</v>
          </cell>
          <cell r="C607" t="str">
            <v>FBSH</v>
          </cell>
        </row>
        <row r="608">
          <cell r="A608">
            <v>30807</v>
          </cell>
          <cell r="B608" t="str">
            <v>FERNANDES RYAN</v>
          </cell>
          <cell r="C608" t="str">
            <v>FBSH</v>
          </cell>
        </row>
        <row r="609">
          <cell r="A609">
            <v>30875</v>
          </cell>
          <cell r="B609" t="str">
            <v>BANGERA PRITAM</v>
          </cell>
          <cell r="C609" t="str">
            <v>FBSH</v>
          </cell>
        </row>
        <row r="610">
          <cell r="A610">
            <v>30878</v>
          </cell>
          <cell r="B610" t="str">
            <v>GONSALVES GORDEN</v>
          </cell>
          <cell r="C610" t="str">
            <v>FBSH</v>
          </cell>
        </row>
        <row r="611">
          <cell r="A611">
            <v>31111</v>
          </cell>
          <cell r="B611" t="str">
            <v>MORE SACHIN</v>
          </cell>
          <cell r="C611" t="str">
            <v>FBSH</v>
          </cell>
        </row>
        <row r="612">
          <cell r="A612">
            <v>31124</v>
          </cell>
          <cell r="B612" t="str">
            <v>FERREIRA CLAES</v>
          </cell>
          <cell r="C612" t="str">
            <v>FBSH</v>
          </cell>
        </row>
        <row r="613">
          <cell r="A613">
            <v>31132</v>
          </cell>
          <cell r="B613" t="str">
            <v>PANT GANESH</v>
          </cell>
          <cell r="C613" t="str">
            <v>FBSH</v>
          </cell>
        </row>
        <row r="614">
          <cell r="A614">
            <v>31136</v>
          </cell>
          <cell r="B614" t="str">
            <v>JADHAV VIJAY</v>
          </cell>
          <cell r="C614" t="str">
            <v>FBSH</v>
          </cell>
        </row>
        <row r="615">
          <cell r="A615">
            <v>31169</v>
          </cell>
          <cell r="B615" t="str">
            <v>TALKAR JOSHUA</v>
          </cell>
          <cell r="C615" t="str">
            <v>FBSH</v>
          </cell>
        </row>
        <row r="616">
          <cell r="A616">
            <v>31192</v>
          </cell>
          <cell r="B616" t="str">
            <v>SHARMA NILESH</v>
          </cell>
          <cell r="C616" t="str">
            <v>FBSH</v>
          </cell>
        </row>
        <row r="617">
          <cell r="A617">
            <v>31196</v>
          </cell>
          <cell r="B617" t="str">
            <v>CRASTO ROSHAN</v>
          </cell>
          <cell r="C617" t="str">
            <v>FBSH</v>
          </cell>
        </row>
        <row r="618">
          <cell r="A618">
            <v>31197</v>
          </cell>
          <cell r="B618" t="str">
            <v>GHAG SAMEER</v>
          </cell>
          <cell r="C618" t="str">
            <v>FBSH</v>
          </cell>
        </row>
        <row r="619">
          <cell r="A619">
            <v>31341</v>
          </cell>
          <cell r="B619" t="str">
            <v>SAWANT AMIT</v>
          </cell>
          <cell r="C619" t="str">
            <v>FBSH</v>
          </cell>
        </row>
        <row r="620">
          <cell r="A620">
            <v>31351</v>
          </cell>
          <cell r="B620" t="str">
            <v>D'SOUZA NICHOLAS</v>
          </cell>
          <cell r="C620" t="str">
            <v>FBSH</v>
          </cell>
        </row>
        <row r="621">
          <cell r="A621">
            <v>1666</v>
          </cell>
          <cell r="B621" t="str">
            <v>COLACO INOCENCIO LUSITANO</v>
          </cell>
          <cell r="C621" t="str">
            <v>FBSL</v>
          </cell>
        </row>
        <row r="622">
          <cell r="A622">
            <v>2297</v>
          </cell>
          <cell r="B622" t="str">
            <v>MALI GOPAL B.</v>
          </cell>
          <cell r="C622" t="str">
            <v>FBSL</v>
          </cell>
        </row>
        <row r="623">
          <cell r="A623">
            <v>2366</v>
          </cell>
          <cell r="B623" t="str">
            <v>SUVARNA K.R.</v>
          </cell>
          <cell r="C623" t="str">
            <v>FBSL</v>
          </cell>
        </row>
        <row r="624">
          <cell r="A624">
            <v>2716</v>
          </cell>
          <cell r="B624" t="str">
            <v>VENKATESHAN K.</v>
          </cell>
          <cell r="C624" t="str">
            <v>FBSL</v>
          </cell>
        </row>
        <row r="625">
          <cell r="A625">
            <v>3109</v>
          </cell>
          <cell r="B625" t="str">
            <v>SHETTY BABU</v>
          </cell>
          <cell r="C625" t="str">
            <v>FBSL</v>
          </cell>
        </row>
        <row r="626">
          <cell r="A626">
            <v>3254</v>
          </cell>
          <cell r="B626" t="str">
            <v>MENDES HILLARY</v>
          </cell>
          <cell r="C626" t="str">
            <v>FBSL</v>
          </cell>
        </row>
        <row r="627">
          <cell r="A627">
            <v>3786</v>
          </cell>
          <cell r="B627" t="str">
            <v>MULEY KRISHNA</v>
          </cell>
          <cell r="C627" t="str">
            <v>FBSL</v>
          </cell>
        </row>
        <row r="628">
          <cell r="A628">
            <v>4330</v>
          </cell>
          <cell r="B628" t="str">
            <v>BAGAWE V. GAJANAN</v>
          </cell>
          <cell r="C628" t="str">
            <v>FBSL</v>
          </cell>
        </row>
        <row r="629">
          <cell r="A629">
            <v>4554</v>
          </cell>
          <cell r="B629" t="str">
            <v>CHASKAR SHANTARAM D.</v>
          </cell>
          <cell r="C629" t="str">
            <v>FBSL</v>
          </cell>
        </row>
        <row r="630">
          <cell r="A630">
            <v>4589</v>
          </cell>
          <cell r="B630" t="str">
            <v>YELGULWAR VIKAS</v>
          </cell>
          <cell r="C630" t="str">
            <v>FBSL</v>
          </cell>
        </row>
        <row r="631">
          <cell r="A631">
            <v>4675</v>
          </cell>
          <cell r="B631" t="str">
            <v>PAWAR RAMDAS B.</v>
          </cell>
          <cell r="C631" t="str">
            <v>FBSL</v>
          </cell>
        </row>
        <row r="632">
          <cell r="A632">
            <v>4978</v>
          </cell>
          <cell r="B632" t="str">
            <v>AHMED ERSHAD  D.</v>
          </cell>
          <cell r="C632" t="str">
            <v>FBSL</v>
          </cell>
        </row>
        <row r="633">
          <cell r="A633">
            <v>5099</v>
          </cell>
          <cell r="B633" t="str">
            <v>RANE MANOHAR HARICHAND.</v>
          </cell>
          <cell r="C633" t="str">
            <v>FBSL</v>
          </cell>
        </row>
        <row r="634">
          <cell r="A634">
            <v>5171</v>
          </cell>
          <cell r="B634" t="str">
            <v>SALUNKHE LAXMAN N.</v>
          </cell>
          <cell r="C634" t="str">
            <v>FBSL</v>
          </cell>
        </row>
        <row r="635">
          <cell r="A635">
            <v>5316</v>
          </cell>
          <cell r="B635" t="str">
            <v>MORE PANDURANG B.</v>
          </cell>
          <cell r="C635" t="str">
            <v>FBSL</v>
          </cell>
        </row>
        <row r="636">
          <cell r="A636">
            <v>5407</v>
          </cell>
          <cell r="B636" t="str">
            <v>TIXEIRA  GEORGE</v>
          </cell>
          <cell r="C636" t="str">
            <v>FBSL</v>
          </cell>
        </row>
        <row r="637">
          <cell r="A637">
            <v>5792</v>
          </cell>
          <cell r="B637" t="str">
            <v>PATEL SAFIUDDIN R.</v>
          </cell>
          <cell r="C637" t="str">
            <v>FBSL</v>
          </cell>
        </row>
        <row r="638">
          <cell r="A638">
            <v>5815</v>
          </cell>
          <cell r="B638" t="str">
            <v>PATEL BABU SHABBIR</v>
          </cell>
          <cell r="C638" t="str">
            <v>FBSL</v>
          </cell>
        </row>
        <row r="639">
          <cell r="A639">
            <v>5820</v>
          </cell>
          <cell r="B639" t="str">
            <v>PAWAR SHANKAR P.</v>
          </cell>
          <cell r="C639" t="str">
            <v>FBSL</v>
          </cell>
        </row>
        <row r="640">
          <cell r="A640">
            <v>5822</v>
          </cell>
          <cell r="B640" t="str">
            <v>THOMAS P.V.</v>
          </cell>
          <cell r="C640" t="str">
            <v>FBSL</v>
          </cell>
        </row>
        <row r="641">
          <cell r="A641">
            <v>5837</v>
          </cell>
          <cell r="B641" t="str">
            <v>WAHEED MUSTAK A.</v>
          </cell>
          <cell r="C641" t="str">
            <v>FBSL</v>
          </cell>
        </row>
        <row r="642">
          <cell r="A642">
            <v>5920</v>
          </cell>
          <cell r="B642" t="str">
            <v>PATRICK MICHEAL STANLEY</v>
          </cell>
          <cell r="C642" t="str">
            <v>FBSL</v>
          </cell>
        </row>
        <row r="643">
          <cell r="A643">
            <v>6063</v>
          </cell>
          <cell r="B643" t="str">
            <v>D'SOUZA VALERIAN</v>
          </cell>
          <cell r="C643" t="str">
            <v>FBSL</v>
          </cell>
        </row>
        <row r="644">
          <cell r="A644">
            <v>6126</v>
          </cell>
          <cell r="B644" t="str">
            <v>SAWANT ABHAY MR.</v>
          </cell>
          <cell r="C644" t="str">
            <v>FBSL</v>
          </cell>
        </row>
        <row r="645">
          <cell r="A645">
            <v>9514</v>
          </cell>
          <cell r="B645" t="str">
            <v>DANDEKAR SONALI V.</v>
          </cell>
          <cell r="C645" t="str">
            <v>FBSL</v>
          </cell>
        </row>
        <row r="646">
          <cell r="A646">
            <v>9739</v>
          </cell>
          <cell r="B646" t="str">
            <v>PARTHASARATHI SHRIMATI</v>
          </cell>
          <cell r="C646" t="str">
            <v>FBSL</v>
          </cell>
        </row>
        <row r="647">
          <cell r="A647">
            <v>10725</v>
          </cell>
          <cell r="B647" t="str">
            <v>SALDANHA MELWYN</v>
          </cell>
          <cell r="C647" t="str">
            <v>FBSL</v>
          </cell>
        </row>
        <row r="648">
          <cell r="A648">
            <v>2004</v>
          </cell>
          <cell r="B648" t="str">
            <v>NIKAM MANIK UKHARDU</v>
          </cell>
          <cell r="C648" t="str">
            <v>FBST</v>
          </cell>
        </row>
        <row r="649">
          <cell r="A649">
            <v>2687</v>
          </cell>
          <cell r="B649" t="str">
            <v>GAIKWAD JANU RAYA.</v>
          </cell>
          <cell r="C649" t="str">
            <v>FBST</v>
          </cell>
        </row>
        <row r="650">
          <cell r="A650">
            <v>2781</v>
          </cell>
          <cell r="B650" t="str">
            <v>TAMORE BHARAT D.</v>
          </cell>
          <cell r="C650" t="str">
            <v>FBST</v>
          </cell>
        </row>
        <row r="651">
          <cell r="A651">
            <v>2886</v>
          </cell>
          <cell r="B651" t="str">
            <v>ROKDE T.VILAS</v>
          </cell>
          <cell r="C651" t="str">
            <v>FBST</v>
          </cell>
        </row>
        <row r="652">
          <cell r="A652">
            <v>2891</v>
          </cell>
          <cell r="B652" t="str">
            <v>SALAM SHAIKH</v>
          </cell>
          <cell r="C652" t="str">
            <v>FBST</v>
          </cell>
        </row>
        <row r="653">
          <cell r="A653">
            <v>3309</v>
          </cell>
          <cell r="B653" t="str">
            <v>NEGI DHARAM SINGH</v>
          </cell>
          <cell r="C653" t="str">
            <v>FBST</v>
          </cell>
        </row>
        <row r="654">
          <cell r="A654">
            <v>3664</v>
          </cell>
          <cell r="B654" t="str">
            <v>BONIFACE D'SILVA</v>
          </cell>
          <cell r="C654" t="str">
            <v>FBST</v>
          </cell>
        </row>
        <row r="655">
          <cell r="A655">
            <v>3846</v>
          </cell>
          <cell r="B655" t="str">
            <v>BHANDARI BIJENDRA SINGH</v>
          </cell>
          <cell r="C655" t="str">
            <v>FBST</v>
          </cell>
        </row>
        <row r="656">
          <cell r="A656">
            <v>3997</v>
          </cell>
          <cell r="B656" t="str">
            <v>JAGTAP JANARDHAN H.</v>
          </cell>
          <cell r="C656" t="str">
            <v>FBST</v>
          </cell>
        </row>
        <row r="657">
          <cell r="A657">
            <v>4100</v>
          </cell>
          <cell r="B657" t="str">
            <v>MALI RAJARAM T.</v>
          </cell>
          <cell r="C657" t="str">
            <v>FBST</v>
          </cell>
        </row>
        <row r="658">
          <cell r="A658">
            <v>4103</v>
          </cell>
          <cell r="B658" t="str">
            <v>TAMBE PANDURANG G.</v>
          </cell>
          <cell r="C658" t="str">
            <v>FBST</v>
          </cell>
        </row>
        <row r="659">
          <cell r="A659">
            <v>4109</v>
          </cell>
          <cell r="B659" t="str">
            <v>SHINDE BHIKU N.</v>
          </cell>
          <cell r="C659" t="str">
            <v>FBST</v>
          </cell>
        </row>
        <row r="660">
          <cell r="A660">
            <v>4110</v>
          </cell>
          <cell r="B660" t="str">
            <v>PAWAR SUDAM N.</v>
          </cell>
          <cell r="C660" t="str">
            <v>FBST</v>
          </cell>
        </row>
        <row r="661">
          <cell r="A661">
            <v>4269</v>
          </cell>
          <cell r="B661" t="str">
            <v>NAKTE SHANTARAM B.</v>
          </cell>
          <cell r="C661" t="str">
            <v>FBST</v>
          </cell>
        </row>
        <row r="662">
          <cell r="A662">
            <v>4286</v>
          </cell>
          <cell r="B662" t="str">
            <v>LOKHANDE BHAGURAM LAXMAN</v>
          </cell>
          <cell r="C662" t="str">
            <v>FBST</v>
          </cell>
        </row>
        <row r="663">
          <cell r="A663">
            <v>4551</v>
          </cell>
          <cell r="B663" t="str">
            <v>MORE SHIVAJI M.</v>
          </cell>
          <cell r="C663" t="str">
            <v>FBST</v>
          </cell>
        </row>
        <row r="664">
          <cell r="A664">
            <v>4555</v>
          </cell>
          <cell r="B664" t="str">
            <v>THANGAMUTHU S.V.</v>
          </cell>
          <cell r="C664" t="str">
            <v>FBST</v>
          </cell>
        </row>
        <row r="665">
          <cell r="A665">
            <v>4556</v>
          </cell>
          <cell r="B665" t="str">
            <v>YADAV HARI SIDHARTH</v>
          </cell>
          <cell r="C665" t="str">
            <v>FBST</v>
          </cell>
        </row>
        <row r="666">
          <cell r="A666">
            <v>4557</v>
          </cell>
          <cell r="B666" t="str">
            <v>SHIRKE GOVIND C.</v>
          </cell>
          <cell r="C666" t="str">
            <v>FBST</v>
          </cell>
        </row>
        <row r="667">
          <cell r="A667">
            <v>4945</v>
          </cell>
          <cell r="B667" t="str">
            <v>YADAV RAMDAS KALIA.</v>
          </cell>
          <cell r="C667" t="str">
            <v>FBST</v>
          </cell>
        </row>
        <row r="668">
          <cell r="A668">
            <v>5061</v>
          </cell>
          <cell r="B668" t="str">
            <v>RANA KAMAL SINGH</v>
          </cell>
          <cell r="C668" t="str">
            <v>FBST</v>
          </cell>
        </row>
        <row r="669">
          <cell r="A669">
            <v>5064</v>
          </cell>
          <cell r="B669" t="str">
            <v>KHERADE NARAYAN M.</v>
          </cell>
          <cell r="C669" t="str">
            <v>FBST</v>
          </cell>
        </row>
        <row r="670">
          <cell r="A670">
            <v>5067</v>
          </cell>
          <cell r="B670" t="str">
            <v>QURESHI RAFIQUE N.</v>
          </cell>
          <cell r="C670" t="str">
            <v>FBST</v>
          </cell>
        </row>
        <row r="671">
          <cell r="A671">
            <v>5095</v>
          </cell>
          <cell r="B671" t="str">
            <v>ROKDE KAILASH T.</v>
          </cell>
          <cell r="C671" t="str">
            <v>FBST</v>
          </cell>
        </row>
        <row r="672">
          <cell r="A672">
            <v>5096</v>
          </cell>
          <cell r="B672" t="str">
            <v>GHUGE YADAV V.</v>
          </cell>
          <cell r="C672" t="str">
            <v>FBST</v>
          </cell>
        </row>
        <row r="673">
          <cell r="A673">
            <v>5097</v>
          </cell>
          <cell r="B673" t="str">
            <v>MAHAR GOVIND SINGH</v>
          </cell>
          <cell r="C673" t="str">
            <v>FBST</v>
          </cell>
        </row>
        <row r="674">
          <cell r="A674">
            <v>5201</v>
          </cell>
          <cell r="B674" t="str">
            <v>MOHD.SALIM</v>
          </cell>
          <cell r="C674" t="str">
            <v>FBST</v>
          </cell>
        </row>
        <row r="675">
          <cell r="A675">
            <v>5212</v>
          </cell>
          <cell r="B675" t="str">
            <v>SALUNKHE BHIMRAO M.</v>
          </cell>
          <cell r="C675" t="str">
            <v>FBST</v>
          </cell>
        </row>
        <row r="676">
          <cell r="A676">
            <v>5213</v>
          </cell>
          <cell r="B676" t="str">
            <v>SALUNKHE RAGHUNATH.</v>
          </cell>
          <cell r="C676" t="str">
            <v>FBST</v>
          </cell>
        </row>
        <row r="677">
          <cell r="A677">
            <v>5230</v>
          </cell>
          <cell r="B677" t="str">
            <v>KIROLKAR ANANDA D.</v>
          </cell>
          <cell r="C677" t="str">
            <v>FBST</v>
          </cell>
        </row>
        <row r="678">
          <cell r="A678">
            <v>5352</v>
          </cell>
          <cell r="B678" t="str">
            <v>RAJE MADHUKAR R.</v>
          </cell>
          <cell r="C678" t="str">
            <v>FBST</v>
          </cell>
        </row>
        <row r="679">
          <cell r="A679">
            <v>5370</v>
          </cell>
          <cell r="B679" t="str">
            <v>GAIKWAD MACHINDRA S.</v>
          </cell>
          <cell r="C679" t="str">
            <v>FBST</v>
          </cell>
        </row>
        <row r="680">
          <cell r="A680">
            <v>5371</v>
          </cell>
          <cell r="B680" t="str">
            <v>RAUT RAMCHANDRA</v>
          </cell>
          <cell r="C680" t="str">
            <v>FBST</v>
          </cell>
        </row>
        <row r="681">
          <cell r="A681">
            <v>5387</v>
          </cell>
          <cell r="B681" t="str">
            <v>GAIKWAD DEVRAM B.</v>
          </cell>
          <cell r="C681" t="str">
            <v>FBST</v>
          </cell>
        </row>
        <row r="682">
          <cell r="A682">
            <v>5388</v>
          </cell>
          <cell r="B682" t="str">
            <v>PAWAR SADANAND N.</v>
          </cell>
          <cell r="C682" t="str">
            <v>FBST</v>
          </cell>
        </row>
        <row r="683">
          <cell r="A683">
            <v>5392</v>
          </cell>
          <cell r="B683" t="str">
            <v>MORE RAMESH KANOO</v>
          </cell>
          <cell r="C683" t="str">
            <v>FBST</v>
          </cell>
        </row>
        <row r="684">
          <cell r="A684">
            <v>5402</v>
          </cell>
          <cell r="B684" t="str">
            <v>JADHAV RAMAKANT S.</v>
          </cell>
          <cell r="C684" t="str">
            <v>FBST</v>
          </cell>
        </row>
        <row r="685">
          <cell r="A685">
            <v>5512</v>
          </cell>
          <cell r="B685" t="str">
            <v>HATE RAJENDRA P.</v>
          </cell>
          <cell r="C685" t="str">
            <v>FBST</v>
          </cell>
        </row>
        <row r="686">
          <cell r="A686">
            <v>5519</v>
          </cell>
          <cell r="B686" t="str">
            <v>KADAM CHANDRAKANT B.</v>
          </cell>
          <cell r="C686" t="str">
            <v>FBST</v>
          </cell>
        </row>
        <row r="687">
          <cell r="A687">
            <v>5793</v>
          </cell>
          <cell r="B687" t="str">
            <v>BAGGAM KAMAL H.</v>
          </cell>
          <cell r="C687" t="str">
            <v>FBST</v>
          </cell>
        </row>
        <row r="688">
          <cell r="A688">
            <v>5794</v>
          </cell>
          <cell r="B688" t="str">
            <v>PATEL SALIM G.</v>
          </cell>
          <cell r="C688" t="str">
            <v>FBST</v>
          </cell>
        </row>
        <row r="689">
          <cell r="A689">
            <v>5796</v>
          </cell>
          <cell r="B689" t="str">
            <v>KOKANE KHANDU B.</v>
          </cell>
          <cell r="C689" t="str">
            <v>FBST</v>
          </cell>
        </row>
        <row r="690">
          <cell r="A690">
            <v>5797</v>
          </cell>
          <cell r="B690" t="str">
            <v>YELVE SIDHARTH B.</v>
          </cell>
          <cell r="C690" t="str">
            <v>FBST</v>
          </cell>
        </row>
        <row r="691">
          <cell r="A691">
            <v>5799</v>
          </cell>
          <cell r="B691" t="str">
            <v>JADHAV MAHADEO BABU.</v>
          </cell>
          <cell r="C691" t="str">
            <v>FBST</v>
          </cell>
        </row>
        <row r="692">
          <cell r="A692">
            <v>5801</v>
          </cell>
          <cell r="B692" t="str">
            <v>SILVRAJ SUBBAYA</v>
          </cell>
          <cell r="C692" t="str">
            <v>FBST</v>
          </cell>
        </row>
        <row r="693">
          <cell r="A693">
            <v>5809</v>
          </cell>
          <cell r="B693" t="str">
            <v>SINGH GANESH INDERSINGH</v>
          </cell>
          <cell r="C693" t="str">
            <v>FBST</v>
          </cell>
        </row>
        <row r="694">
          <cell r="A694">
            <v>5810</v>
          </cell>
          <cell r="B694" t="str">
            <v>PATEL TAHER B.</v>
          </cell>
          <cell r="C694" t="str">
            <v>FBST</v>
          </cell>
        </row>
        <row r="695">
          <cell r="A695">
            <v>5812</v>
          </cell>
          <cell r="B695" t="str">
            <v>SINGH PADAMSINGH</v>
          </cell>
          <cell r="C695" t="str">
            <v>FBST</v>
          </cell>
        </row>
        <row r="696">
          <cell r="A696">
            <v>5909</v>
          </cell>
          <cell r="B696" t="str">
            <v>SHINDE ZAKASH B.</v>
          </cell>
          <cell r="C696" t="str">
            <v>FBST</v>
          </cell>
        </row>
        <row r="697">
          <cell r="A697">
            <v>5910</v>
          </cell>
          <cell r="B697" t="str">
            <v>NISHAR ALI SAYED</v>
          </cell>
          <cell r="C697" t="str">
            <v>FBST</v>
          </cell>
        </row>
        <row r="698">
          <cell r="A698">
            <v>5911</v>
          </cell>
          <cell r="B698" t="str">
            <v>YELVE BHAGOJI GANPAT</v>
          </cell>
          <cell r="C698" t="str">
            <v>FBST</v>
          </cell>
        </row>
        <row r="699">
          <cell r="A699">
            <v>5922</v>
          </cell>
          <cell r="B699" t="str">
            <v>KAMBLE BALOO K.</v>
          </cell>
          <cell r="C699" t="str">
            <v>FBST</v>
          </cell>
        </row>
        <row r="700">
          <cell r="A700">
            <v>5981</v>
          </cell>
          <cell r="B700" t="str">
            <v>JADHAV SURESH B.</v>
          </cell>
          <cell r="C700" t="str">
            <v>FBST</v>
          </cell>
        </row>
        <row r="701">
          <cell r="A701">
            <v>6140</v>
          </cell>
          <cell r="B701" t="str">
            <v>TIVREKAR VISHWAS</v>
          </cell>
          <cell r="C701" t="str">
            <v>FBST</v>
          </cell>
        </row>
        <row r="702">
          <cell r="A702">
            <v>6208</v>
          </cell>
          <cell r="B702" t="str">
            <v>KHAIRE RAJENDRA T.</v>
          </cell>
          <cell r="C702" t="str">
            <v>FBST</v>
          </cell>
        </row>
        <row r="703">
          <cell r="A703">
            <v>6209</v>
          </cell>
          <cell r="B703" t="str">
            <v>KHOT ANAND K.</v>
          </cell>
          <cell r="C703" t="str">
            <v>FBST</v>
          </cell>
        </row>
        <row r="704">
          <cell r="A704">
            <v>6210</v>
          </cell>
          <cell r="B704" t="str">
            <v>PATIL L.UMAKANT</v>
          </cell>
          <cell r="C704" t="str">
            <v>FBST</v>
          </cell>
        </row>
        <row r="705">
          <cell r="A705">
            <v>6218</v>
          </cell>
          <cell r="B705" t="str">
            <v>MURKAR B.A.</v>
          </cell>
          <cell r="C705" t="str">
            <v>FBST</v>
          </cell>
        </row>
        <row r="706">
          <cell r="A706">
            <v>6227</v>
          </cell>
          <cell r="B706" t="str">
            <v>GURAV ANAND V.</v>
          </cell>
          <cell r="C706" t="str">
            <v>FBST</v>
          </cell>
        </row>
        <row r="707">
          <cell r="A707">
            <v>6230</v>
          </cell>
          <cell r="B707" t="str">
            <v>SHARMA RAMPRASHAD K.</v>
          </cell>
          <cell r="C707" t="str">
            <v>FBST</v>
          </cell>
        </row>
        <row r="708">
          <cell r="A708">
            <v>6243</v>
          </cell>
          <cell r="B708" t="str">
            <v>BHALERAO VIJAY D.</v>
          </cell>
          <cell r="C708" t="str">
            <v>FBST</v>
          </cell>
        </row>
        <row r="709">
          <cell r="A709">
            <v>6277</v>
          </cell>
          <cell r="B709" t="str">
            <v>GOSHALKAR MANGESH V.</v>
          </cell>
          <cell r="C709" t="str">
            <v>FBST</v>
          </cell>
        </row>
        <row r="710">
          <cell r="A710">
            <v>6297</v>
          </cell>
          <cell r="B710" t="str">
            <v>MALWANKAR TULSIRAM M.</v>
          </cell>
          <cell r="C710" t="str">
            <v>FBST</v>
          </cell>
        </row>
        <row r="711">
          <cell r="A711">
            <v>6416</v>
          </cell>
          <cell r="B711" t="str">
            <v>YELVE DILIP D.</v>
          </cell>
          <cell r="C711" t="str">
            <v>FBST</v>
          </cell>
        </row>
        <row r="712">
          <cell r="A712">
            <v>6531</v>
          </cell>
          <cell r="B712" t="str">
            <v>CHAUDHARI DILIP RAMCHANDR</v>
          </cell>
          <cell r="C712" t="str">
            <v>FBST</v>
          </cell>
        </row>
        <row r="713">
          <cell r="A713">
            <v>6758</v>
          </cell>
          <cell r="B713" t="str">
            <v>MERCHANDE ANIL H.</v>
          </cell>
          <cell r="C713" t="str">
            <v>FBST</v>
          </cell>
        </row>
        <row r="714">
          <cell r="A714">
            <v>6827</v>
          </cell>
          <cell r="B714" t="str">
            <v>JADHAV ASHOK D.</v>
          </cell>
          <cell r="C714" t="str">
            <v>FBST</v>
          </cell>
        </row>
        <row r="715">
          <cell r="A715">
            <v>6990</v>
          </cell>
          <cell r="B715" t="str">
            <v>BHAGNAGRI TAJUDDIN A.</v>
          </cell>
          <cell r="C715" t="str">
            <v>FBST</v>
          </cell>
        </row>
        <row r="716">
          <cell r="A716">
            <v>6991</v>
          </cell>
          <cell r="B716" t="str">
            <v>BHAYE AJIT LAXMAN.</v>
          </cell>
          <cell r="C716" t="str">
            <v>FBST</v>
          </cell>
        </row>
        <row r="717">
          <cell r="A717">
            <v>6997</v>
          </cell>
          <cell r="B717" t="str">
            <v>JADHAV BHAGURAM S.</v>
          </cell>
          <cell r="C717" t="str">
            <v>FBST</v>
          </cell>
        </row>
        <row r="718">
          <cell r="A718">
            <v>6998</v>
          </cell>
          <cell r="B718" t="str">
            <v>SAWANT AJAY DEVRAM</v>
          </cell>
          <cell r="C718" t="str">
            <v>FBST</v>
          </cell>
        </row>
        <row r="719">
          <cell r="A719">
            <v>7000</v>
          </cell>
          <cell r="B719" t="str">
            <v>CHAVAN POPAT MANOHAR</v>
          </cell>
          <cell r="C719" t="str">
            <v>FBST</v>
          </cell>
        </row>
        <row r="720">
          <cell r="A720">
            <v>7003</v>
          </cell>
          <cell r="B720" t="str">
            <v>PATHAN SALIM A.</v>
          </cell>
          <cell r="C720" t="str">
            <v>FBST</v>
          </cell>
        </row>
        <row r="721">
          <cell r="A721">
            <v>7004</v>
          </cell>
          <cell r="B721" t="str">
            <v>MOHALKAR MUSTAQUE</v>
          </cell>
          <cell r="C721" t="str">
            <v>FBST</v>
          </cell>
        </row>
        <row r="722">
          <cell r="A722">
            <v>7005</v>
          </cell>
          <cell r="B722" t="str">
            <v>VIBHUTE KIRAN MAHADEO</v>
          </cell>
          <cell r="C722" t="str">
            <v>FBST</v>
          </cell>
        </row>
        <row r="723">
          <cell r="A723">
            <v>7008</v>
          </cell>
          <cell r="B723" t="str">
            <v>YELVE SUKUMAR V.</v>
          </cell>
          <cell r="C723" t="str">
            <v>FBST</v>
          </cell>
        </row>
        <row r="724">
          <cell r="A724">
            <v>7221</v>
          </cell>
          <cell r="B724" t="str">
            <v>MERCHANDE JITENDRA P.</v>
          </cell>
          <cell r="C724" t="str">
            <v>FBST</v>
          </cell>
        </row>
        <row r="725">
          <cell r="A725">
            <v>10095</v>
          </cell>
          <cell r="B725" t="str">
            <v>SHIVCHARAN RAJENDRA</v>
          </cell>
          <cell r="C725" t="str">
            <v>FBST</v>
          </cell>
        </row>
        <row r="726">
          <cell r="A726">
            <v>10400</v>
          </cell>
          <cell r="B726" t="str">
            <v>PAWAR MOHAN PANDURANG</v>
          </cell>
          <cell r="C726" t="str">
            <v>FBST</v>
          </cell>
        </row>
        <row r="727">
          <cell r="A727">
            <v>10718</v>
          </cell>
          <cell r="B727" t="str">
            <v>MACHILE SUNIL</v>
          </cell>
          <cell r="C727" t="str">
            <v>FBST</v>
          </cell>
        </row>
        <row r="728">
          <cell r="A728">
            <v>31409</v>
          </cell>
          <cell r="B728" t="str">
            <v>LOKHANDE BHARAT</v>
          </cell>
          <cell r="C728" t="str">
            <v>FBST</v>
          </cell>
        </row>
        <row r="729">
          <cell r="A729">
            <v>1500</v>
          </cell>
          <cell r="B729" t="str">
            <v>GRACIAS DOMINIC J.</v>
          </cell>
          <cell r="C729" t="str">
            <v>FBTJ</v>
          </cell>
        </row>
        <row r="730">
          <cell r="A730">
            <v>1952</v>
          </cell>
          <cell r="B730" t="str">
            <v>RATHOD MOHAN KESHAV</v>
          </cell>
          <cell r="C730" t="str">
            <v>FBTJ</v>
          </cell>
        </row>
        <row r="731">
          <cell r="A731">
            <v>2352</v>
          </cell>
          <cell r="B731" t="str">
            <v>PANGAM LAXMAN D.</v>
          </cell>
          <cell r="C731" t="str">
            <v>FBTJ</v>
          </cell>
        </row>
        <row r="732">
          <cell r="A732">
            <v>2695</v>
          </cell>
          <cell r="B732" t="str">
            <v>ROHIT CHAGANLAL LALLU</v>
          </cell>
          <cell r="C732" t="str">
            <v>FBTJ</v>
          </cell>
        </row>
        <row r="733">
          <cell r="A733">
            <v>2842</v>
          </cell>
          <cell r="B733" t="str">
            <v>TAMBOLI K.M.</v>
          </cell>
          <cell r="C733" t="str">
            <v>FBTJ</v>
          </cell>
        </row>
        <row r="734">
          <cell r="A734">
            <v>3023</v>
          </cell>
          <cell r="B734" t="str">
            <v>KHAN NAWAZ BASHIR KHAN</v>
          </cell>
          <cell r="C734" t="str">
            <v>FBTJ</v>
          </cell>
        </row>
        <row r="735">
          <cell r="A735">
            <v>3303</v>
          </cell>
          <cell r="B735" t="str">
            <v>RODRIGUES ALEX G.</v>
          </cell>
          <cell r="C735" t="str">
            <v>FBTJ</v>
          </cell>
        </row>
        <row r="736">
          <cell r="A736">
            <v>3977</v>
          </cell>
          <cell r="B736" t="str">
            <v>DHATRAK BANSI S.</v>
          </cell>
          <cell r="C736" t="str">
            <v>FBTJ</v>
          </cell>
        </row>
        <row r="737">
          <cell r="A737">
            <v>4410</v>
          </cell>
          <cell r="B737" t="str">
            <v>D,SOUZA J. RONALD</v>
          </cell>
          <cell r="C737" t="str">
            <v>FBTJ</v>
          </cell>
        </row>
        <row r="738">
          <cell r="A738">
            <v>4735</v>
          </cell>
          <cell r="B738" t="str">
            <v>DRIVER ASPI MINOO</v>
          </cell>
          <cell r="C738" t="str">
            <v>FBTJ</v>
          </cell>
        </row>
        <row r="739">
          <cell r="A739">
            <v>4876</v>
          </cell>
          <cell r="B739" t="str">
            <v>RAHMATHULLA S.</v>
          </cell>
          <cell r="C739" t="str">
            <v>FBTJ</v>
          </cell>
        </row>
        <row r="740">
          <cell r="A740">
            <v>5060</v>
          </cell>
          <cell r="B740" t="str">
            <v>YELVE G. RAMCHANDRA</v>
          </cell>
          <cell r="C740" t="str">
            <v>FBTJ</v>
          </cell>
        </row>
        <row r="741">
          <cell r="A741">
            <v>5382</v>
          </cell>
          <cell r="B741" t="str">
            <v>SHAIK ISMAIL HASSAN A.</v>
          </cell>
          <cell r="C741" t="str">
            <v>FBTJ</v>
          </cell>
        </row>
        <row r="742">
          <cell r="A742">
            <v>5828</v>
          </cell>
          <cell r="B742" t="str">
            <v>MYAKAL PANDURANG</v>
          </cell>
          <cell r="C742" t="str">
            <v>FBTJ</v>
          </cell>
        </row>
        <row r="743">
          <cell r="A743">
            <v>5923</v>
          </cell>
          <cell r="B743" t="str">
            <v>SHINDE RAMESH DAGDOO</v>
          </cell>
          <cell r="C743" t="str">
            <v>FBTJ</v>
          </cell>
        </row>
        <row r="744">
          <cell r="A744">
            <v>5928</v>
          </cell>
          <cell r="B744" t="str">
            <v>PUROHIT PRADEEP JAYRAM</v>
          </cell>
          <cell r="C744" t="str">
            <v>FBTJ</v>
          </cell>
        </row>
        <row r="745">
          <cell r="A745">
            <v>8700</v>
          </cell>
          <cell r="B745" t="str">
            <v>SHARMA SUNIL</v>
          </cell>
          <cell r="C745" t="str">
            <v>FBTJ</v>
          </cell>
        </row>
        <row r="746">
          <cell r="A746">
            <v>9444</v>
          </cell>
          <cell r="B746" t="str">
            <v>VARGHESE AASLESH</v>
          </cell>
          <cell r="C746" t="str">
            <v>FBTJ</v>
          </cell>
        </row>
        <row r="747">
          <cell r="A747">
            <v>10709</v>
          </cell>
          <cell r="B747" t="str">
            <v>BADHE PRACHI</v>
          </cell>
          <cell r="C747" t="str">
            <v>FBTJ</v>
          </cell>
        </row>
        <row r="748">
          <cell r="A748">
            <v>10714</v>
          </cell>
          <cell r="B748" t="str">
            <v>GHOSH BANI</v>
          </cell>
          <cell r="C748" t="str">
            <v>FBTJ</v>
          </cell>
        </row>
        <row r="749">
          <cell r="A749">
            <v>30815</v>
          </cell>
          <cell r="B749" t="str">
            <v>MENEZES VIVIAN</v>
          </cell>
          <cell r="C749" t="str">
            <v>FBTJ</v>
          </cell>
        </row>
        <row r="750">
          <cell r="A750">
            <v>30882</v>
          </cell>
          <cell r="B750" t="str">
            <v>DIGHE RUPESHKUMAR</v>
          </cell>
          <cell r="C750" t="str">
            <v>FBTJ</v>
          </cell>
        </row>
        <row r="751">
          <cell r="A751">
            <v>31120</v>
          </cell>
          <cell r="B751" t="str">
            <v>PANT CHANDRA PRASAD</v>
          </cell>
          <cell r="C751" t="str">
            <v>FBTJ</v>
          </cell>
        </row>
        <row r="752">
          <cell r="A752">
            <v>3047</v>
          </cell>
          <cell r="B752" t="str">
            <v>IYER SITARAMAN</v>
          </cell>
          <cell r="C752" t="str">
            <v>FBZO</v>
          </cell>
        </row>
        <row r="753">
          <cell r="A753">
            <v>4122</v>
          </cell>
          <cell r="B753" t="str">
            <v>RODRIGUES DOMNIC</v>
          </cell>
          <cell r="C753" t="str">
            <v>FBZO</v>
          </cell>
        </row>
        <row r="754">
          <cell r="A754">
            <v>5156</v>
          </cell>
          <cell r="B754" t="str">
            <v>CRASTO CAJETAN</v>
          </cell>
          <cell r="C754" t="str">
            <v>FBZO</v>
          </cell>
        </row>
        <row r="755">
          <cell r="A755">
            <v>6124</v>
          </cell>
          <cell r="B755" t="str">
            <v>CLEMENT NETSON</v>
          </cell>
          <cell r="C755" t="str">
            <v>FBZO</v>
          </cell>
        </row>
        <row r="756">
          <cell r="A756">
            <v>6819</v>
          </cell>
          <cell r="B756" t="str">
            <v>FERNANDES ANSLEM P.</v>
          </cell>
          <cell r="C756" t="str">
            <v>FBZO</v>
          </cell>
        </row>
        <row r="757">
          <cell r="A757">
            <v>7098</v>
          </cell>
          <cell r="B757" t="str">
            <v>BANGERA PRAKASH</v>
          </cell>
          <cell r="C757" t="str">
            <v>FBZO</v>
          </cell>
        </row>
        <row r="758">
          <cell r="A758">
            <v>8532</v>
          </cell>
          <cell r="B758" t="str">
            <v>DHIR ANUJ K.</v>
          </cell>
          <cell r="C758" t="str">
            <v>FBZO</v>
          </cell>
        </row>
        <row r="759">
          <cell r="A759">
            <v>8809</v>
          </cell>
          <cell r="B759" t="str">
            <v>PHADNIS SAMIR</v>
          </cell>
          <cell r="C759" t="str">
            <v>FBZO</v>
          </cell>
        </row>
        <row r="760">
          <cell r="A760">
            <v>8936</v>
          </cell>
          <cell r="B760" t="str">
            <v>MODAK ASHISH</v>
          </cell>
          <cell r="C760" t="str">
            <v>FBZO</v>
          </cell>
        </row>
        <row r="761">
          <cell r="A761">
            <v>9210</v>
          </cell>
          <cell r="B761" t="str">
            <v>ISAAC NEIL D.</v>
          </cell>
          <cell r="C761" t="str">
            <v>FBZO</v>
          </cell>
        </row>
        <row r="762">
          <cell r="A762">
            <v>9546</v>
          </cell>
          <cell r="B762" t="str">
            <v>RODRIGUES ANTHONY</v>
          </cell>
          <cell r="C762" t="str">
            <v>FBZO</v>
          </cell>
        </row>
        <row r="763">
          <cell r="A763">
            <v>10168</v>
          </cell>
          <cell r="B763" t="str">
            <v>CHARNA BINAIFER</v>
          </cell>
          <cell r="C763" t="str">
            <v>FBZO</v>
          </cell>
        </row>
        <row r="764">
          <cell r="A764">
            <v>30819</v>
          </cell>
          <cell r="B764" t="str">
            <v>ANSARI MOHAMMED UMAR</v>
          </cell>
          <cell r="C764" t="str">
            <v>FBZO</v>
          </cell>
        </row>
        <row r="765">
          <cell r="A765">
            <v>30821</v>
          </cell>
          <cell r="B765" t="str">
            <v>HALYBURTON SHANE</v>
          </cell>
          <cell r="C765" t="str">
            <v>FBZO</v>
          </cell>
        </row>
        <row r="766">
          <cell r="A766">
            <v>30834</v>
          </cell>
          <cell r="B766" t="str">
            <v>MASCARENHAS ROBIN</v>
          </cell>
          <cell r="C766" t="str">
            <v>FBZO</v>
          </cell>
        </row>
        <row r="767">
          <cell r="A767">
            <v>31126</v>
          </cell>
          <cell r="B767" t="str">
            <v>MENDES SAVIO</v>
          </cell>
          <cell r="C767" t="str">
            <v>FBZO</v>
          </cell>
        </row>
        <row r="768">
          <cell r="A768">
            <v>1114</v>
          </cell>
          <cell r="B768" t="str">
            <v>PAWAR BABURAO MAHADOO</v>
          </cell>
          <cell r="C768" t="str">
            <v>FROF</v>
          </cell>
        </row>
        <row r="769">
          <cell r="A769">
            <v>2026</v>
          </cell>
          <cell r="B769" t="str">
            <v>PATKAR HEMANT A.</v>
          </cell>
          <cell r="C769" t="str">
            <v>FROF</v>
          </cell>
        </row>
        <row r="770">
          <cell r="A770">
            <v>2372</v>
          </cell>
          <cell r="B770" t="str">
            <v>RAO MARIO ANGELLO</v>
          </cell>
          <cell r="C770" t="str">
            <v>FROF</v>
          </cell>
        </row>
        <row r="771">
          <cell r="A771">
            <v>2442</v>
          </cell>
          <cell r="B771" t="str">
            <v>BHALERAO GOVIND GANPAT</v>
          </cell>
          <cell r="C771" t="str">
            <v>FROF</v>
          </cell>
        </row>
        <row r="772">
          <cell r="A772">
            <v>2744</v>
          </cell>
          <cell r="B772" t="str">
            <v>SHARMA RAMU B.</v>
          </cell>
          <cell r="C772" t="str">
            <v>FROF</v>
          </cell>
        </row>
        <row r="773">
          <cell r="A773">
            <v>2867</v>
          </cell>
          <cell r="B773" t="str">
            <v>DAWRE BABAN S.</v>
          </cell>
          <cell r="C773" t="str">
            <v>FROF</v>
          </cell>
        </row>
        <row r="774">
          <cell r="A774">
            <v>3031</v>
          </cell>
          <cell r="B774" t="str">
            <v>TRIVEDI MITHALAL</v>
          </cell>
          <cell r="C774" t="str">
            <v>FROF</v>
          </cell>
        </row>
        <row r="775">
          <cell r="A775">
            <v>3056</v>
          </cell>
          <cell r="B775" t="str">
            <v>GOMARAM MOBARSA</v>
          </cell>
          <cell r="C775" t="str">
            <v>FROF</v>
          </cell>
        </row>
        <row r="776">
          <cell r="A776">
            <v>3357</v>
          </cell>
          <cell r="B776" t="str">
            <v>MENDES CAJETAN</v>
          </cell>
          <cell r="C776" t="str">
            <v>FROF</v>
          </cell>
        </row>
        <row r="777">
          <cell r="A777">
            <v>3374</v>
          </cell>
          <cell r="B777" t="str">
            <v>AMIN SHANKAR B.</v>
          </cell>
          <cell r="C777" t="str">
            <v>FROF</v>
          </cell>
        </row>
        <row r="778">
          <cell r="A778">
            <v>3376</v>
          </cell>
          <cell r="B778" t="str">
            <v>NEGI BACHANSINGH R.</v>
          </cell>
          <cell r="C778" t="str">
            <v>FROF</v>
          </cell>
        </row>
        <row r="779">
          <cell r="A779">
            <v>3399</v>
          </cell>
          <cell r="B779" t="str">
            <v>PANTHAKY PERCY E.</v>
          </cell>
          <cell r="C779" t="str">
            <v>FROF</v>
          </cell>
        </row>
        <row r="780">
          <cell r="A780">
            <v>3500</v>
          </cell>
          <cell r="B780" t="str">
            <v>BANERJEE ARUN HARI</v>
          </cell>
          <cell r="C780" t="str">
            <v>FROF</v>
          </cell>
        </row>
        <row r="781">
          <cell r="A781">
            <v>3599</v>
          </cell>
          <cell r="B781" t="str">
            <v>MORE PANDURANG K.</v>
          </cell>
          <cell r="C781" t="str">
            <v>FROF</v>
          </cell>
        </row>
        <row r="782">
          <cell r="A782">
            <v>3648</v>
          </cell>
          <cell r="B782" t="str">
            <v>D'SOUZA ROBERT</v>
          </cell>
          <cell r="C782" t="str">
            <v>FROF</v>
          </cell>
        </row>
        <row r="783">
          <cell r="A783">
            <v>3842</v>
          </cell>
          <cell r="B783" t="str">
            <v>SANAP NARAYAN D.</v>
          </cell>
          <cell r="C783" t="str">
            <v>FROF</v>
          </cell>
        </row>
        <row r="784">
          <cell r="A784">
            <v>3872</v>
          </cell>
          <cell r="B784" t="str">
            <v>MAHROLIA SATISH C.</v>
          </cell>
          <cell r="C784" t="str">
            <v>FROF</v>
          </cell>
        </row>
        <row r="785">
          <cell r="A785">
            <v>3883</v>
          </cell>
          <cell r="B785" t="str">
            <v>RUMWALLA SHARUKH F.</v>
          </cell>
          <cell r="C785" t="str">
            <v>FROF</v>
          </cell>
        </row>
        <row r="786">
          <cell r="A786">
            <v>3888</v>
          </cell>
          <cell r="B786" t="str">
            <v>D,SOUZA ALBERT</v>
          </cell>
          <cell r="C786" t="str">
            <v>FROF</v>
          </cell>
        </row>
        <row r="787">
          <cell r="A787">
            <v>4027</v>
          </cell>
          <cell r="B787" t="str">
            <v>KALYANIWALLA MEHERNOSH</v>
          </cell>
          <cell r="C787" t="str">
            <v>FROF</v>
          </cell>
        </row>
        <row r="788">
          <cell r="A788">
            <v>4034</v>
          </cell>
          <cell r="B788" t="str">
            <v>BHATHENA GODREJ.</v>
          </cell>
          <cell r="C788" t="str">
            <v>FROF</v>
          </cell>
        </row>
        <row r="789">
          <cell r="A789">
            <v>4071</v>
          </cell>
          <cell r="B789" t="str">
            <v>IRANI PHIROZEA ASPI</v>
          </cell>
          <cell r="C789" t="str">
            <v>FROF</v>
          </cell>
        </row>
        <row r="790">
          <cell r="A790">
            <v>4077</v>
          </cell>
          <cell r="B790" t="str">
            <v>SILVEIRA MICHAEL</v>
          </cell>
          <cell r="C790" t="str">
            <v>FROF</v>
          </cell>
        </row>
        <row r="791">
          <cell r="A791">
            <v>4208</v>
          </cell>
          <cell r="B791" t="str">
            <v>NAIR K.M.</v>
          </cell>
          <cell r="C791" t="str">
            <v>FROF</v>
          </cell>
        </row>
        <row r="792">
          <cell r="A792">
            <v>4411</v>
          </cell>
          <cell r="B792" t="str">
            <v>BHARUCHA PERCY N.</v>
          </cell>
          <cell r="C792" t="str">
            <v>FROF</v>
          </cell>
        </row>
        <row r="793">
          <cell r="A793">
            <v>4450</v>
          </cell>
          <cell r="B793" t="str">
            <v>MENDADKAR SHIVDAS D.</v>
          </cell>
          <cell r="C793" t="str">
            <v>FROF</v>
          </cell>
        </row>
        <row r="794">
          <cell r="A794">
            <v>4599</v>
          </cell>
          <cell r="B794" t="str">
            <v>VERANKAR SUHAS S.</v>
          </cell>
          <cell r="C794" t="str">
            <v>FROF</v>
          </cell>
        </row>
        <row r="795">
          <cell r="A795">
            <v>4615</v>
          </cell>
          <cell r="B795" t="str">
            <v>JAGTAP TANAJI K.</v>
          </cell>
          <cell r="C795" t="str">
            <v>FROF</v>
          </cell>
        </row>
        <row r="796">
          <cell r="A796">
            <v>4750</v>
          </cell>
          <cell r="B796" t="str">
            <v>BRAHMNE PRAKASH</v>
          </cell>
          <cell r="C796" t="str">
            <v>FROF</v>
          </cell>
        </row>
        <row r="797">
          <cell r="A797">
            <v>4804</v>
          </cell>
          <cell r="B797" t="str">
            <v>SHINDE GANPAT R.</v>
          </cell>
          <cell r="C797" t="str">
            <v>FROF</v>
          </cell>
        </row>
        <row r="798">
          <cell r="A798">
            <v>4887</v>
          </cell>
          <cell r="B798" t="str">
            <v>BHALERAO KAILASH</v>
          </cell>
          <cell r="C798" t="str">
            <v>FROF</v>
          </cell>
        </row>
        <row r="799">
          <cell r="A799">
            <v>4911</v>
          </cell>
          <cell r="B799" t="str">
            <v>KALGHATGI V.G.</v>
          </cell>
          <cell r="C799" t="str">
            <v>FROF</v>
          </cell>
        </row>
        <row r="800">
          <cell r="A800">
            <v>4928</v>
          </cell>
          <cell r="B800" t="str">
            <v>NATRAJAN KRISHNAMURTHY</v>
          </cell>
          <cell r="C800" t="str">
            <v>FROF</v>
          </cell>
        </row>
        <row r="801">
          <cell r="A801">
            <v>4942</v>
          </cell>
          <cell r="B801" t="str">
            <v>PATEKAR SATISH R.</v>
          </cell>
          <cell r="C801" t="str">
            <v>FROF</v>
          </cell>
        </row>
        <row r="802">
          <cell r="A802">
            <v>4989</v>
          </cell>
          <cell r="B802" t="str">
            <v>NAZARETH ROBERT</v>
          </cell>
          <cell r="C802" t="str">
            <v>FROF</v>
          </cell>
        </row>
        <row r="803">
          <cell r="A803">
            <v>5343</v>
          </cell>
          <cell r="B803" t="str">
            <v>PARDESHI LAKSHMI</v>
          </cell>
          <cell r="C803" t="str">
            <v>FROF</v>
          </cell>
        </row>
        <row r="804">
          <cell r="A804">
            <v>5689</v>
          </cell>
          <cell r="B804" t="str">
            <v>MASCARENHAS CYRIL</v>
          </cell>
          <cell r="C804" t="str">
            <v>FROF</v>
          </cell>
        </row>
        <row r="805">
          <cell r="A805">
            <v>5890</v>
          </cell>
          <cell r="B805" t="str">
            <v>SHEIKH MOHAMMED RAFIK</v>
          </cell>
          <cell r="C805" t="str">
            <v>FROF</v>
          </cell>
        </row>
        <row r="806">
          <cell r="A806">
            <v>6187</v>
          </cell>
          <cell r="B806" t="str">
            <v>KOTIAN R.RAMESH</v>
          </cell>
          <cell r="C806" t="str">
            <v>FROF</v>
          </cell>
        </row>
        <row r="807">
          <cell r="A807">
            <v>6206</v>
          </cell>
          <cell r="B807" t="str">
            <v>PATIL DHANRAJ</v>
          </cell>
          <cell r="C807" t="str">
            <v>FROF</v>
          </cell>
        </row>
        <row r="808">
          <cell r="A808">
            <v>6228</v>
          </cell>
          <cell r="B808" t="str">
            <v>CHASKAR BABAN M.</v>
          </cell>
          <cell r="C808" t="str">
            <v>FROF</v>
          </cell>
        </row>
        <row r="809">
          <cell r="A809">
            <v>6255</v>
          </cell>
          <cell r="B809" t="str">
            <v>VENKATESWARAN S.</v>
          </cell>
          <cell r="C809" t="str">
            <v>FROF</v>
          </cell>
        </row>
        <row r="810">
          <cell r="A810">
            <v>6530</v>
          </cell>
          <cell r="B810" t="str">
            <v>JADHAV SUNIL</v>
          </cell>
          <cell r="C810" t="str">
            <v>FROF</v>
          </cell>
        </row>
        <row r="811">
          <cell r="A811">
            <v>6612</v>
          </cell>
          <cell r="B811" t="str">
            <v>FERNANDES DILFINA A.</v>
          </cell>
          <cell r="C811" t="str">
            <v>FROF</v>
          </cell>
        </row>
        <row r="812">
          <cell r="A812">
            <v>6693</v>
          </cell>
          <cell r="B812" t="str">
            <v>PINTO STANY</v>
          </cell>
          <cell r="C812" t="str">
            <v>FROF</v>
          </cell>
        </row>
        <row r="813">
          <cell r="A813">
            <v>6771</v>
          </cell>
          <cell r="B813" t="str">
            <v>SUVARNA NAVIN K.</v>
          </cell>
          <cell r="C813" t="str">
            <v>FROF</v>
          </cell>
        </row>
        <row r="814">
          <cell r="A814">
            <v>6900</v>
          </cell>
          <cell r="B814" t="str">
            <v>MORVEKAR PRADEEP S.</v>
          </cell>
          <cell r="C814" t="str">
            <v>FROF</v>
          </cell>
        </row>
        <row r="815">
          <cell r="A815">
            <v>7021</v>
          </cell>
          <cell r="B815" t="str">
            <v>VEGAS LOY WILFRED</v>
          </cell>
          <cell r="C815" t="str">
            <v>FROF</v>
          </cell>
        </row>
        <row r="816">
          <cell r="A816">
            <v>7101</v>
          </cell>
          <cell r="B816" t="str">
            <v>PARMAR BHARAT KUMAR N.</v>
          </cell>
          <cell r="C816" t="str">
            <v>FROF</v>
          </cell>
        </row>
        <row r="817">
          <cell r="A817">
            <v>8686</v>
          </cell>
          <cell r="B817" t="str">
            <v>BUTANI KRISHIN RATAN</v>
          </cell>
          <cell r="C817" t="str">
            <v>FROF</v>
          </cell>
        </row>
        <row r="818">
          <cell r="A818">
            <v>8778</v>
          </cell>
          <cell r="B818" t="str">
            <v>JAGASIA SIMRAN VIVEK</v>
          </cell>
          <cell r="C818" t="str">
            <v>FROF</v>
          </cell>
        </row>
        <row r="819">
          <cell r="A819">
            <v>8789</v>
          </cell>
          <cell r="B819" t="str">
            <v>MALCOLM MISTRY</v>
          </cell>
          <cell r="C819" t="str">
            <v>FROF</v>
          </cell>
        </row>
        <row r="820">
          <cell r="A820">
            <v>8812</v>
          </cell>
          <cell r="B820" t="str">
            <v>PADBIDRI ROHITRAO RAMESH</v>
          </cell>
          <cell r="C820" t="str">
            <v>FROF</v>
          </cell>
        </row>
        <row r="821">
          <cell r="A821">
            <v>8954</v>
          </cell>
          <cell r="B821" t="str">
            <v>IRANI NEVILLE</v>
          </cell>
          <cell r="C821" t="str">
            <v>FROF</v>
          </cell>
        </row>
        <row r="822">
          <cell r="A822">
            <v>8968</v>
          </cell>
          <cell r="B822" t="str">
            <v>LANGRANA SANOBER</v>
          </cell>
          <cell r="C822" t="str">
            <v>FROF</v>
          </cell>
        </row>
        <row r="823">
          <cell r="A823">
            <v>9006</v>
          </cell>
          <cell r="B823" t="str">
            <v>FARUKI SOHAIL</v>
          </cell>
          <cell r="C823" t="str">
            <v>FROF</v>
          </cell>
        </row>
        <row r="824">
          <cell r="A824">
            <v>9144</v>
          </cell>
          <cell r="B824" t="str">
            <v>SUBRAMANIAM MAHESH</v>
          </cell>
          <cell r="C824" t="str">
            <v>FROF</v>
          </cell>
        </row>
        <row r="825">
          <cell r="A825">
            <v>9146</v>
          </cell>
          <cell r="B825" t="str">
            <v>ARAKKAL JAYSON PAUL</v>
          </cell>
          <cell r="C825" t="str">
            <v>FROF</v>
          </cell>
        </row>
        <row r="826">
          <cell r="A826">
            <v>9187</v>
          </cell>
          <cell r="B826" t="str">
            <v>MEHTA AMIT</v>
          </cell>
          <cell r="C826" t="str">
            <v>FROF</v>
          </cell>
        </row>
        <row r="827">
          <cell r="A827">
            <v>9190</v>
          </cell>
          <cell r="B827" t="str">
            <v>MIRANDA GRAHAM</v>
          </cell>
          <cell r="C827" t="str">
            <v>FROF</v>
          </cell>
        </row>
        <row r="828">
          <cell r="A828">
            <v>9215</v>
          </cell>
          <cell r="B828" t="str">
            <v>D'MELLO DINESH N.</v>
          </cell>
          <cell r="C828" t="str">
            <v>FROF</v>
          </cell>
        </row>
        <row r="829">
          <cell r="A829">
            <v>9337</v>
          </cell>
          <cell r="B829" t="str">
            <v>MEHTA SHILPA</v>
          </cell>
          <cell r="C829" t="str">
            <v>FROF</v>
          </cell>
        </row>
        <row r="830">
          <cell r="A830">
            <v>9437</v>
          </cell>
          <cell r="B830" t="str">
            <v>CHAWLA RITU</v>
          </cell>
          <cell r="C830" t="str">
            <v>FROF</v>
          </cell>
        </row>
        <row r="831">
          <cell r="A831">
            <v>9477</v>
          </cell>
          <cell r="B831" t="str">
            <v>BHATTACHARYA VIJAY</v>
          </cell>
          <cell r="C831" t="str">
            <v>FROF</v>
          </cell>
        </row>
        <row r="832">
          <cell r="A832">
            <v>9679</v>
          </cell>
          <cell r="B832" t="str">
            <v>RADHAKRISHNAN PRASHANT</v>
          </cell>
          <cell r="C832" t="str">
            <v>FROF</v>
          </cell>
        </row>
        <row r="833">
          <cell r="A833">
            <v>9816</v>
          </cell>
          <cell r="B833" t="str">
            <v>SAWE AJAY V</v>
          </cell>
          <cell r="C833" t="str">
            <v>FROF</v>
          </cell>
        </row>
        <row r="834">
          <cell r="A834">
            <v>9831</v>
          </cell>
          <cell r="B834" t="str">
            <v>AVANTIKA KUMAR</v>
          </cell>
          <cell r="C834" t="str">
            <v>FROF</v>
          </cell>
        </row>
        <row r="835">
          <cell r="A835">
            <v>9895</v>
          </cell>
          <cell r="B835" t="str">
            <v>DARUWALLA ZENIA</v>
          </cell>
          <cell r="C835" t="str">
            <v>FROF</v>
          </cell>
        </row>
        <row r="836">
          <cell r="A836">
            <v>10013</v>
          </cell>
          <cell r="B836" t="str">
            <v>VAZIRANI SHEFALI</v>
          </cell>
          <cell r="C836" t="str">
            <v>FROF</v>
          </cell>
        </row>
        <row r="837">
          <cell r="A837">
            <v>10020</v>
          </cell>
          <cell r="B837" t="str">
            <v>PANDEY MANOJKUMAR</v>
          </cell>
          <cell r="C837" t="str">
            <v>FROF</v>
          </cell>
        </row>
        <row r="838">
          <cell r="A838">
            <v>10035</v>
          </cell>
          <cell r="B838" t="str">
            <v>TRIPATHI RADHA</v>
          </cell>
          <cell r="C838" t="str">
            <v>FROF</v>
          </cell>
        </row>
        <row r="839">
          <cell r="A839">
            <v>10172</v>
          </cell>
          <cell r="B839" t="str">
            <v>MIGLANI GAURAV</v>
          </cell>
          <cell r="C839" t="str">
            <v>FROF</v>
          </cell>
        </row>
        <row r="840">
          <cell r="A840">
            <v>10302</v>
          </cell>
          <cell r="B840" t="str">
            <v>VALODI AJAY</v>
          </cell>
          <cell r="C840" t="str">
            <v>FROF</v>
          </cell>
        </row>
        <row r="841">
          <cell r="A841">
            <v>10436</v>
          </cell>
          <cell r="B841" t="str">
            <v>MATHUR MADHURITA</v>
          </cell>
          <cell r="C841" t="str">
            <v>FROF</v>
          </cell>
        </row>
        <row r="842">
          <cell r="A842">
            <v>10495</v>
          </cell>
          <cell r="B842" t="str">
            <v>MAROLIA MAHARUKH</v>
          </cell>
          <cell r="C842" t="str">
            <v>FROF</v>
          </cell>
        </row>
        <row r="843">
          <cell r="A843">
            <v>10540</v>
          </cell>
          <cell r="B843" t="str">
            <v>KORDE BEENA</v>
          </cell>
          <cell r="C843" t="str">
            <v>FROF</v>
          </cell>
        </row>
        <row r="844">
          <cell r="A844">
            <v>10651</v>
          </cell>
          <cell r="B844" t="str">
            <v>DAMANIA ZEUS D.</v>
          </cell>
          <cell r="C844" t="str">
            <v>FROF</v>
          </cell>
        </row>
        <row r="845">
          <cell r="A845">
            <v>10671</v>
          </cell>
          <cell r="B845" t="str">
            <v>ANKLESARIA SPENTA</v>
          </cell>
          <cell r="C845" t="str">
            <v>FROF</v>
          </cell>
        </row>
        <row r="846">
          <cell r="A846">
            <v>10733</v>
          </cell>
          <cell r="B846" t="str">
            <v>KHAMBATY BATUL</v>
          </cell>
          <cell r="C846" t="str">
            <v>FROF</v>
          </cell>
        </row>
        <row r="847">
          <cell r="A847">
            <v>30011</v>
          </cell>
          <cell r="B847" t="str">
            <v>WILLIAM RAJENDRA</v>
          </cell>
          <cell r="C847" t="str">
            <v>FROF</v>
          </cell>
        </row>
        <row r="848">
          <cell r="A848">
            <v>30012</v>
          </cell>
          <cell r="B848" t="str">
            <v>FERNANDES ASHWIN</v>
          </cell>
          <cell r="C848" t="str">
            <v>FROF</v>
          </cell>
        </row>
        <row r="849">
          <cell r="A849">
            <v>30013</v>
          </cell>
          <cell r="B849" t="str">
            <v>D'COSTA ELTON</v>
          </cell>
          <cell r="C849" t="str">
            <v>FROF</v>
          </cell>
        </row>
        <row r="850">
          <cell r="A850">
            <v>30015</v>
          </cell>
          <cell r="B850" t="str">
            <v>DE ALMEIDA JOECON</v>
          </cell>
          <cell r="C850" t="str">
            <v>FROF</v>
          </cell>
        </row>
        <row r="851">
          <cell r="A851">
            <v>30017</v>
          </cell>
          <cell r="B851" t="str">
            <v>DEVASSY VILSON</v>
          </cell>
          <cell r="C851" t="str">
            <v>FROF</v>
          </cell>
        </row>
        <row r="852">
          <cell r="A852">
            <v>30019</v>
          </cell>
          <cell r="B852" t="str">
            <v>PEREIRA NIGEL</v>
          </cell>
          <cell r="C852" t="str">
            <v>FROF</v>
          </cell>
        </row>
        <row r="853">
          <cell r="A853">
            <v>30020</v>
          </cell>
          <cell r="B853" t="str">
            <v>LOONES ANIL</v>
          </cell>
          <cell r="C853" t="str">
            <v>FROF</v>
          </cell>
        </row>
        <row r="854">
          <cell r="A854">
            <v>30021</v>
          </cell>
          <cell r="B854" t="str">
            <v>DABREO VIJAY</v>
          </cell>
          <cell r="C854" t="str">
            <v>FROF</v>
          </cell>
        </row>
        <row r="855">
          <cell r="A855">
            <v>30022</v>
          </cell>
          <cell r="B855" t="str">
            <v>SAHER KHOJESTE</v>
          </cell>
          <cell r="C855" t="str">
            <v>FROF</v>
          </cell>
        </row>
        <row r="856">
          <cell r="A856">
            <v>30025</v>
          </cell>
          <cell r="B856" t="str">
            <v>BELL TEDBERT</v>
          </cell>
          <cell r="C856" t="str">
            <v>FROF</v>
          </cell>
        </row>
        <row r="857">
          <cell r="A857">
            <v>30027</v>
          </cell>
          <cell r="B857" t="str">
            <v>SERRAO ROHAN</v>
          </cell>
          <cell r="C857" t="str">
            <v>FROF</v>
          </cell>
        </row>
        <row r="858">
          <cell r="A858">
            <v>30226</v>
          </cell>
          <cell r="B858" t="str">
            <v>FULE SWETA</v>
          </cell>
          <cell r="C858" t="str">
            <v>FROF</v>
          </cell>
        </row>
        <row r="859">
          <cell r="A859">
            <v>30227</v>
          </cell>
          <cell r="B859" t="str">
            <v>DOOMASIA KAIVAN</v>
          </cell>
          <cell r="C859" t="str">
            <v>FROF</v>
          </cell>
        </row>
        <row r="860">
          <cell r="A860">
            <v>30228</v>
          </cell>
          <cell r="B860" t="str">
            <v>NARAYANAN NISHA</v>
          </cell>
          <cell r="C860" t="str">
            <v>FROF</v>
          </cell>
        </row>
        <row r="861">
          <cell r="A861">
            <v>30230</v>
          </cell>
          <cell r="B861" t="str">
            <v>MENEZES ANTHONY</v>
          </cell>
          <cell r="C861" t="str">
            <v>FROF</v>
          </cell>
        </row>
        <row r="862">
          <cell r="A862">
            <v>30233</v>
          </cell>
          <cell r="B862" t="str">
            <v>SHWETAMBARI SONI</v>
          </cell>
          <cell r="C862" t="str">
            <v>FROF</v>
          </cell>
        </row>
        <row r="863">
          <cell r="A863">
            <v>30234</v>
          </cell>
          <cell r="B863" t="str">
            <v>KAPOOR KAPIL</v>
          </cell>
          <cell r="C863" t="str">
            <v>FROF</v>
          </cell>
        </row>
        <row r="864">
          <cell r="A864">
            <v>30240</v>
          </cell>
          <cell r="B864" t="str">
            <v>MAGRA BENAAZ</v>
          </cell>
          <cell r="C864" t="str">
            <v>FROF</v>
          </cell>
        </row>
        <row r="865">
          <cell r="A865">
            <v>30241</v>
          </cell>
          <cell r="B865" t="str">
            <v>SINGH AMIT</v>
          </cell>
          <cell r="C865" t="str">
            <v>FROF</v>
          </cell>
        </row>
        <row r="866">
          <cell r="A866">
            <v>30243</v>
          </cell>
          <cell r="B866" t="str">
            <v>TULI MUKUND</v>
          </cell>
          <cell r="C866" t="str">
            <v>FROF</v>
          </cell>
        </row>
        <row r="867">
          <cell r="A867">
            <v>30245</v>
          </cell>
          <cell r="B867" t="str">
            <v>KAPOOR SHRADDHA</v>
          </cell>
          <cell r="C867" t="str">
            <v>FROF</v>
          </cell>
        </row>
        <row r="868">
          <cell r="A868">
            <v>30246</v>
          </cell>
          <cell r="B868" t="str">
            <v>DARUWALA ROHINTON</v>
          </cell>
          <cell r="C868" t="str">
            <v>FROF</v>
          </cell>
        </row>
        <row r="869">
          <cell r="A869">
            <v>30247</v>
          </cell>
          <cell r="B869" t="str">
            <v>DESAI SOHEB</v>
          </cell>
          <cell r="C869" t="str">
            <v>FROF</v>
          </cell>
        </row>
        <row r="870">
          <cell r="A870">
            <v>30248</v>
          </cell>
          <cell r="B870" t="str">
            <v>SIPPY NATASHA</v>
          </cell>
          <cell r="C870" t="str">
            <v>FROF</v>
          </cell>
        </row>
        <row r="871">
          <cell r="A871">
            <v>30253</v>
          </cell>
          <cell r="B871" t="str">
            <v>MATTU TAPASYA</v>
          </cell>
          <cell r="C871" t="str">
            <v>FROF</v>
          </cell>
        </row>
        <row r="872">
          <cell r="A872">
            <v>30254</v>
          </cell>
          <cell r="B872" t="str">
            <v>GANDHI ANU</v>
          </cell>
          <cell r="C872" t="str">
            <v>FROF</v>
          </cell>
        </row>
        <row r="873">
          <cell r="A873">
            <v>30255</v>
          </cell>
          <cell r="B873" t="str">
            <v>RAJAWAT JYOTSNA</v>
          </cell>
          <cell r="C873" t="str">
            <v>FROF</v>
          </cell>
        </row>
        <row r="874">
          <cell r="A874">
            <v>30256</v>
          </cell>
          <cell r="B874" t="str">
            <v>SIDHU MANMEET KAUR</v>
          </cell>
          <cell r="C874" t="str">
            <v>FROF</v>
          </cell>
        </row>
        <row r="875">
          <cell r="A875">
            <v>30257</v>
          </cell>
          <cell r="B875" t="str">
            <v>HAJEEBHOY NADIA</v>
          </cell>
          <cell r="C875" t="str">
            <v>FROF</v>
          </cell>
        </row>
        <row r="876">
          <cell r="A876">
            <v>30259</v>
          </cell>
          <cell r="B876" t="str">
            <v>MARWAH DIPESH</v>
          </cell>
          <cell r="C876" t="str">
            <v>FROF</v>
          </cell>
        </row>
        <row r="877">
          <cell r="A877">
            <v>30261</v>
          </cell>
          <cell r="B877" t="str">
            <v>SINGH MENAKA</v>
          </cell>
          <cell r="C877" t="str">
            <v>FROF</v>
          </cell>
        </row>
        <row r="878">
          <cell r="A878">
            <v>30262</v>
          </cell>
          <cell r="B878" t="str">
            <v>D'SOUZA BRICE</v>
          </cell>
          <cell r="C878" t="str">
            <v>FROF</v>
          </cell>
        </row>
        <row r="879">
          <cell r="A879">
            <v>30263</v>
          </cell>
          <cell r="B879" t="str">
            <v>NILESHWAR SHEFALI</v>
          </cell>
          <cell r="C879" t="str">
            <v>FROF</v>
          </cell>
        </row>
        <row r="880">
          <cell r="A880">
            <v>30264</v>
          </cell>
          <cell r="B880" t="str">
            <v>BAVDEKAR SWATI</v>
          </cell>
          <cell r="C880" t="str">
            <v>FROF</v>
          </cell>
        </row>
        <row r="881">
          <cell r="A881">
            <v>30265</v>
          </cell>
          <cell r="B881" t="str">
            <v>SHAFI SYED AZIZ</v>
          </cell>
          <cell r="C881" t="str">
            <v>FROF</v>
          </cell>
        </row>
        <row r="882">
          <cell r="A882">
            <v>30266</v>
          </cell>
          <cell r="B882" t="str">
            <v>RIKHY SUMEET</v>
          </cell>
          <cell r="C882" t="str">
            <v>FROF</v>
          </cell>
        </row>
        <row r="883">
          <cell r="A883">
            <v>30267</v>
          </cell>
          <cell r="B883" t="str">
            <v>PILLAI SINDHU R</v>
          </cell>
          <cell r="C883" t="str">
            <v>FROF</v>
          </cell>
        </row>
        <row r="884">
          <cell r="A884">
            <v>30268</v>
          </cell>
          <cell r="B884" t="str">
            <v>POLLARD RIAH</v>
          </cell>
          <cell r="C884" t="str">
            <v>FROF</v>
          </cell>
        </row>
        <row r="885">
          <cell r="A885">
            <v>30269</v>
          </cell>
          <cell r="B885" t="str">
            <v>MAHTANI PRIYA</v>
          </cell>
          <cell r="C885" t="str">
            <v>FROF</v>
          </cell>
        </row>
        <row r="886">
          <cell r="A886">
            <v>30504</v>
          </cell>
          <cell r="B886" t="str">
            <v>OBEROI NITIN</v>
          </cell>
          <cell r="C886" t="str">
            <v>FROF</v>
          </cell>
        </row>
        <row r="887">
          <cell r="A887">
            <v>30767</v>
          </cell>
          <cell r="B887" t="str">
            <v>MULHEKAR CHINMAY</v>
          </cell>
          <cell r="C887" t="str">
            <v>FROF</v>
          </cell>
        </row>
        <row r="888">
          <cell r="A888">
            <v>30775</v>
          </cell>
          <cell r="B888" t="str">
            <v>MUNDIYATH  VINIT</v>
          </cell>
          <cell r="C888" t="str">
            <v>FROF</v>
          </cell>
        </row>
        <row r="889">
          <cell r="A889">
            <v>30776</v>
          </cell>
          <cell r="B889" t="str">
            <v>QUADROS RYAN</v>
          </cell>
          <cell r="C889" t="str">
            <v>FROF</v>
          </cell>
        </row>
        <row r="890">
          <cell r="A890">
            <v>30796</v>
          </cell>
          <cell r="B890" t="str">
            <v>KALASKAR NEELESH</v>
          </cell>
          <cell r="C890" t="str">
            <v>FROF</v>
          </cell>
        </row>
        <row r="891">
          <cell r="A891">
            <v>30862</v>
          </cell>
          <cell r="B891" t="str">
            <v>DHANAWADE GANESH</v>
          </cell>
          <cell r="C891" t="str">
            <v>FROF</v>
          </cell>
        </row>
        <row r="892">
          <cell r="A892">
            <v>9167</v>
          </cell>
          <cell r="B892" t="str">
            <v>D'MELLO ARLENE JUNE</v>
          </cell>
          <cell r="C892" t="str">
            <v>GMO</v>
          </cell>
        </row>
        <row r="893">
          <cell r="A893">
            <v>4893</v>
          </cell>
          <cell r="B893" t="str">
            <v>BHOSLE ANIL N.</v>
          </cell>
          <cell r="C893" t="str">
            <v>GRAP</v>
          </cell>
        </row>
        <row r="894">
          <cell r="A894">
            <v>3171</v>
          </cell>
          <cell r="B894" t="str">
            <v>MISS ANNIE SEQUEIRA</v>
          </cell>
          <cell r="C894" t="str">
            <v>HECB</v>
          </cell>
        </row>
        <row r="895">
          <cell r="A895">
            <v>2051</v>
          </cell>
          <cell r="B895" t="str">
            <v>MUTHUSAMY PERUMAL</v>
          </cell>
          <cell r="C895" t="str">
            <v>HKPS</v>
          </cell>
        </row>
        <row r="896">
          <cell r="A896">
            <v>2052</v>
          </cell>
          <cell r="B896" t="str">
            <v>THAPA MOHAN</v>
          </cell>
          <cell r="C896" t="str">
            <v>HKPS</v>
          </cell>
        </row>
        <row r="897">
          <cell r="A897">
            <v>2065</v>
          </cell>
          <cell r="B897" t="str">
            <v>RAI RAMU</v>
          </cell>
          <cell r="C897" t="str">
            <v>HKPS</v>
          </cell>
        </row>
        <row r="898">
          <cell r="A898">
            <v>2067</v>
          </cell>
          <cell r="B898" t="str">
            <v>GAIKWAD D.PUTLAJI</v>
          </cell>
          <cell r="C898" t="str">
            <v>HKPS</v>
          </cell>
        </row>
        <row r="899">
          <cell r="A899">
            <v>2741</v>
          </cell>
          <cell r="B899" t="str">
            <v>NAKTE YESHWANT G.</v>
          </cell>
          <cell r="C899" t="str">
            <v>HKPS</v>
          </cell>
        </row>
        <row r="900">
          <cell r="A900">
            <v>2745</v>
          </cell>
          <cell r="B900" t="str">
            <v>RAMSWARUP MOHINDER S.</v>
          </cell>
          <cell r="C900" t="str">
            <v>HKPS</v>
          </cell>
        </row>
        <row r="901">
          <cell r="A901">
            <v>2822</v>
          </cell>
          <cell r="B901" t="str">
            <v>D'SOUZA LILLY</v>
          </cell>
          <cell r="C901" t="str">
            <v>HKPS</v>
          </cell>
        </row>
        <row r="902">
          <cell r="A902">
            <v>2833</v>
          </cell>
          <cell r="B902" t="str">
            <v>BALKRISHNA L. DHANAVADE</v>
          </cell>
          <cell r="C902" t="str">
            <v>HKPS</v>
          </cell>
        </row>
        <row r="903">
          <cell r="A903">
            <v>2834</v>
          </cell>
          <cell r="B903" t="str">
            <v>SHINDE RAM</v>
          </cell>
          <cell r="C903" t="str">
            <v>HKPS</v>
          </cell>
        </row>
        <row r="904">
          <cell r="A904">
            <v>2837</v>
          </cell>
          <cell r="B904" t="str">
            <v>KAMBLE DINKAR K.</v>
          </cell>
          <cell r="C904" t="str">
            <v>HKPS</v>
          </cell>
        </row>
        <row r="905">
          <cell r="A905">
            <v>2841</v>
          </cell>
          <cell r="B905" t="str">
            <v>NARSALE DATTU HIRU</v>
          </cell>
          <cell r="C905" t="str">
            <v>HKPS</v>
          </cell>
        </row>
        <row r="906">
          <cell r="A906">
            <v>2846</v>
          </cell>
          <cell r="B906" t="str">
            <v>SALVI NARSU B.</v>
          </cell>
          <cell r="C906" t="str">
            <v>HKPS</v>
          </cell>
        </row>
        <row r="907">
          <cell r="A907">
            <v>2868</v>
          </cell>
          <cell r="B907" t="str">
            <v>MARUTI WAGHOLE</v>
          </cell>
          <cell r="C907" t="str">
            <v>HKPS</v>
          </cell>
        </row>
        <row r="908">
          <cell r="A908">
            <v>2872</v>
          </cell>
          <cell r="B908" t="str">
            <v>RADYE PRABHAKAR</v>
          </cell>
          <cell r="C908" t="str">
            <v>HKPS</v>
          </cell>
        </row>
        <row r="909">
          <cell r="A909">
            <v>2877</v>
          </cell>
          <cell r="B909" t="str">
            <v>GAIKWAD GULAB</v>
          </cell>
          <cell r="C909" t="str">
            <v>HKPS</v>
          </cell>
        </row>
        <row r="910">
          <cell r="A910">
            <v>3046</v>
          </cell>
          <cell r="B910" t="str">
            <v>MORE ANANT KASHINATH</v>
          </cell>
          <cell r="C910" t="str">
            <v>HKPS</v>
          </cell>
        </row>
        <row r="911">
          <cell r="A911">
            <v>3107</v>
          </cell>
          <cell r="B911" t="str">
            <v>KAJANIA SHYAMLAL CHANDRAS</v>
          </cell>
          <cell r="C911" t="str">
            <v>HKPS</v>
          </cell>
        </row>
        <row r="912">
          <cell r="A912">
            <v>3108</v>
          </cell>
          <cell r="B912" t="str">
            <v>D,SOUZA WILLIAM</v>
          </cell>
          <cell r="C912" t="str">
            <v>HKPS</v>
          </cell>
        </row>
        <row r="913">
          <cell r="A913">
            <v>3385</v>
          </cell>
          <cell r="B913" t="str">
            <v>SHINDE B.Y.</v>
          </cell>
          <cell r="C913" t="str">
            <v>HKPS</v>
          </cell>
        </row>
        <row r="914">
          <cell r="A914">
            <v>3575</v>
          </cell>
          <cell r="B914" t="str">
            <v>KASRUNG PANDURANG</v>
          </cell>
          <cell r="C914" t="str">
            <v>HKPS</v>
          </cell>
        </row>
        <row r="915">
          <cell r="A915">
            <v>3586</v>
          </cell>
          <cell r="B915" t="str">
            <v>KADIR ABDUL GHANI</v>
          </cell>
          <cell r="C915" t="str">
            <v>HKPS</v>
          </cell>
        </row>
        <row r="916">
          <cell r="A916">
            <v>3790</v>
          </cell>
          <cell r="B916" t="str">
            <v>POOJARY R MANJUNATH</v>
          </cell>
          <cell r="C916" t="str">
            <v>HKPS</v>
          </cell>
        </row>
        <row r="917">
          <cell r="A917">
            <v>3793</v>
          </cell>
          <cell r="B917" t="str">
            <v>WAHANE NAMDEO N.</v>
          </cell>
          <cell r="C917" t="str">
            <v>HKPS</v>
          </cell>
        </row>
        <row r="918">
          <cell r="A918">
            <v>4108</v>
          </cell>
          <cell r="B918" t="str">
            <v>SHINDE MANOHAR</v>
          </cell>
          <cell r="C918" t="str">
            <v>HKPS</v>
          </cell>
        </row>
        <row r="919">
          <cell r="A919">
            <v>4189</v>
          </cell>
          <cell r="B919" t="str">
            <v>RANADE SURESH</v>
          </cell>
          <cell r="C919" t="str">
            <v>HKPS</v>
          </cell>
        </row>
        <row r="920">
          <cell r="A920">
            <v>4426</v>
          </cell>
          <cell r="B920" t="str">
            <v>RAMESH L. KHAIRE</v>
          </cell>
          <cell r="C920" t="str">
            <v>HKPS</v>
          </cell>
        </row>
        <row r="921">
          <cell r="A921">
            <v>4614</v>
          </cell>
          <cell r="B921" t="str">
            <v>GONBARE S.ARUN</v>
          </cell>
          <cell r="C921" t="str">
            <v>HKPS</v>
          </cell>
        </row>
        <row r="922">
          <cell r="A922">
            <v>4633</v>
          </cell>
          <cell r="B922" t="str">
            <v>PAWAR H.PROMOD</v>
          </cell>
          <cell r="C922" t="str">
            <v>HKPS</v>
          </cell>
        </row>
        <row r="923">
          <cell r="A923">
            <v>4643</v>
          </cell>
          <cell r="B923" t="str">
            <v>SHINDE VILAS B.</v>
          </cell>
          <cell r="C923" t="str">
            <v>HKPS</v>
          </cell>
        </row>
        <row r="924">
          <cell r="A924">
            <v>4683</v>
          </cell>
          <cell r="B924" t="str">
            <v>MHASKAR H.G.</v>
          </cell>
          <cell r="C924" t="str">
            <v>HKPS</v>
          </cell>
        </row>
        <row r="925">
          <cell r="A925">
            <v>4686</v>
          </cell>
          <cell r="B925" t="str">
            <v>SHINDE ANANT A.</v>
          </cell>
          <cell r="C925" t="str">
            <v>HKPS</v>
          </cell>
        </row>
        <row r="926">
          <cell r="A926">
            <v>4738</v>
          </cell>
          <cell r="B926" t="str">
            <v>SHEIKH SATTAR A.</v>
          </cell>
          <cell r="C926" t="str">
            <v>HKPS</v>
          </cell>
        </row>
        <row r="927">
          <cell r="A927">
            <v>4751</v>
          </cell>
          <cell r="B927" t="str">
            <v>BELE GANPAT GOPAL</v>
          </cell>
          <cell r="C927" t="str">
            <v>HKPS</v>
          </cell>
        </row>
        <row r="928">
          <cell r="A928">
            <v>4774</v>
          </cell>
          <cell r="B928" t="str">
            <v>BHINGE GOPAL KRISHANA</v>
          </cell>
          <cell r="C928" t="str">
            <v>HKPS</v>
          </cell>
        </row>
        <row r="929">
          <cell r="A929">
            <v>4775</v>
          </cell>
          <cell r="B929" t="str">
            <v>VERMA SONPAL SINGH</v>
          </cell>
          <cell r="C929" t="str">
            <v>HKPS</v>
          </cell>
        </row>
        <row r="930">
          <cell r="A930">
            <v>4777</v>
          </cell>
          <cell r="B930" t="str">
            <v>AGRE RAMCHANDRA L.</v>
          </cell>
          <cell r="C930" t="str">
            <v>HKPS</v>
          </cell>
        </row>
        <row r="931">
          <cell r="A931">
            <v>4787</v>
          </cell>
          <cell r="B931" t="str">
            <v>DHANAVADE SAHADEV GOVIND</v>
          </cell>
          <cell r="C931" t="str">
            <v>HKPS</v>
          </cell>
        </row>
        <row r="932">
          <cell r="A932">
            <v>4792</v>
          </cell>
          <cell r="B932" t="str">
            <v>SHINDE VIJAY MADHUKAR</v>
          </cell>
          <cell r="C932" t="str">
            <v>HKPS</v>
          </cell>
        </row>
        <row r="933">
          <cell r="A933">
            <v>4801</v>
          </cell>
          <cell r="B933" t="str">
            <v>PHAD CHANDRABHAN NANA</v>
          </cell>
          <cell r="C933" t="str">
            <v>HKPS</v>
          </cell>
        </row>
        <row r="934">
          <cell r="A934">
            <v>4834</v>
          </cell>
          <cell r="B934" t="str">
            <v>KADAM RAVINDRA A.R.</v>
          </cell>
          <cell r="C934" t="str">
            <v>HKPS</v>
          </cell>
        </row>
        <row r="935">
          <cell r="A935">
            <v>4842</v>
          </cell>
          <cell r="B935" t="str">
            <v>XAVIER ANDREW</v>
          </cell>
          <cell r="C935" t="str">
            <v>HKPS</v>
          </cell>
        </row>
        <row r="936">
          <cell r="A936">
            <v>4845</v>
          </cell>
          <cell r="B936" t="str">
            <v>PAWAR RAMESH SITARAM</v>
          </cell>
          <cell r="C936" t="str">
            <v>HKPS</v>
          </cell>
        </row>
        <row r="937">
          <cell r="A937">
            <v>4886</v>
          </cell>
          <cell r="B937" t="str">
            <v>DADALIA DOONGARAM</v>
          </cell>
          <cell r="C937" t="str">
            <v>HKPS</v>
          </cell>
        </row>
        <row r="938">
          <cell r="A938">
            <v>5049</v>
          </cell>
          <cell r="B938" t="str">
            <v>BHIST NARADSINGH</v>
          </cell>
          <cell r="C938" t="str">
            <v>HKPS</v>
          </cell>
        </row>
        <row r="939">
          <cell r="A939">
            <v>5050</v>
          </cell>
          <cell r="B939" t="str">
            <v>JAISWARAM PURANWASI</v>
          </cell>
          <cell r="C939" t="str">
            <v>HKPS</v>
          </cell>
        </row>
        <row r="940">
          <cell r="A940">
            <v>5587</v>
          </cell>
          <cell r="B940" t="str">
            <v>SOLANKI BHIKUBHAI R.</v>
          </cell>
          <cell r="C940" t="str">
            <v>HKPS</v>
          </cell>
        </row>
        <row r="941">
          <cell r="A941">
            <v>5632</v>
          </cell>
          <cell r="B941" t="str">
            <v>NEGI BIRENDER SINGH</v>
          </cell>
          <cell r="C941" t="str">
            <v>HKPS</v>
          </cell>
        </row>
        <row r="942">
          <cell r="A942">
            <v>6045</v>
          </cell>
          <cell r="B942" t="str">
            <v>GAIKWAD NANA SHARAD</v>
          </cell>
          <cell r="C942" t="str">
            <v>HKPS</v>
          </cell>
        </row>
        <row r="943">
          <cell r="A943">
            <v>6046</v>
          </cell>
          <cell r="B943" t="str">
            <v>REMJI SADASHIV BABU</v>
          </cell>
          <cell r="C943" t="str">
            <v>HKPS</v>
          </cell>
        </row>
        <row r="944">
          <cell r="A944">
            <v>6048</v>
          </cell>
          <cell r="B944" t="str">
            <v>SINGOTE DYANESHWAR B.</v>
          </cell>
          <cell r="C944" t="str">
            <v>HKPS</v>
          </cell>
        </row>
        <row r="945">
          <cell r="A945">
            <v>6105</v>
          </cell>
          <cell r="B945" t="str">
            <v>DAS THOMAS</v>
          </cell>
          <cell r="C945" t="str">
            <v>HKPS</v>
          </cell>
        </row>
        <row r="946">
          <cell r="A946">
            <v>6518</v>
          </cell>
          <cell r="B946" t="str">
            <v>DESAI NISSAR AHMED</v>
          </cell>
          <cell r="C946" t="str">
            <v>HKPS</v>
          </cell>
        </row>
        <row r="947">
          <cell r="A947">
            <v>6680</v>
          </cell>
          <cell r="B947" t="str">
            <v>SALVI DILEEP M.</v>
          </cell>
          <cell r="C947" t="str">
            <v>HKPS</v>
          </cell>
        </row>
        <row r="948">
          <cell r="A948">
            <v>6750</v>
          </cell>
          <cell r="B948" t="str">
            <v>GHOGARE PUNDLIK</v>
          </cell>
          <cell r="C948" t="str">
            <v>HKPS</v>
          </cell>
        </row>
        <row r="949">
          <cell r="A949">
            <v>6755</v>
          </cell>
          <cell r="B949" t="str">
            <v>CHANDRAKANT   B. JAGTAP</v>
          </cell>
          <cell r="C949" t="str">
            <v>HKPS</v>
          </cell>
        </row>
        <row r="950">
          <cell r="A950">
            <v>8709</v>
          </cell>
          <cell r="B950" t="str">
            <v>SAPKAL ANITA MISS</v>
          </cell>
          <cell r="C950" t="str">
            <v>HKPS</v>
          </cell>
        </row>
        <row r="951">
          <cell r="A951">
            <v>8796</v>
          </cell>
          <cell r="B951" t="str">
            <v>JOSHI ANAGHA VIJAYANAND</v>
          </cell>
          <cell r="C951" t="str">
            <v>HKPS</v>
          </cell>
        </row>
        <row r="952">
          <cell r="A952">
            <v>9605</v>
          </cell>
          <cell r="B952" t="str">
            <v>GUPTA AARTI MISS</v>
          </cell>
          <cell r="C952" t="str">
            <v>HKPS</v>
          </cell>
        </row>
        <row r="953">
          <cell r="A953">
            <v>10081</v>
          </cell>
          <cell r="B953" t="str">
            <v>NAIDU NISHA</v>
          </cell>
          <cell r="C953" t="str">
            <v>HKPS</v>
          </cell>
        </row>
        <row r="954">
          <cell r="A954">
            <v>10082</v>
          </cell>
          <cell r="B954" t="str">
            <v>GANGAWANE SANJIVANI</v>
          </cell>
          <cell r="C954" t="str">
            <v>HKPS</v>
          </cell>
        </row>
        <row r="955">
          <cell r="A955">
            <v>10083</v>
          </cell>
          <cell r="B955" t="str">
            <v>KOSAMBA SHILPA R.</v>
          </cell>
          <cell r="C955" t="str">
            <v>HKPS</v>
          </cell>
        </row>
        <row r="956">
          <cell r="A956">
            <v>10164</v>
          </cell>
          <cell r="B956" t="str">
            <v>CHANDELE AMIT KUMAR</v>
          </cell>
          <cell r="C956" t="str">
            <v>HKPS</v>
          </cell>
        </row>
        <row r="957">
          <cell r="A957">
            <v>10181</v>
          </cell>
          <cell r="B957" t="str">
            <v>KETKAR SHWETA</v>
          </cell>
          <cell r="C957" t="str">
            <v>HKPS</v>
          </cell>
        </row>
        <row r="958">
          <cell r="A958">
            <v>10432</v>
          </cell>
          <cell r="B958" t="str">
            <v>KELSHIKAR DIPALEE</v>
          </cell>
          <cell r="C958" t="str">
            <v>HKPS</v>
          </cell>
        </row>
        <row r="959">
          <cell r="A959">
            <v>10467</v>
          </cell>
          <cell r="B959" t="str">
            <v>SINGHA NANDIRA</v>
          </cell>
          <cell r="C959" t="str">
            <v>HKPS</v>
          </cell>
        </row>
        <row r="960">
          <cell r="A960">
            <v>10588</v>
          </cell>
          <cell r="B960" t="str">
            <v>PURI AARTI</v>
          </cell>
          <cell r="C960" t="str">
            <v>HKPS</v>
          </cell>
        </row>
        <row r="961">
          <cell r="A961">
            <v>10599</v>
          </cell>
          <cell r="B961" t="str">
            <v>CHATTERJEE ARCHITA</v>
          </cell>
          <cell r="C961" t="str">
            <v>HKPS</v>
          </cell>
        </row>
        <row r="962">
          <cell r="A962">
            <v>10600</v>
          </cell>
          <cell r="B962" t="str">
            <v>RAO PRIYA P.</v>
          </cell>
          <cell r="C962" t="str">
            <v>HKPS</v>
          </cell>
        </row>
        <row r="963">
          <cell r="A963">
            <v>10646</v>
          </cell>
          <cell r="B963" t="str">
            <v>DESHMUKH KIRTI</v>
          </cell>
          <cell r="C963" t="str">
            <v>HKPS</v>
          </cell>
        </row>
        <row r="964">
          <cell r="A964">
            <v>10649</v>
          </cell>
          <cell r="B964" t="str">
            <v>BAHRAINWALA MEHJABEEN</v>
          </cell>
          <cell r="C964" t="str">
            <v>HKPS</v>
          </cell>
        </row>
        <row r="965">
          <cell r="A965">
            <v>10734</v>
          </cell>
          <cell r="B965" t="str">
            <v>KANOJIA MANOJ</v>
          </cell>
          <cell r="C965" t="str">
            <v>HKPS</v>
          </cell>
        </row>
        <row r="966">
          <cell r="A966">
            <v>10735</v>
          </cell>
          <cell r="B966" t="str">
            <v>KUDLE SHARAD</v>
          </cell>
          <cell r="C966" t="str">
            <v>HKPS</v>
          </cell>
        </row>
        <row r="967">
          <cell r="A967">
            <v>10822</v>
          </cell>
          <cell r="B967" t="str">
            <v>BOSE SHEEFALI</v>
          </cell>
          <cell r="C967" t="str">
            <v>HKPS</v>
          </cell>
        </row>
        <row r="968">
          <cell r="A968">
            <v>10824</v>
          </cell>
          <cell r="B968" t="str">
            <v>MARKANDEY ADITI</v>
          </cell>
          <cell r="C968" t="str">
            <v>HKPS</v>
          </cell>
        </row>
        <row r="969">
          <cell r="A969">
            <v>10860</v>
          </cell>
          <cell r="B969" t="str">
            <v>KHAIRE MILIND</v>
          </cell>
          <cell r="C969" t="str">
            <v>HKPS</v>
          </cell>
        </row>
        <row r="970">
          <cell r="A970">
            <v>30500</v>
          </cell>
          <cell r="B970" t="str">
            <v>CHONKAR HEMALI</v>
          </cell>
          <cell r="C970" t="str">
            <v>HKPS</v>
          </cell>
        </row>
        <row r="971">
          <cell r="A971">
            <v>30853</v>
          </cell>
          <cell r="B971" t="str">
            <v>KHATRI HARAK BAHADURI</v>
          </cell>
          <cell r="C971" t="str">
            <v>HKPS</v>
          </cell>
        </row>
        <row r="972">
          <cell r="A972">
            <v>30854</v>
          </cell>
          <cell r="B972" t="str">
            <v>GHOSALKAR YOGESH</v>
          </cell>
          <cell r="C972" t="str">
            <v>HKPS</v>
          </cell>
        </row>
        <row r="973">
          <cell r="A973">
            <v>30855</v>
          </cell>
          <cell r="B973" t="str">
            <v>FERNANDES SANTAN</v>
          </cell>
          <cell r="C973" t="str">
            <v>HKPS</v>
          </cell>
        </row>
        <row r="974">
          <cell r="A974">
            <v>30856</v>
          </cell>
          <cell r="B974" t="str">
            <v>PILLAI SANTOSH</v>
          </cell>
          <cell r="C974" t="str">
            <v>HKPS</v>
          </cell>
        </row>
        <row r="975">
          <cell r="A975">
            <v>30858</v>
          </cell>
          <cell r="B975" t="str">
            <v>RAO ANIL</v>
          </cell>
          <cell r="C975" t="str">
            <v>HKPS</v>
          </cell>
        </row>
        <row r="976">
          <cell r="A976">
            <v>30859</v>
          </cell>
          <cell r="B976" t="str">
            <v>REGOTHI RAJESH</v>
          </cell>
          <cell r="C976" t="str">
            <v>HKPS</v>
          </cell>
        </row>
        <row r="977">
          <cell r="A977">
            <v>30908</v>
          </cell>
          <cell r="B977" t="str">
            <v>PASI SACHIN</v>
          </cell>
          <cell r="C977" t="str">
            <v>HKPS</v>
          </cell>
        </row>
        <row r="978">
          <cell r="A978">
            <v>30910</v>
          </cell>
          <cell r="B978" t="str">
            <v>VIEGAS AMIT</v>
          </cell>
          <cell r="C978" t="str">
            <v>HKPS</v>
          </cell>
        </row>
        <row r="979">
          <cell r="A979">
            <v>30914</v>
          </cell>
          <cell r="B979" t="str">
            <v>FERNANDES A. FRANCIES</v>
          </cell>
          <cell r="C979" t="str">
            <v>HKPS</v>
          </cell>
        </row>
        <row r="980">
          <cell r="A980">
            <v>30915</v>
          </cell>
          <cell r="B980" t="str">
            <v>KADAM PRAMOD</v>
          </cell>
          <cell r="C980" t="str">
            <v>HKPS</v>
          </cell>
        </row>
        <row r="981">
          <cell r="A981">
            <v>30917</v>
          </cell>
          <cell r="B981" t="str">
            <v>MASCARENHAS ELIAS</v>
          </cell>
          <cell r="C981" t="str">
            <v>HKPS</v>
          </cell>
        </row>
        <row r="982">
          <cell r="A982">
            <v>31208</v>
          </cell>
          <cell r="B982" t="str">
            <v>PEDNEKAR SAGAR</v>
          </cell>
          <cell r="C982" t="str">
            <v>HKPS</v>
          </cell>
        </row>
        <row r="983">
          <cell r="A983">
            <v>31209</v>
          </cell>
          <cell r="B983" t="str">
            <v>CHINDARKAR ASHISH</v>
          </cell>
          <cell r="C983" t="str">
            <v>HKPS</v>
          </cell>
        </row>
        <row r="984">
          <cell r="A984">
            <v>31210</v>
          </cell>
          <cell r="B984" t="str">
            <v>PAWAR MAHENDRA</v>
          </cell>
          <cell r="C984" t="str">
            <v>HKPS</v>
          </cell>
        </row>
        <row r="985">
          <cell r="A985">
            <v>31217</v>
          </cell>
          <cell r="B985" t="str">
            <v>GHARE SACHIN</v>
          </cell>
          <cell r="C985" t="str">
            <v>HKPS</v>
          </cell>
        </row>
        <row r="986">
          <cell r="A986">
            <v>31218</v>
          </cell>
          <cell r="B986" t="str">
            <v>SALE VIJAY</v>
          </cell>
          <cell r="C986" t="str">
            <v>HKPS</v>
          </cell>
        </row>
        <row r="987">
          <cell r="A987">
            <v>31223</v>
          </cell>
          <cell r="B987" t="str">
            <v>POOJARI HARISH KRISHNA</v>
          </cell>
          <cell r="C987" t="str">
            <v>HKPS</v>
          </cell>
        </row>
        <row r="988">
          <cell r="A988">
            <v>31224</v>
          </cell>
          <cell r="B988" t="str">
            <v>SANSARE LAUKIK RATNAKAR</v>
          </cell>
          <cell r="C988" t="str">
            <v>HKPS</v>
          </cell>
        </row>
        <row r="989">
          <cell r="A989">
            <v>31228</v>
          </cell>
          <cell r="B989" t="str">
            <v>ISSAC SIDNEY SOLOMON</v>
          </cell>
          <cell r="C989" t="str">
            <v>HKPS</v>
          </cell>
        </row>
        <row r="990">
          <cell r="A990">
            <v>31231</v>
          </cell>
          <cell r="B990" t="str">
            <v>D'LIMA XAVIER JOHN</v>
          </cell>
          <cell r="C990" t="str">
            <v>HKPS</v>
          </cell>
        </row>
        <row r="991">
          <cell r="A991">
            <v>31232</v>
          </cell>
          <cell r="B991" t="str">
            <v>ANCHAN HARISH</v>
          </cell>
          <cell r="C991" t="str">
            <v>HKPS</v>
          </cell>
        </row>
        <row r="992">
          <cell r="A992">
            <v>31236</v>
          </cell>
          <cell r="B992" t="str">
            <v>VERMA AMIT</v>
          </cell>
          <cell r="C992" t="str">
            <v>HKPS</v>
          </cell>
        </row>
        <row r="993">
          <cell r="A993">
            <v>31237</v>
          </cell>
          <cell r="B993" t="str">
            <v>DEMONTY SEDRICK</v>
          </cell>
          <cell r="C993" t="str">
            <v>HKPS</v>
          </cell>
        </row>
        <row r="994">
          <cell r="A994">
            <v>31238</v>
          </cell>
          <cell r="B994" t="str">
            <v>PANDIT RAKESH</v>
          </cell>
          <cell r="C994" t="str">
            <v>HKPS</v>
          </cell>
        </row>
        <row r="995">
          <cell r="A995">
            <v>31241</v>
          </cell>
          <cell r="B995" t="str">
            <v>PUJARI DINESH</v>
          </cell>
          <cell r="C995" t="str">
            <v>HKPS</v>
          </cell>
        </row>
        <row r="996">
          <cell r="A996">
            <v>31243</v>
          </cell>
          <cell r="B996" t="str">
            <v>DANDEKAR MITHUN</v>
          </cell>
          <cell r="C996" t="str">
            <v>HKPS</v>
          </cell>
        </row>
        <row r="997">
          <cell r="A997">
            <v>31244</v>
          </cell>
          <cell r="B997" t="str">
            <v>GHACHI FIROZ</v>
          </cell>
          <cell r="C997" t="str">
            <v>HKPS</v>
          </cell>
        </row>
        <row r="998">
          <cell r="A998">
            <v>31246</v>
          </cell>
          <cell r="B998" t="str">
            <v>PADAYA SAILESH</v>
          </cell>
          <cell r="C998" t="str">
            <v>HKPS</v>
          </cell>
        </row>
        <row r="999">
          <cell r="A999">
            <v>31249</v>
          </cell>
          <cell r="B999" t="str">
            <v>JADHAV SAMEET</v>
          </cell>
          <cell r="C999" t="str">
            <v>HKPS</v>
          </cell>
        </row>
        <row r="1000">
          <cell r="A1000">
            <v>31250</v>
          </cell>
          <cell r="B1000" t="str">
            <v>HINDALEKAR PRITESH</v>
          </cell>
          <cell r="C1000" t="str">
            <v>HKPS</v>
          </cell>
        </row>
        <row r="1001">
          <cell r="A1001">
            <v>31252</v>
          </cell>
          <cell r="B1001" t="str">
            <v>KOTIAN MOHIT</v>
          </cell>
          <cell r="C1001" t="str">
            <v>HKPS</v>
          </cell>
        </row>
        <row r="1002">
          <cell r="A1002">
            <v>31253</v>
          </cell>
          <cell r="B1002" t="str">
            <v>GAIKWAD ATUL</v>
          </cell>
          <cell r="C1002" t="str">
            <v>HKPS</v>
          </cell>
        </row>
        <row r="1003">
          <cell r="A1003">
            <v>31254</v>
          </cell>
          <cell r="B1003" t="str">
            <v>WALAVAKAR SANKET</v>
          </cell>
          <cell r="C1003" t="str">
            <v>HKPS</v>
          </cell>
        </row>
        <row r="1004">
          <cell r="A1004">
            <v>31407</v>
          </cell>
          <cell r="B1004" t="str">
            <v>MOHITE SANDEEP</v>
          </cell>
          <cell r="C1004" t="str">
            <v>HKPS</v>
          </cell>
        </row>
        <row r="1005">
          <cell r="A1005">
            <v>31521</v>
          </cell>
          <cell r="B1005" t="str">
            <v>MUNDRA ANIRUDDH</v>
          </cell>
          <cell r="C1005" t="str">
            <v>HKPS</v>
          </cell>
        </row>
        <row r="1006">
          <cell r="A1006">
            <v>31522</v>
          </cell>
          <cell r="B1006" t="str">
            <v>BASANTAM VISHAL</v>
          </cell>
          <cell r="C1006" t="str">
            <v>HKPS</v>
          </cell>
        </row>
        <row r="1007">
          <cell r="A1007">
            <v>2039</v>
          </cell>
          <cell r="B1007" t="str">
            <v>MAKHANIA PINKS A.</v>
          </cell>
          <cell r="C1007" t="str">
            <v>HRD</v>
          </cell>
        </row>
        <row r="1008">
          <cell r="A1008">
            <v>9935</v>
          </cell>
          <cell r="B1008" t="str">
            <v>MAHENDROO PUNEET</v>
          </cell>
          <cell r="C1008" t="str">
            <v>HRD</v>
          </cell>
        </row>
        <row r="1009">
          <cell r="A1009">
            <v>10283</v>
          </cell>
          <cell r="B1009" t="str">
            <v>DUNEKAR JAYESH</v>
          </cell>
          <cell r="C1009" t="str">
            <v>HRD</v>
          </cell>
        </row>
        <row r="1010">
          <cell r="A1010">
            <v>10676</v>
          </cell>
          <cell r="B1010" t="str">
            <v>BARACHO JOSEPH</v>
          </cell>
          <cell r="C1010" t="str">
            <v>HRD</v>
          </cell>
        </row>
        <row r="1011">
          <cell r="A1011">
            <v>30501</v>
          </cell>
          <cell r="B1011" t="str">
            <v>MENDIRATTA KARISHMA</v>
          </cell>
          <cell r="C1011" t="str">
            <v>HRD</v>
          </cell>
        </row>
        <row r="1012">
          <cell r="A1012">
            <v>30502</v>
          </cell>
          <cell r="B1012" t="str">
            <v>RAJAMANI PRIYA</v>
          </cell>
          <cell r="C1012" t="str">
            <v>HRD</v>
          </cell>
        </row>
        <row r="1013">
          <cell r="A1013">
            <v>2930</v>
          </cell>
          <cell r="B1013" t="str">
            <v>FERNANDES BINEDICTA</v>
          </cell>
          <cell r="C1013" t="str">
            <v>HSLI</v>
          </cell>
        </row>
        <row r="1014">
          <cell r="A1014">
            <v>3652</v>
          </cell>
          <cell r="B1014" t="str">
            <v>GAIKWAD ASHA C.</v>
          </cell>
          <cell r="C1014" t="str">
            <v>HSLI</v>
          </cell>
        </row>
        <row r="1015">
          <cell r="A1015">
            <v>4178</v>
          </cell>
          <cell r="B1015" t="str">
            <v>CARDOZO MARY C.</v>
          </cell>
          <cell r="C1015" t="str">
            <v>HSLI</v>
          </cell>
        </row>
        <row r="1016">
          <cell r="A1016">
            <v>4619</v>
          </cell>
          <cell r="B1016" t="str">
            <v>MALLAH HARISHCHANDER B.</v>
          </cell>
          <cell r="C1016" t="str">
            <v>HSLI</v>
          </cell>
        </row>
        <row r="1017">
          <cell r="A1017">
            <v>4621</v>
          </cell>
          <cell r="B1017" t="str">
            <v>MULLA  AKBER A  KARIM</v>
          </cell>
          <cell r="C1017" t="str">
            <v>HSLI</v>
          </cell>
        </row>
        <row r="1018">
          <cell r="A1018">
            <v>4644</v>
          </cell>
          <cell r="B1018" t="str">
            <v>FERNANDES LILLY</v>
          </cell>
          <cell r="C1018" t="str">
            <v>HSLI</v>
          </cell>
        </row>
        <row r="1019">
          <cell r="A1019">
            <v>6039</v>
          </cell>
          <cell r="B1019" t="str">
            <v>PEREIRA IRENE A</v>
          </cell>
          <cell r="C1019" t="str">
            <v>HSLI</v>
          </cell>
        </row>
        <row r="1020">
          <cell r="A1020">
            <v>6181</v>
          </cell>
          <cell r="B1020" t="str">
            <v>CRUZ ELIZABETH A.</v>
          </cell>
          <cell r="C1020" t="str">
            <v>HSLI</v>
          </cell>
        </row>
        <row r="1021">
          <cell r="A1021">
            <v>7094</v>
          </cell>
          <cell r="B1021" t="str">
            <v>NIKAM SAHDEV</v>
          </cell>
          <cell r="C1021" t="str">
            <v>INTD</v>
          </cell>
        </row>
        <row r="1022">
          <cell r="A1022">
            <v>1907</v>
          </cell>
          <cell r="B1022" t="str">
            <v>SINGH VIJAY PRATAP</v>
          </cell>
          <cell r="C1022" t="str">
            <v>KCHN</v>
          </cell>
        </row>
        <row r="1023">
          <cell r="A1023">
            <v>3068</v>
          </cell>
          <cell r="B1023" t="str">
            <v>SARKAR DILIP KUMAR</v>
          </cell>
          <cell r="C1023" t="str">
            <v>KCHN</v>
          </cell>
        </row>
        <row r="1024">
          <cell r="A1024">
            <v>3094</v>
          </cell>
          <cell r="B1024" t="str">
            <v>YEDGE BIRU VISHNU</v>
          </cell>
          <cell r="C1024" t="str">
            <v>KCHN</v>
          </cell>
        </row>
        <row r="1025">
          <cell r="A1025">
            <v>3472</v>
          </cell>
          <cell r="B1025" t="str">
            <v>D'SILVA LIGORIO</v>
          </cell>
          <cell r="C1025" t="str">
            <v>KCHN</v>
          </cell>
        </row>
        <row r="1026">
          <cell r="A1026">
            <v>4054</v>
          </cell>
          <cell r="B1026" t="str">
            <v>PEREIRA LOUIS A</v>
          </cell>
          <cell r="C1026" t="str">
            <v>KCHN</v>
          </cell>
        </row>
        <row r="1027">
          <cell r="A1027">
            <v>4295</v>
          </cell>
          <cell r="B1027" t="str">
            <v>DEVRUKHKAR C.B.</v>
          </cell>
          <cell r="C1027" t="str">
            <v>KCHN</v>
          </cell>
        </row>
        <row r="1028">
          <cell r="A1028">
            <v>4975</v>
          </cell>
          <cell r="B1028" t="str">
            <v>PATEL MD R</v>
          </cell>
          <cell r="C1028" t="str">
            <v>KCHN</v>
          </cell>
        </row>
        <row r="1029">
          <cell r="A1029">
            <v>5164</v>
          </cell>
          <cell r="B1029" t="str">
            <v>SHEIKH AMIR.V.</v>
          </cell>
          <cell r="C1029" t="str">
            <v>KCHN</v>
          </cell>
        </row>
        <row r="1030">
          <cell r="A1030">
            <v>5523</v>
          </cell>
          <cell r="B1030" t="str">
            <v>SHEKHARA CHANDRA</v>
          </cell>
          <cell r="C1030" t="str">
            <v>KCHN</v>
          </cell>
        </row>
        <row r="1031">
          <cell r="A1031">
            <v>5570</v>
          </cell>
          <cell r="B1031" t="str">
            <v>JADHAV RAMCHANDRA</v>
          </cell>
          <cell r="C1031" t="str">
            <v>KCHN</v>
          </cell>
        </row>
        <row r="1032">
          <cell r="A1032">
            <v>5634</v>
          </cell>
          <cell r="B1032" t="str">
            <v>KAROSIA SOHANLAL</v>
          </cell>
          <cell r="C1032" t="str">
            <v>KCHN</v>
          </cell>
        </row>
        <row r="1033">
          <cell r="A1033">
            <v>5745</v>
          </cell>
          <cell r="B1033" t="str">
            <v>MULLA SIKANDER M.</v>
          </cell>
          <cell r="C1033" t="str">
            <v>KCHN</v>
          </cell>
        </row>
        <row r="1034">
          <cell r="A1034">
            <v>6038</v>
          </cell>
          <cell r="B1034" t="str">
            <v>RAWAL PRAKASH C.</v>
          </cell>
          <cell r="C1034" t="str">
            <v>KCHN</v>
          </cell>
        </row>
        <row r="1035">
          <cell r="A1035">
            <v>6699</v>
          </cell>
          <cell r="B1035" t="str">
            <v>KUMBHAR JAISINGH S</v>
          </cell>
          <cell r="C1035" t="str">
            <v>KCHN</v>
          </cell>
        </row>
        <row r="1036">
          <cell r="A1036">
            <v>6906</v>
          </cell>
          <cell r="B1036" t="str">
            <v>THAKUR HARSHAD V</v>
          </cell>
          <cell r="C1036" t="str">
            <v>KCHN</v>
          </cell>
        </row>
        <row r="1037">
          <cell r="A1037">
            <v>6944</v>
          </cell>
          <cell r="B1037" t="str">
            <v>SANGLE ASHOK</v>
          </cell>
          <cell r="C1037" t="str">
            <v>KCHN</v>
          </cell>
        </row>
        <row r="1038">
          <cell r="A1038">
            <v>7213</v>
          </cell>
          <cell r="B1038" t="str">
            <v>SHARMA BABURAM</v>
          </cell>
          <cell r="C1038" t="str">
            <v>KCHN</v>
          </cell>
        </row>
        <row r="1039">
          <cell r="A1039">
            <v>7268</v>
          </cell>
          <cell r="B1039" t="str">
            <v>GUJAL RAMU</v>
          </cell>
          <cell r="C1039" t="str">
            <v>KCHN</v>
          </cell>
        </row>
        <row r="1040">
          <cell r="A1040">
            <v>7371</v>
          </cell>
          <cell r="B1040" t="str">
            <v>BHATCHARI VISHNU VISHI</v>
          </cell>
          <cell r="C1040" t="str">
            <v>KCHN</v>
          </cell>
        </row>
        <row r="1041">
          <cell r="A1041">
            <v>7893</v>
          </cell>
          <cell r="B1041" t="str">
            <v>SHARMA MAHESH D.</v>
          </cell>
          <cell r="C1041" t="str">
            <v>KCHN</v>
          </cell>
        </row>
        <row r="1042">
          <cell r="A1042">
            <v>7894</v>
          </cell>
          <cell r="B1042" t="str">
            <v>ARYAL MANIRAM A.</v>
          </cell>
          <cell r="C1042" t="str">
            <v>KCHN</v>
          </cell>
        </row>
        <row r="1043">
          <cell r="A1043">
            <v>7915</v>
          </cell>
          <cell r="B1043" t="str">
            <v>NARANG SANDEEP</v>
          </cell>
          <cell r="C1043" t="str">
            <v>KCHN</v>
          </cell>
        </row>
        <row r="1044">
          <cell r="A1044">
            <v>8097</v>
          </cell>
          <cell r="B1044" t="str">
            <v>MALLICK AHSIM</v>
          </cell>
          <cell r="C1044" t="str">
            <v>KCHN</v>
          </cell>
        </row>
        <row r="1045">
          <cell r="A1045">
            <v>8122</v>
          </cell>
          <cell r="B1045" t="str">
            <v>PUROHIT ANOPSINGH</v>
          </cell>
          <cell r="C1045" t="str">
            <v>KCHN</v>
          </cell>
        </row>
        <row r="1046">
          <cell r="A1046">
            <v>8200</v>
          </cell>
          <cell r="B1046" t="str">
            <v>SHARMA MANOHARLAL</v>
          </cell>
          <cell r="C1046" t="str">
            <v>KCHN</v>
          </cell>
        </row>
        <row r="1047">
          <cell r="A1047">
            <v>8218</v>
          </cell>
          <cell r="B1047" t="str">
            <v>SUVARNA HARISH</v>
          </cell>
          <cell r="C1047" t="str">
            <v>KCHN</v>
          </cell>
        </row>
        <row r="1048">
          <cell r="A1048">
            <v>8221</v>
          </cell>
          <cell r="B1048" t="str">
            <v>SUNDARAJA ARUN</v>
          </cell>
          <cell r="C1048" t="str">
            <v>KCHN</v>
          </cell>
        </row>
        <row r="1049">
          <cell r="A1049">
            <v>8416</v>
          </cell>
          <cell r="B1049" t="str">
            <v>PATHANWAR RAMPAL</v>
          </cell>
          <cell r="C1049" t="str">
            <v>KCHN</v>
          </cell>
        </row>
        <row r="1050">
          <cell r="A1050">
            <v>8585</v>
          </cell>
          <cell r="B1050" t="str">
            <v>LOBO VENECIA MISS</v>
          </cell>
          <cell r="C1050" t="str">
            <v>KCHN</v>
          </cell>
        </row>
        <row r="1051">
          <cell r="A1051">
            <v>8695</v>
          </cell>
          <cell r="B1051" t="str">
            <v>NAUTIYAL SHANTIPRASAD</v>
          </cell>
          <cell r="C1051" t="str">
            <v>KCHN</v>
          </cell>
        </row>
        <row r="1052">
          <cell r="A1052">
            <v>8714</v>
          </cell>
          <cell r="B1052" t="str">
            <v>MORE AMRISH LAXMAN</v>
          </cell>
          <cell r="C1052" t="str">
            <v>KCHN</v>
          </cell>
        </row>
        <row r="1053">
          <cell r="A1053">
            <v>8784</v>
          </cell>
          <cell r="B1053" t="str">
            <v>IMRANKHAN M.M. KHAN</v>
          </cell>
          <cell r="C1053" t="str">
            <v>KCHN</v>
          </cell>
        </row>
        <row r="1054">
          <cell r="A1054">
            <v>8976</v>
          </cell>
          <cell r="B1054" t="str">
            <v>NAIR SAJESH</v>
          </cell>
          <cell r="C1054" t="str">
            <v>KCHN</v>
          </cell>
        </row>
        <row r="1055">
          <cell r="A1055">
            <v>9084</v>
          </cell>
          <cell r="B1055" t="str">
            <v>THAKUR ROHINI PRABHAKAR</v>
          </cell>
          <cell r="C1055" t="str">
            <v>KCHN</v>
          </cell>
        </row>
        <row r="1056">
          <cell r="A1056">
            <v>9261</v>
          </cell>
          <cell r="B1056" t="str">
            <v>SHARMA RAJKUMAR</v>
          </cell>
          <cell r="C1056" t="str">
            <v>KCHN</v>
          </cell>
        </row>
        <row r="1057">
          <cell r="A1057">
            <v>9502</v>
          </cell>
          <cell r="B1057" t="str">
            <v>CHAUHAN JATAN SINGH</v>
          </cell>
          <cell r="C1057" t="str">
            <v>KCHN</v>
          </cell>
        </row>
        <row r="1058">
          <cell r="A1058">
            <v>9653</v>
          </cell>
          <cell r="B1058" t="str">
            <v>SHARMA KULDEEP</v>
          </cell>
          <cell r="C1058" t="str">
            <v>KCHN</v>
          </cell>
        </row>
        <row r="1059">
          <cell r="A1059">
            <v>9688</v>
          </cell>
          <cell r="B1059" t="str">
            <v>CHENDKE SHASHIKANT</v>
          </cell>
          <cell r="C1059" t="str">
            <v>KCHN</v>
          </cell>
        </row>
        <row r="1060">
          <cell r="A1060">
            <v>9846</v>
          </cell>
          <cell r="B1060" t="str">
            <v>WAGHMARE PRADEEP</v>
          </cell>
          <cell r="C1060" t="str">
            <v>KCHN</v>
          </cell>
        </row>
        <row r="1061">
          <cell r="A1061">
            <v>9947</v>
          </cell>
          <cell r="B1061" t="str">
            <v>SINHA NISHANT</v>
          </cell>
          <cell r="C1061" t="str">
            <v>KCHN</v>
          </cell>
        </row>
        <row r="1062">
          <cell r="A1062">
            <v>10008</v>
          </cell>
          <cell r="B1062" t="str">
            <v>BODA ASHOK P.</v>
          </cell>
          <cell r="C1062" t="str">
            <v>KCHN</v>
          </cell>
        </row>
        <row r="1063">
          <cell r="A1063">
            <v>10043</v>
          </cell>
          <cell r="B1063" t="str">
            <v>GORULE DEEPAK</v>
          </cell>
          <cell r="C1063" t="str">
            <v>KCHN</v>
          </cell>
        </row>
        <row r="1064">
          <cell r="A1064">
            <v>10048</v>
          </cell>
          <cell r="B1064" t="str">
            <v>JOSHI LOKRAJ MUSKAN</v>
          </cell>
          <cell r="C1064" t="str">
            <v>KCHN</v>
          </cell>
        </row>
        <row r="1065">
          <cell r="A1065">
            <v>10144</v>
          </cell>
          <cell r="B1065" t="str">
            <v>BOJJA NITIN ASHOK</v>
          </cell>
          <cell r="C1065" t="str">
            <v>KCHN</v>
          </cell>
        </row>
        <row r="1066">
          <cell r="A1066">
            <v>10192</v>
          </cell>
          <cell r="B1066" t="str">
            <v>PAWAR NISHANT</v>
          </cell>
          <cell r="C1066" t="str">
            <v>KCHN</v>
          </cell>
        </row>
        <row r="1067">
          <cell r="A1067">
            <v>10193</v>
          </cell>
          <cell r="B1067" t="str">
            <v>MOHANAN SANTOSH K</v>
          </cell>
          <cell r="C1067" t="str">
            <v>KCHN</v>
          </cell>
        </row>
        <row r="1068">
          <cell r="A1068">
            <v>10229</v>
          </cell>
          <cell r="B1068" t="str">
            <v>KUNWAR ARJUN BAHADUR</v>
          </cell>
          <cell r="C1068" t="str">
            <v>KCHN</v>
          </cell>
        </row>
        <row r="1069">
          <cell r="A1069">
            <v>10231</v>
          </cell>
          <cell r="B1069" t="str">
            <v>SINGH SATENDRA</v>
          </cell>
          <cell r="C1069" t="str">
            <v>KCHN</v>
          </cell>
        </row>
        <row r="1070">
          <cell r="A1070">
            <v>10507</v>
          </cell>
          <cell r="B1070" t="str">
            <v>IRANI CYRUS</v>
          </cell>
          <cell r="C1070" t="str">
            <v>KCHN</v>
          </cell>
        </row>
        <row r="1071">
          <cell r="A1071">
            <v>10508</v>
          </cell>
          <cell r="B1071" t="str">
            <v>KAMDIN KAIZAD</v>
          </cell>
          <cell r="C1071" t="str">
            <v>KCHN</v>
          </cell>
        </row>
        <row r="1072">
          <cell r="A1072">
            <v>10510</v>
          </cell>
          <cell r="B1072" t="str">
            <v>DESOUZA SHELDON</v>
          </cell>
          <cell r="C1072" t="str">
            <v>KCHN</v>
          </cell>
        </row>
        <row r="1073">
          <cell r="A1073">
            <v>10511</v>
          </cell>
          <cell r="B1073" t="str">
            <v>LOBO MICHELLE</v>
          </cell>
          <cell r="C1073" t="str">
            <v>KCHN</v>
          </cell>
        </row>
        <row r="1074">
          <cell r="A1074">
            <v>10512</v>
          </cell>
          <cell r="B1074" t="str">
            <v>PEREIRA VALENTINE</v>
          </cell>
          <cell r="C1074" t="str">
            <v>KCHN</v>
          </cell>
        </row>
        <row r="1075">
          <cell r="A1075">
            <v>10519</v>
          </cell>
          <cell r="B1075" t="str">
            <v>KAUSHAL SUMIT</v>
          </cell>
          <cell r="C1075" t="str">
            <v>KCHN</v>
          </cell>
        </row>
        <row r="1076">
          <cell r="A1076">
            <v>10521</v>
          </cell>
          <cell r="B1076" t="str">
            <v>MANEPALLI SUMANTH</v>
          </cell>
          <cell r="C1076" t="str">
            <v>KCHN</v>
          </cell>
        </row>
        <row r="1077">
          <cell r="A1077">
            <v>10523</v>
          </cell>
          <cell r="B1077" t="str">
            <v>RAO SUDHA</v>
          </cell>
          <cell r="C1077" t="str">
            <v>KCHN</v>
          </cell>
        </row>
        <row r="1078">
          <cell r="A1078">
            <v>10526</v>
          </cell>
          <cell r="B1078" t="str">
            <v>SANTHOSH P.V.</v>
          </cell>
          <cell r="C1078" t="str">
            <v>KCHN</v>
          </cell>
        </row>
        <row r="1079">
          <cell r="A1079">
            <v>10528</v>
          </cell>
          <cell r="B1079" t="str">
            <v>COUTINHO FRANCIS F.</v>
          </cell>
          <cell r="C1079" t="str">
            <v>KCHN</v>
          </cell>
        </row>
        <row r="1080">
          <cell r="A1080">
            <v>10807</v>
          </cell>
          <cell r="B1080" t="str">
            <v>KULKARNI AALAP</v>
          </cell>
          <cell r="C1080" t="str">
            <v>KCHN</v>
          </cell>
        </row>
        <row r="1081">
          <cell r="A1081">
            <v>10808</v>
          </cell>
          <cell r="B1081" t="str">
            <v>JAMULA HAVOVI B</v>
          </cell>
          <cell r="C1081" t="str">
            <v>KCHN</v>
          </cell>
        </row>
        <row r="1082">
          <cell r="A1082">
            <v>10809</v>
          </cell>
          <cell r="B1082" t="str">
            <v>NAIR SARITA</v>
          </cell>
          <cell r="C1082" t="str">
            <v>KCHN</v>
          </cell>
        </row>
        <row r="1083">
          <cell r="A1083">
            <v>10811</v>
          </cell>
          <cell r="B1083" t="str">
            <v>MALHOTRA GAURAV</v>
          </cell>
          <cell r="C1083" t="str">
            <v>KCHN</v>
          </cell>
        </row>
        <row r="1084">
          <cell r="A1084">
            <v>10812</v>
          </cell>
          <cell r="B1084" t="str">
            <v>CABRAL RODNEY</v>
          </cell>
          <cell r="C1084" t="str">
            <v>KCHN</v>
          </cell>
        </row>
        <row r="1085">
          <cell r="A1085">
            <v>10813</v>
          </cell>
          <cell r="B1085" t="str">
            <v>GERA SUMIT</v>
          </cell>
          <cell r="C1085" t="str">
            <v>KCHN</v>
          </cell>
        </row>
        <row r="1086">
          <cell r="A1086">
            <v>10814</v>
          </cell>
          <cell r="B1086" t="str">
            <v>MAHADIK RAJENDRA</v>
          </cell>
          <cell r="C1086" t="str">
            <v>KCHN</v>
          </cell>
        </row>
        <row r="1087">
          <cell r="A1087">
            <v>10815</v>
          </cell>
          <cell r="B1087" t="str">
            <v>VERMA LALIT</v>
          </cell>
          <cell r="C1087" t="str">
            <v>KCHN</v>
          </cell>
        </row>
        <row r="1088">
          <cell r="A1088">
            <v>10816</v>
          </cell>
          <cell r="B1088" t="str">
            <v>ACHAREKAR AKSHAY</v>
          </cell>
          <cell r="C1088" t="str">
            <v>KCHN</v>
          </cell>
        </row>
        <row r="1089">
          <cell r="A1089">
            <v>10817</v>
          </cell>
          <cell r="B1089" t="str">
            <v>MADKAIKAR NILESH</v>
          </cell>
          <cell r="C1089" t="str">
            <v>KCHN</v>
          </cell>
        </row>
        <row r="1090">
          <cell r="A1090">
            <v>10818</v>
          </cell>
          <cell r="B1090" t="str">
            <v>PATHAK AMIT</v>
          </cell>
          <cell r="C1090" t="str">
            <v>KCHN</v>
          </cell>
        </row>
        <row r="1091">
          <cell r="A1091">
            <v>10819</v>
          </cell>
          <cell r="B1091" t="str">
            <v>SUKHIA SCHEHERAZADE</v>
          </cell>
          <cell r="C1091" t="str">
            <v>KCHN</v>
          </cell>
        </row>
        <row r="1092">
          <cell r="A1092">
            <v>10820</v>
          </cell>
          <cell r="B1092" t="str">
            <v>DHAMALE NITIN</v>
          </cell>
          <cell r="C1092" t="str">
            <v>KCHN</v>
          </cell>
        </row>
        <row r="1093">
          <cell r="A1093">
            <v>10821</v>
          </cell>
          <cell r="B1093" t="str">
            <v>KATOCH VIVEK</v>
          </cell>
          <cell r="C1093" t="str">
            <v>KCHN</v>
          </cell>
        </row>
        <row r="1094">
          <cell r="A1094">
            <v>10828</v>
          </cell>
          <cell r="B1094" t="str">
            <v>SHIRALI TANOI</v>
          </cell>
          <cell r="C1094" t="str">
            <v>KCHN</v>
          </cell>
        </row>
        <row r="1095">
          <cell r="A1095">
            <v>10829</v>
          </cell>
          <cell r="B1095" t="str">
            <v>KATRAK ASHEESH</v>
          </cell>
          <cell r="C1095" t="str">
            <v>KCHN</v>
          </cell>
        </row>
        <row r="1096">
          <cell r="A1096">
            <v>10830</v>
          </cell>
          <cell r="B1096" t="str">
            <v>MRUNAL WATAWE</v>
          </cell>
          <cell r="C1096" t="str">
            <v>KCHN</v>
          </cell>
        </row>
        <row r="1097">
          <cell r="A1097">
            <v>30238</v>
          </cell>
          <cell r="B1097" t="str">
            <v>TAVARES  NICHOLAS</v>
          </cell>
          <cell r="C1097" t="str">
            <v>KCHN</v>
          </cell>
        </row>
        <row r="1098">
          <cell r="A1098">
            <v>30251</v>
          </cell>
          <cell r="B1098" t="str">
            <v>JAGTAP HARISHCHANDRA</v>
          </cell>
          <cell r="C1098" t="str">
            <v>KCHN</v>
          </cell>
        </row>
        <row r="1099">
          <cell r="A1099">
            <v>30754</v>
          </cell>
          <cell r="B1099" t="str">
            <v>RANA NETRASINGH</v>
          </cell>
          <cell r="C1099" t="str">
            <v>KCHN</v>
          </cell>
        </row>
        <row r="1100">
          <cell r="A1100">
            <v>30779</v>
          </cell>
          <cell r="B1100" t="str">
            <v>SHINDE RAMAKANT</v>
          </cell>
          <cell r="C1100" t="str">
            <v>KCHN</v>
          </cell>
        </row>
        <row r="1101">
          <cell r="A1101">
            <v>30787</v>
          </cell>
          <cell r="B1101" t="str">
            <v>HODAR NILESH</v>
          </cell>
          <cell r="C1101" t="str">
            <v>KCHN</v>
          </cell>
        </row>
        <row r="1102">
          <cell r="A1102">
            <v>1756</v>
          </cell>
          <cell r="B1102" t="str">
            <v>NAMBIAR PARMESHWARAN</v>
          </cell>
          <cell r="C1102" t="str">
            <v>KTAB</v>
          </cell>
        </row>
        <row r="1103">
          <cell r="A1103">
            <v>8710</v>
          </cell>
          <cell r="B1103" t="str">
            <v>AGASHE ANIRUDDHA</v>
          </cell>
          <cell r="C1103" t="str">
            <v>KTAB</v>
          </cell>
        </row>
        <row r="1104">
          <cell r="A1104">
            <v>9708</v>
          </cell>
          <cell r="B1104" t="str">
            <v>TIWARI SHESHKUMAR</v>
          </cell>
          <cell r="C1104" t="str">
            <v>KTAB</v>
          </cell>
        </row>
        <row r="1105">
          <cell r="A1105">
            <v>9919</v>
          </cell>
          <cell r="B1105" t="str">
            <v>MARWAH AMAN S.</v>
          </cell>
          <cell r="C1105" t="str">
            <v>KTAB</v>
          </cell>
        </row>
        <row r="1106">
          <cell r="A1106">
            <v>10005</v>
          </cell>
          <cell r="B1106" t="str">
            <v>NAUTIYAL VIJAY</v>
          </cell>
          <cell r="C1106" t="str">
            <v>KTAB</v>
          </cell>
        </row>
        <row r="1107">
          <cell r="A1107">
            <v>30788</v>
          </cell>
          <cell r="B1107" t="str">
            <v>MISTRY NIKUNJKUMAR</v>
          </cell>
          <cell r="C1107" t="str">
            <v>KTAB</v>
          </cell>
        </row>
        <row r="1108">
          <cell r="A1108">
            <v>30798</v>
          </cell>
          <cell r="B1108" t="str">
            <v>TANDEL ASHOK</v>
          </cell>
          <cell r="C1108" t="str">
            <v>KTAB</v>
          </cell>
        </row>
        <row r="1109">
          <cell r="A1109">
            <v>3176</v>
          </cell>
          <cell r="B1109" t="str">
            <v>RAUT VISHWANATH</v>
          </cell>
          <cell r="C1109" t="str">
            <v>KTBU</v>
          </cell>
        </row>
        <row r="1110">
          <cell r="A1110">
            <v>3612</v>
          </cell>
          <cell r="B1110" t="str">
            <v>DESHMUKH GULAM H</v>
          </cell>
          <cell r="C1110" t="str">
            <v>KTBU</v>
          </cell>
        </row>
        <row r="1111">
          <cell r="A1111">
            <v>4687</v>
          </cell>
          <cell r="B1111" t="str">
            <v>SHETTY VISHWANATH B.</v>
          </cell>
          <cell r="C1111" t="str">
            <v>KTBU</v>
          </cell>
        </row>
        <row r="1112">
          <cell r="A1112">
            <v>5526</v>
          </cell>
          <cell r="B1112" t="str">
            <v>KAWADE PRABHAKAR N.</v>
          </cell>
          <cell r="C1112" t="str">
            <v>KTBU</v>
          </cell>
        </row>
        <row r="1113">
          <cell r="A1113">
            <v>5907</v>
          </cell>
          <cell r="B1113" t="str">
            <v>KARKI GOPAL S.</v>
          </cell>
          <cell r="C1113" t="str">
            <v>KTBU</v>
          </cell>
        </row>
        <row r="1114">
          <cell r="A1114">
            <v>9702</v>
          </cell>
          <cell r="B1114" t="str">
            <v>MORE SUJIT</v>
          </cell>
          <cell r="C1114" t="str">
            <v>KTBU</v>
          </cell>
        </row>
        <row r="1115">
          <cell r="A1115">
            <v>10189</v>
          </cell>
          <cell r="B1115" t="str">
            <v>PANCHAL APURVA</v>
          </cell>
          <cell r="C1115" t="str">
            <v>KTBU</v>
          </cell>
        </row>
        <row r="1116">
          <cell r="A1116">
            <v>10426</v>
          </cell>
          <cell r="B1116" t="str">
            <v>JADHAV ROSHAN</v>
          </cell>
          <cell r="C1116" t="str">
            <v>KTBU</v>
          </cell>
        </row>
        <row r="1117">
          <cell r="A1117">
            <v>30797</v>
          </cell>
          <cell r="B1117" t="str">
            <v>NAIK BHUPESH</v>
          </cell>
          <cell r="C1117" t="str">
            <v>KTBU</v>
          </cell>
        </row>
        <row r="1118">
          <cell r="A1118">
            <v>30800</v>
          </cell>
          <cell r="B1118" t="str">
            <v>SYED ASHIK</v>
          </cell>
          <cell r="C1118" t="str">
            <v>KTBU</v>
          </cell>
        </row>
        <row r="1119">
          <cell r="A1119">
            <v>2127</v>
          </cell>
          <cell r="B1119" t="str">
            <v>SHINDE BHAGURAM B.</v>
          </cell>
          <cell r="C1119" t="str">
            <v>KTCH</v>
          </cell>
        </row>
        <row r="1120">
          <cell r="A1120">
            <v>4307</v>
          </cell>
          <cell r="B1120" t="str">
            <v>JAGTAP BHIKAJI D</v>
          </cell>
          <cell r="C1120" t="str">
            <v>KTCH</v>
          </cell>
        </row>
        <row r="1121">
          <cell r="A1121">
            <v>5741</v>
          </cell>
          <cell r="B1121" t="str">
            <v>KHAN ARIF</v>
          </cell>
          <cell r="C1121" t="str">
            <v>KTCH</v>
          </cell>
        </row>
        <row r="1122">
          <cell r="A1122">
            <v>8546</v>
          </cell>
          <cell r="B1122" t="str">
            <v>THUNTHI BURZIZ</v>
          </cell>
          <cell r="C1122" t="str">
            <v>KTCH</v>
          </cell>
        </row>
        <row r="1123">
          <cell r="A1123">
            <v>9234</v>
          </cell>
          <cell r="B1123" t="str">
            <v>DESHMUKH ASHFAQUE</v>
          </cell>
          <cell r="C1123" t="str">
            <v>KTCH</v>
          </cell>
        </row>
        <row r="1124">
          <cell r="A1124">
            <v>9921</v>
          </cell>
          <cell r="B1124" t="str">
            <v>PURANDARE ANUPA A.</v>
          </cell>
          <cell r="C1124" t="str">
            <v>KTCH</v>
          </cell>
        </row>
        <row r="1125">
          <cell r="A1125">
            <v>10188</v>
          </cell>
          <cell r="B1125" t="str">
            <v>MARTINS SHELTON</v>
          </cell>
          <cell r="C1125" t="str">
            <v>KTCH</v>
          </cell>
        </row>
        <row r="1126">
          <cell r="A1126">
            <v>10191</v>
          </cell>
          <cell r="B1126" t="str">
            <v>SETHI AMIT</v>
          </cell>
          <cell r="C1126" t="str">
            <v>KTCH</v>
          </cell>
        </row>
        <row r="1127">
          <cell r="A1127">
            <v>10194</v>
          </cell>
          <cell r="B1127" t="str">
            <v>JAMASBNEJAD DELARAM</v>
          </cell>
          <cell r="C1127" t="str">
            <v>KTCH</v>
          </cell>
        </row>
        <row r="1128">
          <cell r="A1128">
            <v>4266</v>
          </cell>
          <cell r="B1128" t="str">
            <v>MALI YESHWANT G.</v>
          </cell>
          <cell r="C1128" t="str">
            <v>KTGD</v>
          </cell>
        </row>
        <row r="1129">
          <cell r="A1129">
            <v>5092</v>
          </cell>
          <cell r="B1129" t="str">
            <v>RIKAME PRAKASH T</v>
          </cell>
          <cell r="C1129" t="str">
            <v>KTGD</v>
          </cell>
        </row>
        <row r="1130">
          <cell r="A1130">
            <v>5435</v>
          </cell>
          <cell r="B1130" t="str">
            <v>DESHMUKH ABDUL A</v>
          </cell>
          <cell r="C1130" t="str">
            <v>KTGD</v>
          </cell>
        </row>
        <row r="1131">
          <cell r="A1131">
            <v>5938</v>
          </cell>
          <cell r="B1131" t="str">
            <v>GAIKWAD SIDDHARTHA M.</v>
          </cell>
          <cell r="C1131" t="str">
            <v>KTGD</v>
          </cell>
        </row>
        <row r="1132">
          <cell r="A1132">
            <v>6136</v>
          </cell>
          <cell r="B1132" t="str">
            <v>BALLAYYA G. VEERESHAN</v>
          </cell>
          <cell r="C1132" t="str">
            <v>KTGD</v>
          </cell>
        </row>
        <row r="1133">
          <cell r="A1133">
            <v>7149</v>
          </cell>
          <cell r="B1133" t="str">
            <v>KHEDEKAR ANIL S.</v>
          </cell>
          <cell r="C1133" t="str">
            <v>KTGD</v>
          </cell>
        </row>
        <row r="1134">
          <cell r="A1134">
            <v>7233</v>
          </cell>
          <cell r="B1134" t="str">
            <v>DARADE ASHOK K.</v>
          </cell>
          <cell r="C1134" t="str">
            <v>KTGD</v>
          </cell>
        </row>
        <row r="1135">
          <cell r="A1135">
            <v>7753</v>
          </cell>
          <cell r="B1135" t="str">
            <v>VARPE N.RAMCHANDRA</v>
          </cell>
          <cell r="C1135" t="str">
            <v>KTGD</v>
          </cell>
        </row>
        <row r="1136">
          <cell r="A1136">
            <v>8390</v>
          </cell>
          <cell r="B1136" t="str">
            <v>BASYAL PURSHOTTAM</v>
          </cell>
          <cell r="C1136" t="str">
            <v>KTGD</v>
          </cell>
        </row>
        <row r="1137">
          <cell r="A1137">
            <v>8846</v>
          </cell>
          <cell r="B1137" t="str">
            <v>RAGHU DEORA</v>
          </cell>
          <cell r="C1137" t="str">
            <v>KTGD</v>
          </cell>
        </row>
        <row r="1138">
          <cell r="A1138">
            <v>9269</v>
          </cell>
          <cell r="B1138" t="str">
            <v>MANDOKHOT ADITYA VALLABH</v>
          </cell>
          <cell r="C1138" t="str">
            <v>KTGD</v>
          </cell>
        </row>
        <row r="1139">
          <cell r="A1139">
            <v>9594</v>
          </cell>
          <cell r="B1139" t="str">
            <v>PINTO LINDON</v>
          </cell>
          <cell r="C1139" t="str">
            <v>KTGD</v>
          </cell>
        </row>
        <row r="1140">
          <cell r="A1140">
            <v>9812</v>
          </cell>
          <cell r="B1140" t="str">
            <v>SANGLE  ARJUN</v>
          </cell>
          <cell r="C1140" t="str">
            <v>KTGD</v>
          </cell>
        </row>
        <row r="1141">
          <cell r="A1141">
            <v>9845</v>
          </cell>
          <cell r="B1141" t="str">
            <v>NAIK SWAPNIL</v>
          </cell>
          <cell r="C1141" t="str">
            <v>KTGD</v>
          </cell>
        </row>
        <row r="1142">
          <cell r="A1142">
            <v>9952</v>
          </cell>
          <cell r="B1142" t="str">
            <v>MISTRY NIRAV</v>
          </cell>
          <cell r="C1142" t="str">
            <v>KTGD</v>
          </cell>
        </row>
        <row r="1143">
          <cell r="A1143">
            <v>10011</v>
          </cell>
          <cell r="B1143" t="str">
            <v>D'SA GLEN</v>
          </cell>
          <cell r="C1143" t="str">
            <v>KTGD</v>
          </cell>
        </row>
        <row r="1144">
          <cell r="A1144">
            <v>10415</v>
          </cell>
          <cell r="B1144" t="str">
            <v>KOUNDAL D.S.</v>
          </cell>
          <cell r="C1144" t="str">
            <v>KTGD</v>
          </cell>
        </row>
        <row r="1145">
          <cell r="A1145">
            <v>10506</v>
          </cell>
          <cell r="B1145" t="str">
            <v>SINGH AMARDEEP</v>
          </cell>
          <cell r="C1145" t="str">
            <v>KTGD</v>
          </cell>
        </row>
        <row r="1146">
          <cell r="A1146">
            <v>30782</v>
          </cell>
          <cell r="B1146" t="str">
            <v>KADU SANTOSH</v>
          </cell>
          <cell r="C1146" t="str">
            <v>KTGD</v>
          </cell>
        </row>
        <row r="1147">
          <cell r="A1147">
            <v>5574</v>
          </cell>
          <cell r="B1147" t="str">
            <v>KHAN HAFIZULLAH R.</v>
          </cell>
          <cell r="C1147" t="str">
            <v>KTGM</v>
          </cell>
        </row>
        <row r="1148">
          <cell r="A1148">
            <v>6945</v>
          </cell>
          <cell r="B1148" t="str">
            <v>SINGH YOGENDRA P</v>
          </cell>
          <cell r="C1148" t="str">
            <v>KTGM</v>
          </cell>
        </row>
        <row r="1149">
          <cell r="A1149">
            <v>7043</v>
          </cell>
          <cell r="B1149" t="str">
            <v>NAIK RAMESH L</v>
          </cell>
          <cell r="C1149" t="str">
            <v>KTGM</v>
          </cell>
        </row>
        <row r="1150">
          <cell r="A1150">
            <v>7151</v>
          </cell>
          <cell r="B1150" t="str">
            <v>BHUSHAN BHARAT</v>
          </cell>
          <cell r="C1150" t="str">
            <v>KTGM</v>
          </cell>
        </row>
        <row r="1151">
          <cell r="A1151">
            <v>9509</v>
          </cell>
          <cell r="B1151" t="str">
            <v>MAHAJAN MADHUKAR BABURAO</v>
          </cell>
          <cell r="C1151" t="str">
            <v>KTGM</v>
          </cell>
        </row>
        <row r="1152">
          <cell r="A1152">
            <v>10414</v>
          </cell>
          <cell r="B1152" t="str">
            <v>SHARMA SUNEEL KUMAR</v>
          </cell>
          <cell r="C1152" t="str">
            <v>KTGM</v>
          </cell>
        </row>
        <row r="1153">
          <cell r="A1153">
            <v>10505</v>
          </cell>
          <cell r="B1153" t="str">
            <v>KHAMBRA SURENDRA</v>
          </cell>
          <cell r="C1153" t="str">
            <v>KTGM</v>
          </cell>
        </row>
        <row r="1154">
          <cell r="A1154">
            <v>30108</v>
          </cell>
          <cell r="B1154" t="str">
            <v>JADHAV SUMEET</v>
          </cell>
          <cell r="C1154" t="str">
            <v>KTGM</v>
          </cell>
        </row>
        <row r="1155">
          <cell r="A1155">
            <v>30783</v>
          </cell>
          <cell r="B1155" t="str">
            <v>JADHAV AMOL</v>
          </cell>
          <cell r="C1155" t="str">
            <v>KTGM</v>
          </cell>
        </row>
        <row r="1156">
          <cell r="A1156">
            <v>30784</v>
          </cell>
          <cell r="B1156" t="str">
            <v>GOKHALE RAVI</v>
          </cell>
          <cell r="C1156" t="str">
            <v>KTGM</v>
          </cell>
        </row>
        <row r="1157">
          <cell r="A1157">
            <v>1731</v>
          </cell>
          <cell r="B1157" t="str">
            <v>FERNANDES LIBIO PETER</v>
          </cell>
          <cell r="C1157" t="str">
            <v>KTPT</v>
          </cell>
        </row>
        <row r="1158">
          <cell r="A1158">
            <v>2379</v>
          </cell>
          <cell r="B1158" t="str">
            <v>SHIVANARAYANA BOGA</v>
          </cell>
          <cell r="C1158" t="str">
            <v>KTPT</v>
          </cell>
        </row>
        <row r="1159">
          <cell r="A1159">
            <v>2769</v>
          </cell>
          <cell r="B1159" t="str">
            <v>NORONHA AUSTIN DINEZ</v>
          </cell>
          <cell r="C1159" t="str">
            <v>KTPT</v>
          </cell>
        </row>
        <row r="1160">
          <cell r="A1160">
            <v>3175</v>
          </cell>
          <cell r="B1160" t="str">
            <v>GOMES CONSTANTINE</v>
          </cell>
          <cell r="C1160" t="str">
            <v>KTPT</v>
          </cell>
        </row>
        <row r="1161">
          <cell r="A1161">
            <v>4237</v>
          </cell>
          <cell r="B1161" t="str">
            <v>MANUAL BRAGANZA</v>
          </cell>
          <cell r="C1161" t="str">
            <v>KTPT</v>
          </cell>
        </row>
        <row r="1162">
          <cell r="A1162">
            <v>4293</v>
          </cell>
          <cell r="B1162" t="str">
            <v>RAWAT DAN SINGH</v>
          </cell>
          <cell r="C1162" t="str">
            <v>KTPT</v>
          </cell>
        </row>
        <row r="1163">
          <cell r="A1163">
            <v>4972</v>
          </cell>
          <cell r="B1163" t="str">
            <v>KSHIRSAGAR SUBHASH</v>
          </cell>
          <cell r="C1163" t="str">
            <v>KTPT</v>
          </cell>
        </row>
        <row r="1164">
          <cell r="A1164">
            <v>5575</v>
          </cell>
          <cell r="B1164" t="str">
            <v>PATEL HUMAYUN PASHA</v>
          </cell>
          <cell r="C1164" t="str">
            <v>KTPT</v>
          </cell>
        </row>
        <row r="1165">
          <cell r="A1165">
            <v>5582</v>
          </cell>
          <cell r="B1165" t="str">
            <v>COLEB VINOD IVAN</v>
          </cell>
          <cell r="C1165" t="str">
            <v>KTPT</v>
          </cell>
        </row>
        <row r="1166">
          <cell r="A1166">
            <v>6439</v>
          </cell>
          <cell r="B1166" t="str">
            <v>JADHAV SHAILENDRA</v>
          </cell>
          <cell r="C1166" t="str">
            <v>KTPT</v>
          </cell>
        </row>
        <row r="1167">
          <cell r="A1167">
            <v>6512</v>
          </cell>
          <cell r="B1167" t="str">
            <v>GADWAL SAEED A.</v>
          </cell>
          <cell r="C1167" t="str">
            <v>KTPT</v>
          </cell>
        </row>
        <row r="1168">
          <cell r="A1168">
            <v>6737</v>
          </cell>
          <cell r="B1168" t="str">
            <v>NANDALWAR AVINASH V.</v>
          </cell>
          <cell r="C1168" t="str">
            <v>KTPT</v>
          </cell>
        </row>
        <row r="1169">
          <cell r="A1169">
            <v>6778</v>
          </cell>
          <cell r="B1169" t="str">
            <v>GUPTA SHARDA P.</v>
          </cell>
          <cell r="C1169" t="str">
            <v>KTPT</v>
          </cell>
        </row>
        <row r="1170">
          <cell r="A1170">
            <v>7258</v>
          </cell>
          <cell r="B1170" t="str">
            <v>SHEIKH MUSTAQ</v>
          </cell>
          <cell r="C1170" t="str">
            <v>KTPT</v>
          </cell>
        </row>
        <row r="1171">
          <cell r="A1171">
            <v>7505</v>
          </cell>
          <cell r="B1171" t="str">
            <v>SINGH VIDYA SAGAR</v>
          </cell>
          <cell r="C1171" t="str">
            <v>KTPT</v>
          </cell>
        </row>
        <row r="1172">
          <cell r="A1172">
            <v>8391</v>
          </cell>
          <cell r="B1172" t="str">
            <v>SHEKHAWAT RAJENDRASINGH</v>
          </cell>
          <cell r="C1172" t="str">
            <v>KTPT</v>
          </cell>
        </row>
        <row r="1173">
          <cell r="A1173">
            <v>8619</v>
          </cell>
          <cell r="B1173" t="str">
            <v>SAKPAL KIRTI</v>
          </cell>
          <cell r="C1173" t="str">
            <v>KTPT</v>
          </cell>
        </row>
        <row r="1174">
          <cell r="A1174">
            <v>9235</v>
          </cell>
          <cell r="B1174" t="str">
            <v>LAD UMAKANT G.</v>
          </cell>
          <cell r="C1174" t="str">
            <v>KTPT</v>
          </cell>
        </row>
        <row r="1175">
          <cell r="A1175">
            <v>9412</v>
          </cell>
          <cell r="B1175" t="str">
            <v>SETH MANISH J.</v>
          </cell>
          <cell r="C1175" t="str">
            <v>KTPT</v>
          </cell>
        </row>
        <row r="1176">
          <cell r="A1176">
            <v>9565</v>
          </cell>
          <cell r="B1176" t="str">
            <v>SINGH SANJEEV KUMAR</v>
          </cell>
          <cell r="C1176" t="str">
            <v>KTPT</v>
          </cell>
        </row>
        <row r="1177">
          <cell r="A1177">
            <v>9821</v>
          </cell>
          <cell r="B1177" t="str">
            <v>WAIDANDE HEMANT</v>
          </cell>
          <cell r="C1177" t="str">
            <v>KTPT</v>
          </cell>
        </row>
        <row r="1178">
          <cell r="A1178">
            <v>10595</v>
          </cell>
          <cell r="B1178" t="str">
            <v>KAIRAMKONDA PARSHURAM</v>
          </cell>
          <cell r="C1178" t="str">
            <v>KTPT</v>
          </cell>
        </row>
        <row r="1179">
          <cell r="A1179">
            <v>10680</v>
          </cell>
          <cell r="B1179" t="str">
            <v>KATRAK FARZAD</v>
          </cell>
          <cell r="C1179" t="str">
            <v>KTPT</v>
          </cell>
        </row>
        <row r="1180">
          <cell r="A1180">
            <v>10719</v>
          </cell>
          <cell r="B1180" t="str">
            <v>D'SA CYRIL</v>
          </cell>
          <cell r="C1180" t="str">
            <v>KTPT</v>
          </cell>
        </row>
        <row r="1181">
          <cell r="A1181">
            <v>30795</v>
          </cell>
          <cell r="B1181" t="str">
            <v>TAWDE SAMIR</v>
          </cell>
          <cell r="C1181" t="str">
            <v>KTPT</v>
          </cell>
        </row>
        <row r="1182">
          <cell r="A1182">
            <v>30851</v>
          </cell>
          <cell r="B1182" t="str">
            <v>LUDRICK SANDEEP</v>
          </cell>
          <cell r="C1182" t="str">
            <v>KTPT</v>
          </cell>
        </row>
        <row r="1183">
          <cell r="A1183">
            <v>31482</v>
          </cell>
          <cell r="B1183" t="str">
            <v>FERNANDES KIM</v>
          </cell>
          <cell r="C1183" t="str">
            <v>KTPT</v>
          </cell>
        </row>
        <row r="1184">
          <cell r="A1184">
            <v>31523</v>
          </cell>
          <cell r="B1184" t="str">
            <v>RAI RAJESH</v>
          </cell>
          <cell r="C1184" t="str">
            <v>KTPT</v>
          </cell>
        </row>
        <row r="1185">
          <cell r="A1185">
            <v>31524</v>
          </cell>
          <cell r="B1185" t="str">
            <v>BIST ANAND</v>
          </cell>
          <cell r="C1185" t="str">
            <v>KTPT</v>
          </cell>
        </row>
        <row r="1186">
          <cell r="A1186">
            <v>1802</v>
          </cell>
          <cell r="B1186" t="str">
            <v>AJMERI GULAM MOHAMMED</v>
          </cell>
          <cell r="C1186" t="str">
            <v>KTRS</v>
          </cell>
        </row>
        <row r="1187">
          <cell r="A1187">
            <v>2184</v>
          </cell>
          <cell r="B1187" t="str">
            <v>SINGH DAN BAHADUR</v>
          </cell>
          <cell r="C1187" t="str">
            <v>KTRS</v>
          </cell>
        </row>
        <row r="1188">
          <cell r="A1188">
            <v>2851</v>
          </cell>
          <cell r="B1188" t="str">
            <v>ANDHALE RAMNATH TABAJI</v>
          </cell>
          <cell r="C1188" t="str">
            <v>KTRS</v>
          </cell>
        </row>
        <row r="1189">
          <cell r="A1189">
            <v>3361</v>
          </cell>
          <cell r="B1189" t="str">
            <v>BODKE VITHAL S.</v>
          </cell>
          <cell r="C1189" t="str">
            <v>KTRS</v>
          </cell>
        </row>
        <row r="1190">
          <cell r="A1190">
            <v>3682</v>
          </cell>
          <cell r="B1190" t="str">
            <v>NALAVADE D.D.</v>
          </cell>
          <cell r="C1190" t="str">
            <v>KTRS</v>
          </cell>
        </row>
        <row r="1191">
          <cell r="A1191">
            <v>3715</v>
          </cell>
          <cell r="B1191" t="str">
            <v>ANSARI GULAM MOHD</v>
          </cell>
          <cell r="C1191" t="str">
            <v>KTRS</v>
          </cell>
        </row>
        <row r="1192">
          <cell r="A1192">
            <v>4970</v>
          </cell>
          <cell r="B1192" t="str">
            <v>DARUWALA FIRDOSH</v>
          </cell>
          <cell r="C1192" t="str">
            <v>KTRS</v>
          </cell>
        </row>
        <row r="1193">
          <cell r="A1193">
            <v>5197</v>
          </cell>
          <cell r="B1193" t="str">
            <v>KANGINAYA R. VENKAT</v>
          </cell>
          <cell r="C1193" t="str">
            <v>KTRS</v>
          </cell>
        </row>
        <row r="1194">
          <cell r="A1194">
            <v>5219</v>
          </cell>
          <cell r="B1194" t="str">
            <v>ROKDE  PRABHAKAR N.</v>
          </cell>
          <cell r="C1194" t="str">
            <v>KTRS</v>
          </cell>
        </row>
        <row r="1195">
          <cell r="A1195">
            <v>5263</v>
          </cell>
          <cell r="B1195" t="str">
            <v>BHALERAO VILAS K.</v>
          </cell>
          <cell r="C1195" t="str">
            <v>KTRS</v>
          </cell>
        </row>
        <row r="1196">
          <cell r="A1196">
            <v>5589</v>
          </cell>
          <cell r="B1196" t="str">
            <v>GAIKWAD RAJENDRA M.</v>
          </cell>
          <cell r="C1196" t="str">
            <v>KTRS</v>
          </cell>
        </row>
        <row r="1197">
          <cell r="A1197">
            <v>5744</v>
          </cell>
          <cell r="B1197" t="str">
            <v>SYED SABIR ALI</v>
          </cell>
          <cell r="C1197" t="str">
            <v>KTRS</v>
          </cell>
        </row>
        <row r="1198">
          <cell r="A1198">
            <v>5845</v>
          </cell>
          <cell r="B1198" t="str">
            <v>RAWAT SHANKAR SINGH</v>
          </cell>
          <cell r="C1198" t="str">
            <v>KTRS</v>
          </cell>
        </row>
        <row r="1199">
          <cell r="A1199">
            <v>6049</v>
          </cell>
          <cell r="B1199" t="str">
            <v>BHATTACHARJEE TAPAN K.</v>
          </cell>
          <cell r="C1199" t="str">
            <v>KTRS</v>
          </cell>
        </row>
        <row r="1200">
          <cell r="A1200">
            <v>7857</v>
          </cell>
          <cell r="B1200" t="str">
            <v>URALA KUNDAPUR SRINIVASA</v>
          </cell>
          <cell r="C1200" t="str">
            <v>KTRS</v>
          </cell>
        </row>
        <row r="1201">
          <cell r="A1201">
            <v>8309</v>
          </cell>
          <cell r="B1201" t="str">
            <v>WATAL RAKESH</v>
          </cell>
          <cell r="C1201" t="str">
            <v>KTRS</v>
          </cell>
        </row>
        <row r="1202">
          <cell r="A1202">
            <v>8333</v>
          </cell>
          <cell r="B1202" t="str">
            <v>KURLEKAR RAJAN L.</v>
          </cell>
          <cell r="C1202" t="str">
            <v>KTRS</v>
          </cell>
        </row>
        <row r="1203">
          <cell r="A1203">
            <v>8749</v>
          </cell>
          <cell r="B1203" t="str">
            <v>JAGTAP SURESH JANOO</v>
          </cell>
          <cell r="C1203" t="str">
            <v>KTRS</v>
          </cell>
        </row>
        <row r="1204">
          <cell r="A1204">
            <v>9032</v>
          </cell>
          <cell r="B1204" t="str">
            <v>KHIANI SUNIL</v>
          </cell>
          <cell r="C1204" t="str">
            <v>KTRS</v>
          </cell>
        </row>
        <row r="1205">
          <cell r="A1205">
            <v>9488</v>
          </cell>
          <cell r="B1205" t="str">
            <v>KUMBHAR SUDAM R.</v>
          </cell>
          <cell r="C1205" t="str">
            <v>KTRS</v>
          </cell>
        </row>
        <row r="1206">
          <cell r="A1206">
            <v>9912</v>
          </cell>
          <cell r="B1206" t="str">
            <v>SINGH VIVEK A.</v>
          </cell>
          <cell r="C1206" t="str">
            <v>KTRS</v>
          </cell>
        </row>
        <row r="1207">
          <cell r="A1207">
            <v>9920</v>
          </cell>
          <cell r="B1207" t="str">
            <v>KARAKA ZENOBIA R.</v>
          </cell>
          <cell r="C1207" t="str">
            <v>KTRS</v>
          </cell>
        </row>
        <row r="1208">
          <cell r="A1208">
            <v>10006</v>
          </cell>
          <cell r="B1208" t="str">
            <v>GURUNG NEERAJ</v>
          </cell>
          <cell r="C1208" t="str">
            <v>KTRS</v>
          </cell>
        </row>
        <row r="1209">
          <cell r="A1209">
            <v>10855</v>
          </cell>
          <cell r="B1209" t="str">
            <v>PATIL ASHISH A.</v>
          </cell>
          <cell r="C1209" t="str">
            <v>KTRS</v>
          </cell>
        </row>
        <row r="1210">
          <cell r="A1210">
            <v>30107</v>
          </cell>
          <cell r="B1210" t="str">
            <v>PATIL SANDEEP</v>
          </cell>
          <cell r="C1210" t="str">
            <v>KTRS</v>
          </cell>
        </row>
        <row r="1211">
          <cell r="A1211">
            <v>30109</v>
          </cell>
          <cell r="B1211" t="str">
            <v>AGWAN KISHOREKUMAR</v>
          </cell>
          <cell r="C1211" t="str">
            <v>KTRS</v>
          </cell>
        </row>
        <row r="1212">
          <cell r="A1212">
            <v>9230</v>
          </cell>
          <cell r="B1212" t="str">
            <v>BIRADAR MOHD.TARIQ</v>
          </cell>
          <cell r="C1212" t="str">
            <v>KTSB</v>
          </cell>
        </row>
        <row r="1213">
          <cell r="A1213">
            <v>10423</v>
          </cell>
          <cell r="B1213" t="str">
            <v>GORULE VISHNU</v>
          </cell>
          <cell r="C1213" t="str">
            <v>KTSB</v>
          </cell>
        </row>
        <row r="1214">
          <cell r="A1214">
            <v>2923</v>
          </cell>
          <cell r="B1214" t="str">
            <v>DAVID FIROZE</v>
          </cell>
          <cell r="C1214" t="str">
            <v>KTSH</v>
          </cell>
        </row>
        <row r="1215">
          <cell r="A1215">
            <v>3467</v>
          </cell>
          <cell r="B1215" t="str">
            <v>SHEIKH HAIDER</v>
          </cell>
          <cell r="C1215" t="str">
            <v>KTSH</v>
          </cell>
        </row>
        <row r="1216">
          <cell r="A1216">
            <v>4635</v>
          </cell>
          <cell r="B1216" t="str">
            <v>VAZIR MINOO H.</v>
          </cell>
          <cell r="C1216" t="str">
            <v>KTSH</v>
          </cell>
        </row>
        <row r="1217">
          <cell r="A1217">
            <v>5120</v>
          </cell>
          <cell r="B1217" t="str">
            <v>SINGH PAL</v>
          </cell>
          <cell r="C1217" t="str">
            <v>KTSH</v>
          </cell>
        </row>
        <row r="1218">
          <cell r="A1218">
            <v>5129</v>
          </cell>
          <cell r="B1218" t="str">
            <v>JADAV R.ASHOK</v>
          </cell>
          <cell r="C1218" t="str">
            <v>KTSH</v>
          </cell>
        </row>
        <row r="1219">
          <cell r="A1219">
            <v>5203</v>
          </cell>
          <cell r="B1219" t="str">
            <v>DESHMUKH SHAKOOR G</v>
          </cell>
          <cell r="C1219" t="str">
            <v>KTSH</v>
          </cell>
        </row>
        <row r="1220">
          <cell r="A1220">
            <v>5265</v>
          </cell>
          <cell r="B1220" t="str">
            <v>SINGH RAJPRTAP</v>
          </cell>
          <cell r="C1220" t="str">
            <v>KTSH</v>
          </cell>
        </row>
        <row r="1221">
          <cell r="A1221">
            <v>5655</v>
          </cell>
          <cell r="B1221" t="str">
            <v>KARADIA  BEZAN MINOO</v>
          </cell>
          <cell r="C1221" t="str">
            <v>KTSH</v>
          </cell>
        </row>
        <row r="1222">
          <cell r="A1222">
            <v>5746</v>
          </cell>
          <cell r="B1222" t="str">
            <v>JAGADE SURESH B.</v>
          </cell>
          <cell r="C1222" t="str">
            <v>KTSH</v>
          </cell>
        </row>
        <row r="1223">
          <cell r="A1223">
            <v>5762</v>
          </cell>
          <cell r="B1223" t="str">
            <v>JADHAV PRAKASH</v>
          </cell>
          <cell r="C1223" t="str">
            <v>KTSH</v>
          </cell>
        </row>
        <row r="1224">
          <cell r="A1224">
            <v>5975</v>
          </cell>
          <cell r="B1224" t="str">
            <v>FERNANDES MATHEW</v>
          </cell>
          <cell r="C1224" t="str">
            <v>KTSH</v>
          </cell>
        </row>
        <row r="1225">
          <cell r="A1225">
            <v>6951</v>
          </cell>
          <cell r="B1225" t="str">
            <v>CHINAWALE DINKAR G.</v>
          </cell>
          <cell r="C1225" t="str">
            <v>KTSH</v>
          </cell>
        </row>
        <row r="1226">
          <cell r="A1226">
            <v>8175</v>
          </cell>
          <cell r="B1226" t="str">
            <v>ALI ASGAR</v>
          </cell>
          <cell r="C1226" t="str">
            <v>KTSH</v>
          </cell>
        </row>
        <row r="1227">
          <cell r="A1227">
            <v>8267</v>
          </cell>
          <cell r="B1227" t="str">
            <v>THARWAL NAVNEET MR.</v>
          </cell>
          <cell r="C1227" t="str">
            <v>KTSH</v>
          </cell>
        </row>
        <row r="1228">
          <cell r="A1228">
            <v>9267</v>
          </cell>
          <cell r="B1228" t="str">
            <v>DAS PRADIPTO</v>
          </cell>
          <cell r="C1228" t="str">
            <v>KTSH</v>
          </cell>
        </row>
        <row r="1229">
          <cell r="A1229">
            <v>9403</v>
          </cell>
          <cell r="B1229" t="str">
            <v>D'MELLO SANDEEP</v>
          </cell>
          <cell r="C1229" t="str">
            <v>KTSH</v>
          </cell>
        </row>
        <row r="1230">
          <cell r="A1230">
            <v>9512</v>
          </cell>
          <cell r="B1230" t="str">
            <v>GARUD KALIDAS DNYANOBA</v>
          </cell>
          <cell r="C1230" t="str">
            <v>KTSH</v>
          </cell>
        </row>
        <row r="1231">
          <cell r="A1231">
            <v>9768</v>
          </cell>
          <cell r="B1231" t="str">
            <v>YELVE CHANDRASHEKKAR</v>
          </cell>
          <cell r="C1231" t="str">
            <v>KTSH</v>
          </cell>
        </row>
        <row r="1232">
          <cell r="A1232">
            <v>9915</v>
          </cell>
          <cell r="B1232" t="str">
            <v>GAIKWAD SUDHIN</v>
          </cell>
          <cell r="C1232" t="str">
            <v>KTSH</v>
          </cell>
        </row>
        <row r="1233">
          <cell r="A1233">
            <v>10009</v>
          </cell>
          <cell r="B1233" t="str">
            <v>SAWANT PARIMAL</v>
          </cell>
          <cell r="C1233" t="str">
            <v>KTSH</v>
          </cell>
        </row>
        <row r="1234">
          <cell r="A1234">
            <v>10183</v>
          </cell>
          <cell r="B1234" t="str">
            <v>DIWAN NISHANT</v>
          </cell>
          <cell r="C1234" t="str">
            <v>KTSH</v>
          </cell>
        </row>
        <row r="1235">
          <cell r="A1235">
            <v>10198</v>
          </cell>
          <cell r="B1235" t="str">
            <v>BERRY KUNAL</v>
          </cell>
          <cell r="C1235" t="str">
            <v>KTSH</v>
          </cell>
        </row>
        <row r="1236">
          <cell r="A1236">
            <v>10422</v>
          </cell>
          <cell r="B1236" t="str">
            <v>COELHO DAMIAN</v>
          </cell>
          <cell r="C1236" t="str">
            <v>KTSH</v>
          </cell>
        </row>
        <row r="1237">
          <cell r="A1237">
            <v>10424</v>
          </cell>
          <cell r="B1237" t="str">
            <v>DEORUKHKAR SACHIN</v>
          </cell>
          <cell r="C1237" t="str">
            <v>KTSH</v>
          </cell>
        </row>
        <row r="1238">
          <cell r="A1238">
            <v>10427</v>
          </cell>
          <cell r="B1238" t="str">
            <v>THAPLIYAL MANOJ</v>
          </cell>
          <cell r="C1238" t="str">
            <v>KTSH</v>
          </cell>
        </row>
        <row r="1239">
          <cell r="A1239">
            <v>10669</v>
          </cell>
          <cell r="B1239" t="str">
            <v>ARORA JASPAL S.</v>
          </cell>
          <cell r="C1239" t="str">
            <v>KTSH</v>
          </cell>
        </row>
        <row r="1240">
          <cell r="A1240">
            <v>30106</v>
          </cell>
          <cell r="B1240" t="str">
            <v>DEORUKHAR SANDEEP</v>
          </cell>
          <cell r="C1240" t="str">
            <v>KTSH</v>
          </cell>
        </row>
        <row r="1241">
          <cell r="A1241">
            <v>30224</v>
          </cell>
          <cell r="B1241" t="str">
            <v>SONAWANE CHANDRAKANT</v>
          </cell>
          <cell r="C1241" t="str">
            <v>KTSH</v>
          </cell>
        </row>
        <row r="1242">
          <cell r="A1242">
            <v>30231</v>
          </cell>
          <cell r="B1242" t="str">
            <v>BILLAVA SURESH</v>
          </cell>
          <cell r="C1242" t="str">
            <v>KTSH</v>
          </cell>
        </row>
        <row r="1243">
          <cell r="A1243">
            <v>30778</v>
          </cell>
          <cell r="B1243" t="str">
            <v>PATIL SHRIKANT</v>
          </cell>
          <cell r="C1243" t="str">
            <v>KTSH</v>
          </cell>
        </row>
        <row r="1244">
          <cell r="A1244">
            <v>30785</v>
          </cell>
          <cell r="B1244" t="str">
            <v>BODKE ARVIND</v>
          </cell>
          <cell r="C1244" t="str">
            <v>KTSH</v>
          </cell>
        </row>
        <row r="1245">
          <cell r="A1245">
            <v>30794</v>
          </cell>
          <cell r="B1245" t="str">
            <v>PATIAL KULWANT</v>
          </cell>
          <cell r="C1245" t="str">
            <v>KTSH</v>
          </cell>
        </row>
        <row r="1246">
          <cell r="A1246">
            <v>2632</v>
          </cell>
          <cell r="B1246" t="str">
            <v>DESHMUKH ABDUL G.</v>
          </cell>
          <cell r="C1246" t="str">
            <v>KTSL</v>
          </cell>
        </row>
        <row r="1247">
          <cell r="A1247">
            <v>8113</v>
          </cell>
          <cell r="B1247" t="str">
            <v>SAHUKAR ADIL</v>
          </cell>
          <cell r="C1247" t="str">
            <v>KTSL</v>
          </cell>
        </row>
        <row r="1248">
          <cell r="A1248">
            <v>9510</v>
          </cell>
          <cell r="B1248" t="str">
            <v>SINGH RAJESH</v>
          </cell>
          <cell r="C1248" t="str">
            <v>KTSL</v>
          </cell>
        </row>
        <row r="1249">
          <cell r="A1249">
            <v>9692</v>
          </cell>
          <cell r="B1249" t="str">
            <v>AMBRE RAJESH</v>
          </cell>
          <cell r="C1249" t="str">
            <v>KTSL</v>
          </cell>
        </row>
        <row r="1250">
          <cell r="A1250">
            <v>9694</v>
          </cell>
          <cell r="B1250" t="str">
            <v>DOKARE PRABHAKAR</v>
          </cell>
          <cell r="C1250" t="str">
            <v>KTSL</v>
          </cell>
        </row>
        <row r="1251">
          <cell r="A1251">
            <v>10231</v>
          </cell>
          <cell r="B1251" t="str">
            <v>SINGH SATENDRA</v>
          </cell>
          <cell r="C1251" t="str">
            <v>KTSL</v>
          </cell>
        </row>
        <row r="1252">
          <cell r="A1252">
            <v>30791</v>
          </cell>
          <cell r="B1252" t="str">
            <v>KESARKAR SIDDHESH</v>
          </cell>
          <cell r="C1252" t="str">
            <v>KTSL</v>
          </cell>
        </row>
        <row r="1253">
          <cell r="A1253">
            <v>4552</v>
          </cell>
          <cell r="B1253" t="str">
            <v>MORE KRISHNA RAMA</v>
          </cell>
          <cell r="C1253" t="str">
            <v>KTSW</v>
          </cell>
        </row>
        <row r="1254">
          <cell r="A1254">
            <v>4855</v>
          </cell>
          <cell r="B1254" t="str">
            <v>LADE MADHUKAR D.</v>
          </cell>
          <cell r="C1254" t="str">
            <v>KTSW</v>
          </cell>
        </row>
        <row r="1255">
          <cell r="A1255">
            <v>7778</v>
          </cell>
          <cell r="B1255" t="str">
            <v>KHAN SADIK</v>
          </cell>
          <cell r="C1255" t="str">
            <v>KTSW</v>
          </cell>
        </row>
        <row r="1256">
          <cell r="A1256">
            <v>7946</v>
          </cell>
          <cell r="B1256" t="str">
            <v>SOODEN SHAILENDRA</v>
          </cell>
          <cell r="C1256" t="str">
            <v>KTSW</v>
          </cell>
        </row>
        <row r="1257">
          <cell r="A1257">
            <v>7964</v>
          </cell>
          <cell r="B1257" t="str">
            <v>PURANCHAND JAGDEEP</v>
          </cell>
          <cell r="C1257" t="str">
            <v>KTSW</v>
          </cell>
        </row>
        <row r="1258">
          <cell r="A1258">
            <v>8543</v>
          </cell>
          <cell r="B1258" t="str">
            <v>NEERAJ GOVIL</v>
          </cell>
          <cell r="C1258" t="str">
            <v>KTSW</v>
          </cell>
        </row>
        <row r="1259">
          <cell r="A1259">
            <v>9511</v>
          </cell>
          <cell r="B1259" t="str">
            <v>GAMA GLEESON FIRMINO</v>
          </cell>
          <cell r="C1259" t="str">
            <v>KTSW</v>
          </cell>
        </row>
        <row r="1260">
          <cell r="A1260">
            <v>9595</v>
          </cell>
          <cell r="B1260" t="str">
            <v>MEHTA HARPREET MISS</v>
          </cell>
          <cell r="C1260" t="str">
            <v>KTSW</v>
          </cell>
        </row>
        <row r="1261">
          <cell r="A1261">
            <v>10010</v>
          </cell>
          <cell r="B1261" t="str">
            <v>D'CUNHA PRAVIN</v>
          </cell>
          <cell r="C1261" t="str">
            <v>KTSW</v>
          </cell>
        </row>
        <row r="1262">
          <cell r="A1262">
            <v>10096</v>
          </cell>
          <cell r="B1262" t="str">
            <v>CHAUHAN DHARMATMA SINGH</v>
          </cell>
          <cell r="C1262" t="str">
            <v>KTSW</v>
          </cell>
        </row>
        <row r="1263">
          <cell r="A1263">
            <v>10185</v>
          </cell>
          <cell r="B1263" t="str">
            <v>BANSAL ABHISHEK</v>
          </cell>
          <cell r="C1263" t="str">
            <v>KTSW</v>
          </cell>
        </row>
        <row r="1264">
          <cell r="A1264">
            <v>10190</v>
          </cell>
          <cell r="B1264" t="str">
            <v>SHIRUR AMEYASH</v>
          </cell>
          <cell r="C1264" t="str">
            <v>KTSW</v>
          </cell>
        </row>
        <row r="1265">
          <cell r="A1265">
            <v>30780</v>
          </cell>
          <cell r="B1265" t="str">
            <v>MANJREKAR RAHUL</v>
          </cell>
          <cell r="C1265" t="str">
            <v>KTSW</v>
          </cell>
        </row>
        <row r="1266">
          <cell r="A1266">
            <v>30786</v>
          </cell>
          <cell r="B1266" t="str">
            <v>BHATT GIRISH</v>
          </cell>
          <cell r="C1266" t="str">
            <v>KTSW</v>
          </cell>
        </row>
        <row r="1267">
          <cell r="A1267">
            <v>30792</v>
          </cell>
          <cell r="B1267" t="str">
            <v>BOHAT KRISHNA</v>
          </cell>
          <cell r="C1267" t="str">
            <v>KTSW</v>
          </cell>
        </row>
        <row r="1268">
          <cell r="A1268">
            <v>2689</v>
          </cell>
          <cell r="B1268" t="str">
            <v>DASSARA KURMAYYA B.</v>
          </cell>
          <cell r="C1268" t="str">
            <v>KTTJ</v>
          </cell>
        </row>
        <row r="1269">
          <cell r="A1269">
            <v>2819</v>
          </cell>
          <cell r="B1269" t="str">
            <v>SAWANT SUBHASH SAKHARAM</v>
          </cell>
          <cell r="C1269" t="str">
            <v>KTTJ</v>
          </cell>
        </row>
        <row r="1270">
          <cell r="A1270">
            <v>4524</v>
          </cell>
          <cell r="B1270" t="str">
            <v>RATHOD BABU KALYAN.</v>
          </cell>
          <cell r="C1270" t="str">
            <v>KTTJ</v>
          </cell>
        </row>
        <row r="1271">
          <cell r="A1271">
            <v>5052</v>
          </cell>
          <cell r="B1271" t="str">
            <v>KUMBHAR RAMVILAS</v>
          </cell>
          <cell r="C1271" t="str">
            <v>KTTJ</v>
          </cell>
        </row>
        <row r="1272">
          <cell r="A1272">
            <v>5116</v>
          </cell>
          <cell r="B1272" t="str">
            <v>VIRKAR R. MANOHAR</v>
          </cell>
          <cell r="C1272" t="str">
            <v>KTTJ</v>
          </cell>
        </row>
        <row r="1273">
          <cell r="A1273">
            <v>7057</v>
          </cell>
          <cell r="B1273" t="str">
            <v>SHARMA DILRAJ</v>
          </cell>
          <cell r="C1273" t="str">
            <v>KTTJ</v>
          </cell>
        </row>
        <row r="1274">
          <cell r="A1274">
            <v>7084</v>
          </cell>
          <cell r="B1274" t="str">
            <v>MEHRA BHAGWAN SINGH</v>
          </cell>
          <cell r="C1274" t="str">
            <v>KTTJ</v>
          </cell>
        </row>
        <row r="1275">
          <cell r="A1275">
            <v>7369</v>
          </cell>
          <cell r="B1275" t="str">
            <v>PANT THANESWAR</v>
          </cell>
          <cell r="C1275" t="str">
            <v>KTTJ</v>
          </cell>
        </row>
        <row r="1276">
          <cell r="A1276">
            <v>8057</v>
          </cell>
          <cell r="B1276" t="str">
            <v>JADHAV YESHWANT</v>
          </cell>
          <cell r="C1276" t="str">
            <v>KTTJ</v>
          </cell>
        </row>
        <row r="1277">
          <cell r="A1277">
            <v>8177</v>
          </cell>
          <cell r="B1277" t="str">
            <v>ANSARI SHAMSUDDIN</v>
          </cell>
          <cell r="C1277" t="str">
            <v>KTTJ</v>
          </cell>
        </row>
        <row r="1278">
          <cell r="A1278">
            <v>8831</v>
          </cell>
          <cell r="B1278" t="str">
            <v>SHYAM SUNDER LOUGANI</v>
          </cell>
          <cell r="C1278" t="str">
            <v>KTTJ</v>
          </cell>
        </row>
        <row r="1279">
          <cell r="A1279">
            <v>9598</v>
          </cell>
          <cell r="B1279" t="str">
            <v>KULKARNI VIVEK</v>
          </cell>
          <cell r="C1279" t="str">
            <v>KTTJ</v>
          </cell>
        </row>
        <row r="1280">
          <cell r="A1280">
            <v>9813</v>
          </cell>
          <cell r="B1280" t="str">
            <v>NAKHWA LALIT</v>
          </cell>
          <cell r="C1280" t="str">
            <v>KTTJ</v>
          </cell>
        </row>
        <row r="1281">
          <cell r="A1281">
            <v>30250</v>
          </cell>
          <cell r="B1281" t="str">
            <v>JAGTAP KISHOR</v>
          </cell>
          <cell r="C1281" t="str">
            <v>KTTJ</v>
          </cell>
        </row>
        <row r="1282">
          <cell r="A1282">
            <v>30252</v>
          </cell>
          <cell r="B1282" t="str">
            <v>MALI RAVINDRA</v>
          </cell>
          <cell r="C1282" t="str">
            <v>KTTJ</v>
          </cell>
        </row>
        <row r="1283">
          <cell r="A1283">
            <v>30777</v>
          </cell>
          <cell r="B1283" t="str">
            <v>REMJE NARESH</v>
          </cell>
          <cell r="C1283" t="str">
            <v>KTTJ</v>
          </cell>
        </row>
        <row r="1284">
          <cell r="A1284">
            <v>3177</v>
          </cell>
          <cell r="B1284" t="str">
            <v>DESHMUKH AZIZ</v>
          </cell>
          <cell r="C1284" t="str">
            <v>KTZO</v>
          </cell>
        </row>
        <row r="1285">
          <cell r="A1285">
            <v>5754</v>
          </cell>
          <cell r="B1285" t="str">
            <v>COELHO P P</v>
          </cell>
          <cell r="C1285" t="str">
            <v>KTZO</v>
          </cell>
        </row>
        <row r="1286">
          <cell r="A1286">
            <v>6706</v>
          </cell>
          <cell r="B1286" t="str">
            <v>KOHINOOR SHARUKH K.</v>
          </cell>
          <cell r="C1286" t="str">
            <v>KTZO</v>
          </cell>
        </row>
        <row r="1287">
          <cell r="A1287">
            <v>6710</v>
          </cell>
          <cell r="B1287" t="str">
            <v>JADHAV SUDHARSHAN P.</v>
          </cell>
          <cell r="C1287" t="str">
            <v>KTZO</v>
          </cell>
        </row>
        <row r="1288">
          <cell r="A1288">
            <v>8034</v>
          </cell>
          <cell r="B1288" t="str">
            <v>KINNY PAUL MARCUS</v>
          </cell>
          <cell r="C1288" t="str">
            <v>KTZO</v>
          </cell>
        </row>
        <row r="1289">
          <cell r="A1289">
            <v>8834</v>
          </cell>
          <cell r="B1289" t="str">
            <v>NITIN MINOCHA</v>
          </cell>
          <cell r="C1289" t="str">
            <v>KTZO</v>
          </cell>
        </row>
        <row r="1290">
          <cell r="A1290">
            <v>9270</v>
          </cell>
          <cell r="B1290" t="str">
            <v>GOMES LEON</v>
          </cell>
          <cell r="C1290" t="str">
            <v>KTZO</v>
          </cell>
        </row>
        <row r="1291">
          <cell r="A1291">
            <v>9599</v>
          </cell>
          <cell r="B1291" t="str">
            <v>GUPTA VARUN</v>
          </cell>
          <cell r="C1291" t="str">
            <v>KTZO</v>
          </cell>
        </row>
        <row r="1292">
          <cell r="A1292">
            <v>9911</v>
          </cell>
          <cell r="B1292" t="str">
            <v>AURANGABADWALLA  ADIL</v>
          </cell>
          <cell r="C1292" t="str">
            <v>KTZO</v>
          </cell>
        </row>
        <row r="1293">
          <cell r="A1293">
            <v>10046</v>
          </cell>
          <cell r="B1293" t="str">
            <v>GHANDY THEA S.</v>
          </cell>
          <cell r="C1293" t="str">
            <v>KTZO</v>
          </cell>
        </row>
        <row r="1294">
          <cell r="A1294">
            <v>10184</v>
          </cell>
          <cell r="B1294" t="str">
            <v>DHYANI ANSHUL</v>
          </cell>
          <cell r="C1294" t="str">
            <v>KTZO</v>
          </cell>
        </row>
        <row r="1295">
          <cell r="A1295">
            <v>30793</v>
          </cell>
          <cell r="B1295" t="str">
            <v>PALEKAR AMIT</v>
          </cell>
          <cell r="C1295" t="str">
            <v>KTZO</v>
          </cell>
        </row>
        <row r="1296">
          <cell r="A1296">
            <v>6678</v>
          </cell>
          <cell r="B1296" t="str">
            <v>JOSHI RASHMI V.</v>
          </cell>
          <cell r="C1296" t="str">
            <v>LAPT</v>
          </cell>
        </row>
        <row r="1297">
          <cell r="A1297">
            <v>9686</v>
          </cell>
          <cell r="B1297" t="str">
            <v>BHANA LAXMI</v>
          </cell>
          <cell r="C1297" t="str">
            <v>LAPT</v>
          </cell>
        </row>
        <row r="1298">
          <cell r="A1298">
            <v>9693</v>
          </cell>
          <cell r="B1298" t="str">
            <v>GUPTA MALA</v>
          </cell>
          <cell r="C1298" t="str">
            <v>LAPT</v>
          </cell>
        </row>
        <row r="1299">
          <cell r="A1299">
            <v>10590</v>
          </cell>
          <cell r="B1299" t="str">
            <v>DAVANE MAYURA</v>
          </cell>
          <cell r="C1299" t="str">
            <v>LAPT</v>
          </cell>
        </row>
        <row r="1300">
          <cell r="A1300">
            <v>30838</v>
          </cell>
          <cell r="B1300" t="str">
            <v>MORE SAMEER</v>
          </cell>
          <cell r="C1300" t="str">
            <v>LAPT</v>
          </cell>
        </row>
        <row r="1301">
          <cell r="A1301">
            <v>30897</v>
          </cell>
          <cell r="B1301" t="str">
            <v>UMRAWALA JITENDRA</v>
          </cell>
          <cell r="C1301" t="str">
            <v>LAPT</v>
          </cell>
        </row>
        <row r="1302">
          <cell r="A1302">
            <v>31184</v>
          </cell>
          <cell r="B1302" t="str">
            <v>BAGAL DINESH</v>
          </cell>
          <cell r="C1302" t="str">
            <v>LAPT</v>
          </cell>
        </row>
        <row r="1303">
          <cell r="A1303">
            <v>31301</v>
          </cell>
          <cell r="B1303" t="str">
            <v>ACHARYA RYAN S.</v>
          </cell>
          <cell r="C1303" t="str">
            <v>LAPT</v>
          </cell>
        </row>
        <row r="1304">
          <cell r="A1304">
            <v>31322</v>
          </cell>
          <cell r="B1304" t="str">
            <v>MHALSEKAR PRASHANT</v>
          </cell>
          <cell r="C1304" t="str">
            <v>LAPT</v>
          </cell>
        </row>
        <row r="1305">
          <cell r="A1305">
            <v>2497</v>
          </cell>
          <cell r="B1305" t="str">
            <v>KALE SHANTARAM</v>
          </cell>
          <cell r="C1305" t="str">
            <v>LDRY</v>
          </cell>
        </row>
        <row r="1306">
          <cell r="A1306">
            <v>2499</v>
          </cell>
          <cell r="B1306" t="str">
            <v>GAUR SHIVNATH P.</v>
          </cell>
          <cell r="C1306" t="str">
            <v>LDRY</v>
          </cell>
        </row>
        <row r="1307">
          <cell r="A1307">
            <v>2508</v>
          </cell>
          <cell r="B1307" t="str">
            <v>PRABHU UPENDRA R.</v>
          </cell>
          <cell r="C1307" t="str">
            <v>LDRY</v>
          </cell>
        </row>
        <row r="1308">
          <cell r="A1308">
            <v>2509</v>
          </cell>
          <cell r="B1308" t="str">
            <v>ANCHAN LUCY PRAKASH</v>
          </cell>
          <cell r="C1308" t="str">
            <v>LDRY</v>
          </cell>
        </row>
        <row r="1309">
          <cell r="A1309">
            <v>2953</v>
          </cell>
          <cell r="B1309" t="str">
            <v>SAWANT ANANTH</v>
          </cell>
          <cell r="C1309" t="str">
            <v>LDRY</v>
          </cell>
        </row>
        <row r="1310">
          <cell r="A1310">
            <v>2957</v>
          </cell>
          <cell r="B1310" t="str">
            <v>TIGADE HANUMANT TUKARAM</v>
          </cell>
          <cell r="C1310" t="str">
            <v>LDRY</v>
          </cell>
        </row>
        <row r="1311">
          <cell r="A1311">
            <v>2994</v>
          </cell>
          <cell r="B1311" t="str">
            <v>SAWANT ANIL ATMARAM</v>
          </cell>
          <cell r="C1311" t="str">
            <v>LDRY</v>
          </cell>
        </row>
        <row r="1312">
          <cell r="A1312">
            <v>2995</v>
          </cell>
          <cell r="B1312" t="str">
            <v>MURANJAN DEEPAK G.</v>
          </cell>
          <cell r="C1312" t="str">
            <v>LDRY</v>
          </cell>
        </row>
        <row r="1313">
          <cell r="A1313">
            <v>3887</v>
          </cell>
          <cell r="B1313" t="str">
            <v>KHAWALE NANDAKUMAR R.</v>
          </cell>
          <cell r="C1313" t="str">
            <v>LDRY</v>
          </cell>
        </row>
        <row r="1314">
          <cell r="A1314">
            <v>4525</v>
          </cell>
          <cell r="B1314" t="str">
            <v>RATHOD RAMILA R. MRS.</v>
          </cell>
          <cell r="C1314" t="str">
            <v>LDRY</v>
          </cell>
        </row>
        <row r="1315">
          <cell r="A1315">
            <v>4613</v>
          </cell>
          <cell r="B1315" t="str">
            <v>SANAP PANDURANG</v>
          </cell>
          <cell r="C1315" t="str">
            <v>LDRY</v>
          </cell>
        </row>
        <row r="1316">
          <cell r="A1316">
            <v>4624</v>
          </cell>
          <cell r="B1316" t="str">
            <v>SALVI SAHADEV K.</v>
          </cell>
          <cell r="C1316" t="str">
            <v>LDRY</v>
          </cell>
        </row>
        <row r="1317">
          <cell r="A1317">
            <v>4688</v>
          </cell>
          <cell r="B1317" t="str">
            <v>NALAVADE TRIMBAK M.</v>
          </cell>
          <cell r="C1317" t="str">
            <v>LDRY</v>
          </cell>
        </row>
        <row r="1318">
          <cell r="A1318">
            <v>4690</v>
          </cell>
          <cell r="B1318" t="str">
            <v>MALAP SURYAKANT KRISHNA</v>
          </cell>
          <cell r="C1318" t="str">
            <v>LDRY</v>
          </cell>
        </row>
        <row r="1319">
          <cell r="A1319">
            <v>4776</v>
          </cell>
          <cell r="B1319" t="str">
            <v>MENON CHANDRAMOHAN</v>
          </cell>
          <cell r="C1319" t="str">
            <v>LDRY</v>
          </cell>
        </row>
        <row r="1320">
          <cell r="A1320">
            <v>4828</v>
          </cell>
          <cell r="B1320" t="str">
            <v>PARAB SHASHIKANT ARJUN</v>
          </cell>
          <cell r="C1320" t="str">
            <v>LDRY</v>
          </cell>
        </row>
        <row r="1321">
          <cell r="A1321">
            <v>4870</v>
          </cell>
          <cell r="B1321" t="str">
            <v>BENJAMIN A.</v>
          </cell>
          <cell r="C1321" t="str">
            <v>LDRY</v>
          </cell>
        </row>
        <row r="1322">
          <cell r="A1322">
            <v>4905</v>
          </cell>
          <cell r="B1322" t="str">
            <v>SOLANKI RANJIT</v>
          </cell>
          <cell r="C1322" t="str">
            <v>LDRY</v>
          </cell>
        </row>
        <row r="1323">
          <cell r="A1323">
            <v>5045</v>
          </cell>
          <cell r="B1323" t="str">
            <v>SAWANT PRAMOD GUNVANT</v>
          </cell>
          <cell r="C1323" t="str">
            <v>LDRY</v>
          </cell>
        </row>
        <row r="1324">
          <cell r="A1324">
            <v>5240</v>
          </cell>
          <cell r="B1324" t="str">
            <v>MISTRY  ASPI J.</v>
          </cell>
          <cell r="C1324" t="str">
            <v>LDRY</v>
          </cell>
        </row>
        <row r="1325">
          <cell r="A1325">
            <v>5294</v>
          </cell>
          <cell r="B1325" t="str">
            <v>COUTINHO FRANCIS</v>
          </cell>
          <cell r="C1325" t="str">
            <v>LDRY</v>
          </cell>
        </row>
        <row r="1326">
          <cell r="A1326">
            <v>5375</v>
          </cell>
          <cell r="B1326" t="str">
            <v>SHINDE MAHENDRA BABAJI</v>
          </cell>
          <cell r="C1326" t="str">
            <v>LDRY</v>
          </cell>
        </row>
        <row r="1327">
          <cell r="A1327">
            <v>5491</v>
          </cell>
          <cell r="B1327" t="str">
            <v>YADAV VINAYAKRAO A.</v>
          </cell>
          <cell r="C1327" t="str">
            <v>LDRY</v>
          </cell>
        </row>
        <row r="1328">
          <cell r="A1328">
            <v>5842</v>
          </cell>
          <cell r="B1328" t="str">
            <v>MEHRA HAYAT SINGH</v>
          </cell>
          <cell r="C1328" t="str">
            <v>LDRY</v>
          </cell>
        </row>
        <row r="1329">
          <cell r="A1329">
            <v>6519</v>
          </cell>
          <cell r="B1329" t="str">
            <v>ANDOLA HUSAIN KHANSAB</v>
          </cell>
          <cell r="C1329" t="str">
            <v>LDRY</v>
          </cell>
        </row>
        <row r="1330">
          <cell r="A1330">
            <v>9476</v>
          </cell>
          <cell r="B1330" t="str">
            <v>KURMI RAMASHRAY</v>
          </cell>
          <cell r="C1330" t="str">
            <v>LDRY</v>
          </cell>
        </row>
        <row r="1331">
          <cell r="A1331">
            <v>9543</v>
          </cell>
          <cell r="B1331" t="str">
            <v>CHAND LAXMAN B.</v>
          </cell>
          <cell r="C1331" t="str">
            <v>LDRY</v>
          </cell>
        </row>
        <row r="1332">
          <cell r="A1332">
            <v>10468</v>
          </cell>
          <cell r="B1332" t="str">
            <v>CHAVAN RAVIRAJ</v>
          </cell>
          <cell r="C1332" t="str">
            <v>LDRY</v>
          </cell>
        </row>
        <row r="1333">
          <cell r="A1333">
            <v>10593</v>
          </cell>
          <cell r="B1333" t="str">
            <v>MISHRA ANAND D.</v>
          </cell>
          <cell r="C1333" t="str">
            <v>LDRY</v>
          </cell>
        </row>
        <row r="1334">
          <cell r="A1334">
            <v>30239</v>
          </cell>
          <cell r="B1334" t="str">
            <v>KANCHAN HARISH</v>
          </cell>
          <cell r="C1334" t="str">
            <v>LDRY</v>
          </cell>
        </row>
        <row r="1335">
          <cell r="A1335">
            <v>30289</v>
          </cell>
          <cell r="B1335" t="str">
            <v>D'SOUZA GEORGE</v>
          </cell>
          <cell r="C1335" t="str">
            <v>LDRY</v>
          </cell>
        </row>
        <row r="1336">
          <cell r="A1336">
            <v>30290</v>
          </cell>
          <cell r="B1336" t="str">
            <v>BORKAR SWAPNEEL</v>
          </cell>
          <cell r="C1336" t="str">
            <v>LDRY</v>
          </cell>
        </row>
        <row r="1337">
          <cell r="A1337">
            <v>30769</v>
          </cell>
          <cell r="B1337" t="str">
            <v>CHIRANKAR DHIRAJ</v>
          </cell>
          <cell r="C1337" t="str">
            <v>LDRY</v>
          </cell>
        </row>
        <row r="1338">
          <cell r="A1338">
            <v>30770</v>
          </cell>
          <cell r="B1338" t="str">
            <v>SHARMA AJAY H.</v>
          </cell>
          <cell r="C1338" t="str">
            <v>LDRY</v>
          </cell>
        </row>
        <row r="1339">
          <cell r="A1339">
            <v>30771</v>
          </cell>
          <cell r="B1339" t="str">
            <v>FERNANDES ANGELO</v>
          </cell>
          <cell r="C1339" t="str">
            <v>LDRY</v>
          </cell>
        </row>
        <row r="1340">
          <cell r="A1340">
            <v>30772</v>
          </cell>
          <cell r="B1340" t="str">
            <v>GHADI NILESH D.</v>
          </cell>
          <cell r="C1340" t="str">
            <v>LDRY</v>
          </cell>
        </row>
        <row r="1341">
          <cell r="A1341">
            <v>30774</v>
          </cell>
          <cell r="B1341" t="str">
            <v>PATRO SUNILKUMAR</v>
          </cell>
          <cell r="C1341" t="str">
            <v>LDRY</v>
          </cell>
        </row>
        <row r="1342">
          <cell r="A1342">
            <v>30860</v>
          </cell>
          <cell r="B1342" t="str">
            <v>FERNANDES JAMES</v>
          </cell>
          <cell r="C1342" t="str">
            <v>LDRY</v>
          </cell>
        </row>
        <row r="1343">
          <cell r="A1343">
            <v>30904</v>
          </cell>
          <cell r="B1343" t="str">
            <v>FERNANDES ROSARIO</v>
          </cell>
          <cell r="C1343" t="str">
            <v>LDRY</v>
          </cell>
        </row>
        <row r="1344">
          <cell r="A1344">
            <v>30905</v>
          </cell>
          <cell r="B1344" t="str">
            <v>D'ROZARIO SAVIO</v>
          </cell>
          <cell r="C1344" t="str">
            <v>LDRY</v>
          </cell>
        </row>
        <row r="1345">
          <cell r="A1345">
            <v>30906</v>
          </cell>
          <cell r="B1345" t="str">
            <v>FERNS ALLWYN BERNARD</v>
          </cell>
          <cell r="C1345" t="str">
            <v>LDRY</v>
          </cell>
        </row>
        <row r="1346">
          <cell r="A1346">
            <v>30919</v>
          </cell>
          <cell r="B1346" t="str">
            <v>JAISWAL NITESH</v>
          </cell>
          <cell r="C1346" t="str">
            <v>LDRY</v>
          </cell>
        </row>
        <row r="1347">
          <cell r="A1347">
            <v>30920</v>
          </cell>
          <cell r="B1347" t="str">
            <v>SUKHADARE ARWIND</v>
          </cell>
          <cell r="C1347" t="str">
            <v>LDRY</v>
          </cell>
        </row>
        <row r="1348">
          <cell r="A1348">
            <v>31201</v>
          </cell>
          <cell r="B1348" t="str">
            <v>MORE NILESH CHANDRAKANT</v>
          </cell>
          <cell r="C1348" t="str">
            <v>LDRY</v>
          </cell>
        </row>
        <row r="1349">
          <cell r="A1349">
            <v>31202</v>
          </cell>
          <cell r="B1349" t="str">
            <v>SAWANT MANOJ</v>
          </cell>
          <cell r="C1349" t="str">
            <v>LDRY</v>
          </cell>
        </row>
        <row r="1350">
          <cell r="A1350">
            <v>31203</v>
          </cell>
          <cell r="B1350" t="str">
            <v>ALPHONSO TUSHAR</v>
          </cell>
          <cell r="C1350" t="str">
            <v>LDRY</v>
          </cell>
        </row>
        <row r="1351">
          <cell r="A1351">
            <v>31212</v>
          </cell>
          <cell r="B1351" t="str">
            <v>KASPER RAJAN</v>
          </cell>
          <cell r="C1351" t="str">
            <v>LDRY</v>
          </cell>
        </row>
        <row r="1352">
          <cell r="A1352">
            <v>31213</v>
          </cell>
          <cell r="B1352" t="str">
            <v>BHINGARDE NITIN</v>
          </cell>
          <cell r="C1352" t="str">
            <v>LDRY</v>
          </cell>
        </row>
        <row r="1353">
          <cell r="A1353">
            <v>31214</v>
          </cell>
          <cell r="B1353" t="str">
            <v>KHAN FEROZ</v>
          </cell>
          <cell r="C1353" t="str">
            <v>LDRY</v>
          </cell>
        </row>
        <row r="1354">
          <cell r="A1354">
            <v>31240</v>
          </cell>
          <cell r="B1354" t="str">
            <v>MENEZES OSWALD</v>
          </cell>
          <cell r="C1354" t="str">
            <v>LDRY</v>
          </cell>
        </row>
        <row r="1355">
          <cell r="A1355">
            <v>31242</v>
          </cell>
          <cell r="B1355" t="str">
            <v>RAUT SANKET</v>
          </cell>
          <cell r="C1355" t="str">
            <v>LDRY</v>
          </cell>
        </row>
        <row r="1356">
          <cell r="A1356">
            <v>31245</v>
          </cell>
          <cell r="B1356" t="str">
            <v>SATANE VINOD</v>
          </cell>
          <cell r="C1356" t="str">
            <v>LDRY</v>
          </cell>
        </row>
        <row r="1357">
          <cell r="A1357">
            <v>31247</v>
          </cell>
          <cell r="B1357" t="str">
            <v>TAMBE VIJAY</v>
          </cell>
          <cell r="C1357" t="str">
            <v>LDRY</v>
          </cell>
        </row>
        <row r="1358">
          <cell r="A1358">
            <v>31248</v>
          </cell>
          <cell r="B1358" t="str">
            <v>MENDEDKAR SHIDHODHAN</v>
          </cell>
          <cell r="C1358" t="str">
            <v>LDRY</v>
          </cell>
        </row>
        <row r="1359">
          <cell r="A1359">
            <v>31251</v>
          </cell>
          <cell r="B1359" t="str">
            <v>GAIKWAD SOMNATH</v>
          </cell>
          <cell r="C1359" t="str">
            <v>LDRY</v>
          </cell>
        </row>
        <row r="1360">
          <cell r="A1360">
            <v>31406</v>
          </cell>
          <cell r="B1360" t="str">
            <v>SURYAVANSHI ANIL</v>
          </cell>
          <cell r="C1360" t="str">
            <v>LDRY</v>
          </cell>
        </row>
        <row r="1361">
          <cell r="A1361">
            <v>1286</v>
          </cell>
          <cell r="B1361" t="str">
            <v>RAO RAMAKRISHNA      .</v>
          </cell>
          <cell r="C1361" t="str">
            <v>MNTC</v>
          </cell>
        </row>
        <row r="1362">
          <cell r="A1362">
            <v>2529</v>
          </cell>
          <cell r="B1362" t="str">
            <v>PAWAR VISNU PANDURANG</v>
          </cell>
          <cell r="C1362" t="str">
            <v>MNTC</v>
          </cell>
        </row>
        <row r="1363">
          <cell r="A1363">
            <v>2530</v>
          </cell>
          <cell r="B1363" t="str">
            <v>BALAN V.K.</v>
          </cell>
          <cell r="C1363" t="str">
            <v>MNTC</v>
          </cell>
        </row>
        <row r="1364">
          <cell r="A1364">
            <v>2582</v>
          </cell>
          <cell r="B1364" t="str">
            <v>CARDOZO JOSEPH X.</v>
          </cell>
          <cell r="C1364" t="str">
            <v>MNTC</v>
          </cell>
        </row>
        <row r="1365">
          <cell r="A1365">
            <v>2586</v>
          </cell>
          <cell r="B1365" t="str">
            <v>MIRZA ROHINTON H.</v>
          </cell>
          <cell r="C1365" t="str">
            <v>MNTC</v>
          </cell>
        </row>
        <row r="1366">
          <cell r="A1366">
            <v>2939</v>
          </cell>
          <cell r="B1366" t="str">
            <v>PATIL YESHWANT</v>
          </cell>
          <cell r="C1366" t="str">
            <v>MNTC</v>
          </cell>
        </row>
        <row r="1367">
          <cell r="A1367">
            <v>2979</v>
          </cell>
          <cell r="B1367" t="str">
            <v>MORE RAMCHANDRA BANDU</v>
          </cell>
          <cell r="C1367" t="str">
            <v>MNTC</v>
          </cell>
        </row>
        <row r="1368">
          <cell r="A1368">
            <v>3167</v>
          </cell>
          <cell r="B1368" t="str">
            <v>PADWAL PRAKASH G.</v>
          </cell>
          <cell r="C1368" t="str">
            <v>MNTC</v>
          </cell>
        </row>
        <row r="1369">
          <cell r="A1369">
            <v>4151</v>
          </cell>
          <cell r="B1369" t="str">
            <v>PATIL ASHOK JAYRAM</v>
          </cell>
          <cell r="C1369" t="str">
            <v>MNTC</v>
          </cell>
        </row>
        <row r="1370">
          <cell r="A1370">
            <v>4162</v>
          </cell>
          <cell r="B1370" t="str">
            <v>MUNSHI BEHRAM R.</v>
          </cell>
          <cell r="C1370" t="str">
            <v>MNTC</v>
          </cell>
        </row>
        <row r="1371">
          <cell r="A1371">
            <v>4263</v>
          </cell>
          <cell r="B1371" t="str">
            <v>PINTO APOLINARIO</v>
          </cell>
          <cell r="C1371" t="str">
            <v>MNTC</v>
          </cell>
        </row>
        <row r="1372">
          <cell r="A1372">
            <v>4436</v>
          </cell>
          <cell r="B1372" t="str">
            <v>KATHE SUDHAKAR R.</v>
          </cell>
          <cell r="C1372" t="str">
            <v>MNTC</v>
          </cell>
        </row>
        <row r="1373">
          <cell r="A1373">
            <v>4532</v>
          </cell>
          <cell r="B1373" t="str">
            <v>PHULL JAGDISH KUMAR</v>
          </cell>
          <cell r="C1373" t="str">
            <v>MNTC</v>
          </cell>
        </row>
        <row r="1374">
          <cell r="A1374">
            <v>4685</v>
          </cell>
          <cell r="B1374" t="str">
            <v>SHARMA CHHEDILAL A.</v>
          </cell>
          <cell r="C1374" t="str">
            <v>MNTC</v>
          </cell>
        </row>
        <row r="1375">
          <cell r="A1375">
            <v>4803</v>
          </cell>
          <cell r="B1375" t="str">
            <v>SARGURU K.Y.</v>
          </cell>
          <cell r="C1375" t="str">
            <v>MNTC</v>
          </cell>
        </row>
        <row r="1376">
          <cell r="A1376">
            <v>4915</v>
          </cell>
          <cell r="B1376" t="str">
            <v>MANE T. MARUTI</v>
          </cell>
          <cell r="C1376" t="str">
            <v>MNTC</v>
          </cell>
        </row>
        <row r="1377">
          <cell r="A1377">
            <v>5006</v>
          </cell>
          <cell r="B1377" t="str">
            <v>SHINGRE NIKHIL VILAS</v>
          </cell>
          <cell r="C1377" t="str">
            <v>MNTC</v>
          </cell>
        </row>
        <row r="1378">
          <cell r="A1378">
            <v>5325</v>
          </cell>
          <cell r="B1378" t="str">
            <v>CORDOZO AGNELLO</v>
          </cell>
          <cell r="C1378" t="str">
            <v>MNTC</v>
          </cell>
        </row>
        <row r="1379">
          <cell r="A1379">
            <v>5344</v>
          </cell>
          <cell r="B1379" t="str">
            <v>TAMPAL FIROZE PERVEZ</v>
          </cell>
          <cell r="C1379" t="str">
            <v>MNTC</v>
          </cell>
        </row>
        <row r="1380">
          <cell r="A1380">
            <v>5628</v>
          </cell>
          <cell r="B1380" t="str">
            <v>SEQUEIRA AUGUSTINE</v>
          </cell>
          <cell r="C1380" t="str">
            <v>MNTC</v>
          </cell>
        </row>
        <row r="1381">
          <cell r="A1381">
            <v>5684</v>
          </cell>
          <cell r="B1381" t="str">
            <v>RODRIGUES SIMON M.</v>
          </cell>
          <cell r="C1381" t="str">
            <v>MNTC</v>
          </cell>
        </row>
        <row r="1382">
          <cell r="A1382">
            <v>5738</v>
          </cell>
          <cell r="B1382" t="str">
            <v>GAIKWAD ANIL GOVIND</v>
          </cell>
          <cell r="C1382" t="str">
            <v>MNTC</v>
          </cell>
        </row>
        <row r="1383">
          <cell r="A1383">
            <v>5774</v>
          </cell>
          <cell r="B1383" t="str">
            <v>NASWALA SAYED A.</v>
          </cell>
          <cell r="C1383" t="str">
            <v>MNTC</v>
          </cell>
        </row>
        <row r="1384">
          <cell r="A1384">
            <v>5775</v>
          </cell>
          <cell r="B1384" t="str">
            <v>KAMBLE RAJAN ISHWAR</v>
          </cell>
          <cell r="C1384" t="str">
            <v>MNTC</v>
          </cell>
        </row>
        <row r="1385">
          <cell r="A1385">
            <v>8083</v>
          </cell>
          <cell r="B1385" t="str">
            <v>PALKAR VINAY</v>
          </cell>
          <cell r="C1385" t="str">
            <v>MNTC</v>
          </cell>
        </row>
        <row r="1386">
          <cell r="A1386">
            <v>8744</v>
          </cell>
          <cell r="B1386" t="str">
            <v>HUPPIKAR SANTOSH V.</v>
          </cell>
          <cell r="C1386" t="str">
            <v>MNTC</v>
          </cell>
        </row>
        <row r="1387">
          <cell r="A1387">
            <v>8813</v>
          </cell>
          <cell r="B1387" t="str">
            <v>BHIKU D. VARIAVA</v>
          </cell>
          <cell r="C1387" t="str">
            <v>MNTC</v>
          </cell>
        </row>
        <row r="1388">
          <cell r="A1388">
            <v>8910</v>
          </cell>
          <cell r="B1388" t="str">
            <v>DICHOLKAR RAJENDRA A.</v>
          </cell>
          <cell r="C1388" t="str">
            <v>MNTC</v>
          </cell>
        </row>
        <row r="1389">
          <cell r="A1389">
            <v>9233</v>
          </cell>
          <cell r="B1389" t="str">
            <v>PATWARDHAN RAJEEV A.</v>
          </cell>
          <cell r="C1389" t="str">
            <v>MNTC</v>
          </cell>
        </row>
        <row r="1390">
          <cell r="A1390">
            <v>9238</v>
          </cell>
          <cell r="B1390" t="str">
            <v>LIMAYE SUHAS</v>
          </cell>
          <cell r="C1390" t="str">
            <v>MNTC</v>
          </cell>
        </row>
        <row r="1391">
          <cell r="A1391">
            <v>9239</v>
          </cell>
          <cell r="B1391" t="str">
            <v>CHAUDHARY JAYANT P.</v>
          </cell>
          <cell r="C1391" t="str">
            <v>MNTC</v>
          </cell>
        </row>
        <row r="1392">
          <cell r="A1392">
            <v>9389</v>
          </cell>
          <cell r="B1392" t="str">
            <v>ALMAS ASIF AJANI</v>
          </cell>
          <cell r="C1392" t="str">
            <v>MNTC</v>
          </cell>
        </row>
        <row r="1393">
          <cell r="A1393">
            <v>9561</v>
          </cell>
          <cell r="B1393" t="str">
            <v>SINGH OMPRAKASH</v>
          </cell>
          <cell r="C1393" t="str">
            <v>MNTC</v>
          </cell>
        </row>
        <row r="1394">
          <cell r="A1394">
            <v>9675</v>
          </cell>
          <cell r="B1394" t="str">
            <v>KADERE RAMDAS M.</v>
          </cell>
          <cell r="C1394" t="str">
            <v>MNTC</v>
          </cell>
        </row>
        <row r="1395">
          <cell r="A1395">
            <v>10339</v>
          </cell>
          <cell r="B1395" t="str">
            <v>MAHAJAN NILESH</v>
          </cell>
          <cell r="C1395" t="str">
            <v>MNTC</v>
          </cell>
        </row>
        <row r="1396">
          <cell r="A1396">
            <v>10530</v>
          </cell>
          <cell r="B1396" t="str">
            <v>CRASTA RYAN</v>
          </cell>
          <cell r="C1396" t="str">
            <v>MNTC</v>
          </cell>
        </row>
        <row r="1397">
          <cell r="A1397">
            <v>10531</v>
          </cell>
          <cell r="B1397" t="str">
            <v>SAYAD FAIYAZ AHMED</v>
          </cell>
          <cell r="C1397" t="str">
            <v>MNTC</v>
          </cell>
        </row>
        <row r="1398">
          <cell r="A1398">
            <v>10672</v>
          </cell>
          <cell r="B1398" t="str">
            <v>GOKHALE SIDDHARTH</v>
          </cell>
          <cell r="C1398" t="str">
            <v>MNTC</v>
          </cell>
        </row>
        <row r="1399">
          <cell r="A1399">
            <v>30901</v>
          </cell>
          <cell r="B1399" t="str">
            <v>TRINDADE BRUCE</v>
          </cell>
          <cell r="C1399" t="str">
            <v>MNTC</v>
          </cell>
        </row>
        <row r="1400">
          <cell r="A1400">
            <v>30903</v>
          </cell>
          <cell r="B1400" t="str">
            <v>WILSON ANGELO LANCELOT</v>
          </cell>
          <cell r="C1400" t="str">
            <v>MNTC</v>
          </cell>
        </row>
        <row r="1401">
          <cell r="A1401">
            <v>30911</v>
          </cell>
          <cell r="B1401" t="str">
            <v>RAJBHOJ PRAVIN</v>
          </cell>
          <cell r="C1401" t="str">
            <v>MNTC</v>
          </cell>
        </row>
        <row r="1402">
          <cell r="A1402">
            <v>30912</v>
          </cell>
          <cell r="B1402" t="str">
            <v>D'CUNHA JUBY JOHN</v>
          </cell>
          <cell r="C1402" t="str">
            <v>MNTC</v>
          </cell>
        </row>
        <row r="1403">
          <cell r="A1403">
            <v>30913</v>
          </cell>
          <cell r="B1403" t="str">
            <v>MARTIN IGNATIOUS</v>
          </cell>
          <cell r="C1403" t="str">
            <v>MNTC</v>
          </cell>
        </row>
        <row r="1404">
          <cell r="A1404">
            <v>2975</v>
          </cell>
          <cell r="B1404" t="str">
            <v>SAHER PESTONJI P.</v>
          </cell>
          <cell r="C1404" t="str">
            <v>PROJ</v>
          </cell>
        </row>
        <row r="1405">
          <cell r="A1405">
            <v>10792</v>
          </cell>
          <cell r="B1405" t="str">
            <v>MAZUMDAR RANJAN</v>
          </cell>
          <cell r="C1405" t="str">
            <v>PROJ</v>
          </cell>
        </row>
        <row r="1406">
          <cell r="A1406">
            <v>1165</v>
          </cell>
          <cell r="B1406" t="str">
            <v>JADHAV KESHAV LAXMAN</v>
          </cell>
          <cell r="C1406" t="str">
            <v>PRTO</v>
          </cell>
        </row>
        <row r="1407">
          <cell r="A1407">
            <v>4000</v>
          </cell>
          <cell r="B1407" t="str">
            <v>SINGH RAMPAL B.</v>
          </cell>
          <cell r="C1407" t="str">
            <v>PRTO</v>
          </cell>
        </row>
        <row r="1408">
          <cell r="A1408">
            <v>4147</v>
          </cell>
          <cell r="B1408" t="str">
            <v>BAVISKAR ARJUN  DAULAT.</v>
          </cell>
          <cell r="C1408" t="str">
            <v>PRTO</v>
          </cell>
        </row>
        <row r="1409">
          <cell r="A1409">
            <v>4705</v>
          </cell>
          <cell r="B1409" t="str">
            <v>CHALKE VASANT</v>
          </cell>
          <cell r="C1409" t="str">
            <v>PRTO</v>
          </cell>
        </row>
        <row r="1410">
          <cell r="A1410">
            <v>5293</v>
          </cell>
          <cell r="B1410" t="str">
            <v>BARRETTO O.BASIL</v>
          </cell>
          <cell r="C1410" t="str">
            <v>PRTO</v>
          </cell>
        </row>
        <row r="1411">
          <cell r="A1411">
            <v>8797</v>
          </cell>
          <cell r="B1411" t="str">
            <v>DIVEKAR CHETAN</v>
          </cell>
          <cell r="C1411" t="str">
            <v>PRTO</v>
          </cell>
        </row>
        <row r="1412">
          <cell r="A1412">
            <v>9016</v>
          </cell>
          <cell r="B1412" t="str">
            <v>SHETTIGAR SHAILA BHARAT</v>
          </cell>
          <cell r="C1412" t="str">
            <v>PRTO</v>
          </cell>
        </row>
        <row r="1413">
          <cell r="A1413">
            <v>10494</v>
          </cell>
          <cell r="B1413" t="str">
            <v>JOSHI HITESH</v>
          </cell>
          <cell r="C1413" t="str">
            <v>PRTO</v>
          </cell>
        </row>
        <row r="1414">
          <cell r="A1414">
            <v>10555</v>
          </cell>
          <cell r="B1414" t="str">
            <v>D'SOUZA BLAISE</v>
          </cell>
          <cell r="C1414" t="str">
            <v>PRTO</v>
          </cell>
        </row>
        <row r="1415">
          <cell r="A1415">
            <v>10631</v>
          </cell>
          <cell r="B1415" t="str">
            <v>MALLIA SHILPA</v>
          </cell>
          <cell r="C1415" t="str">
            <v>PRTO</v>
          </cell>
        </row>
        <row r="1416">
          <cell r="A1416">
            <v>31404</v>
          </cell>
          <cell r="B1416" t="str">
            <v>AMBARDEKAR DEVENDRA</v>
          </cell>
          <cell r="C1416" t="str">
            <v>PRTO</v>
          </cell>
        </row>
        <row r="1417">
          <cell r="A1417">
            <v>2453</v>
          </cell>
          <cell r="B1417" t="str">
            <v>MORE SUBHASH L.</v>
          </cell>
          <cell r="C1417" t="str">
            <v>PURC</v>
          </cell>
        </row>
        <row r="1418">
          <cell r="A1418">
            <v>5873</v>
          </cell>
          <cell r="B1418" t="str">
            <v>MONTERO FLORENCE MRS.</v>
          </cell>
          <cell r="C1418" t="str">
            <v>PURC</v>
          </cell>
        </row>
        <row r="1419">
          <cell r="A1419">
            <v>6743</v>
          </cell>
          <cell r="B1419" t="str">
            <v>GONSALVES C.J.</v>
          </cell>
          <cell r="C1419" t="str">
            <v>PURC</v>
          </cell>
        </row>
        <row r="1420">
          <cell r="A1420">
            <v>9466</v>
          </cell>
          <cell r="B1420" t="str">
            <v>GANDHI SAROSH D.</v>
          </cell>
          <cell r="C1420" t="str">
            <v>PURC</v>
          </cell>
        </row>
        <row r="1421">
          <cell r="A1421">
            <v>10554</v>
          </cell>
          <cell r="B1421" t="str">
            <v>D'SOUZA ANNE</v>
          </cell>
          <cell r="C1421" t="str">
            <v>PURC</v>
          </cell>
        </row>
        <row r="1422">
          <cell r="A1422">
            <v>3241</v>
          </cell>
          <cell r="B1422" t="str">
            <v>NORONHA LAWRENCE</v>
          </cell>
          <cell r="C1422" t="str">
            <v>RMO</v>
          </cell>
        </row>
        <row r="1423">
          <cell r="A1423">
            <v>10050</v>
          </cell>
          <cell r="B1423" t="str">
            <v>JADHAV NAYANA</v>
          </cell>
          <cell r="C1423" t="str">
            <v>RMO</v>
          </cell>
        </row>
        <row r="1424">
          <cell r="A1424">
            <v>3429</v>
          </cell>
          <cell r="B1424" t="str">
            <v>JAGTAP ADINATH M.</v>
          </cell>
          <cell r="C1424" t="str">
            <v>SAMK</v>
          </cell>
        </row>
        <row r="1425">
          <cell r="A1425">
            <v>3464</v>
          </cell>
          <cell r="B1425" t="str">
            <v>ANDRADE ROMIO</v>
          </cell>
          <cell r="C1425" t="str">
            <v>SAMK</v>
          </cell>
        </row>
        <row r="1426">
          <cell r="A1426">
            <v>5380</v>
          </cell>
          <cell r="B1426" t="str">
            <v>PARKAR AHMED ABBAS</v>
          </cell>
          <cell r="C1426" t="str">
            <v>SAMK</v>
          </cell>
        </row>
        <row r="1427">
          <cell r="A1427">
            <v>9705</v>
          </cell>
          <cell r="B1427" t="str">
            <v>VARGHESE ANNAM</v>
          </cell>
          <cell r="C1427" t="str">
            <v>SAMK</v>
          </cell>
        </row>
        <row r="1428">
          <cell r="A1428">
            <v>10060</v>
          </cell>
          <cell r="B1428" t="str">
            <v>KAKA DRISHTI</v>
          </cell>
          <cell r="C1428" t="str">
            <v>SAMK</v>
          </cell>
        </row>
        <row r="1429">
          <cell r="A1429">
            <v>10252</v>
          </cell>
          <cell r="B1429" t="str">
            <v>SHIVDASANI AFSANA</v>
          </cell>
          <cell r="C1429" t="str">
            <v>SAMK</v>
          </cell>
        </row>
        <row r="1430">
          <cell r="A1430">
            <v>10301</v>
          </cell>
          <cell r="B1430" t="str">
            <v>REILLY KELLY</v>
          </cell>
          <cell r="C1430" t="str">
            <v>SAMK</v>
          </cell>
        </row>
        <row r="1431">
          <cell r="A1431">
            <v>10366</v>
          </cell>
          <cell r="B1431" t="str">
            <v>DHANWANI SUSHMA</v>
          </cell>
          <cell r="C1431" t="str">
            <v>SAMK</v>
          </cell>
        </row>
        <row r="1432">
          <cell r="A1432">
            <v>10438</v>
          </cell>
          <cell r="B1432" t="str">
            <v>HASSIJA NINA</v>
          </cell>
          <cell r="C1432" t="str">
            <v>SAMK</v>
          </cell>
        </row>
        <row r="1433">
          <cell r="A1433">
            <v>30190</v>
          </cell>
          <cell r="B1433" t="str">
            <v>BAKSHI RAJSHREE</v>
          </cell>
          <cell r="C1433" t="str">
            <v>SAMK</v>
          </cell>
        </row>
        <row r="1434">
          <cell r="A1434">
            <v>2798</v>
          </cell>
          <cell r="B1434" t="str">
            <v>NEPALI DEVSINGH NARAYANDA</v>
          </cell>
          <cell r="C1434" t="str">
            <v>SCTY</v>
          </cell>
        </row>
        <row r="1435">
          <cell r="A1435">
            <v>3434</v>
          </cell>
          <cell r="B1435" t="str">
            <v>PAWAR KAILASH BABU</v>
          </cell>
          <cell r="C1435" t="str">
            <v>SCTY</v>
          </cell>
        </row>
        <row r="1436">
          <cell r="A1436">
            <v>4118</v>
          </cell>
          <cell r="B1436" t="str">
            <v>KARKI GOVINDSINGH</v>
          </cell>
          <cell r="C1436" t="str">
            <v>SCTY</v>
          </cell>
        </row>
        <row r="1437">
          <cell r="A1437">
            <v>4691</v>
          </cell>
          <cell r="B1437" t="str">
            <v>SINGH GURDEEP JOGA</v>
          </cell>
          <cell r="C1437" t="str">
            <v>SCTY</v>
          </cell>
        </row>
        <row r="1438">
          <cell r="A1438">
            <v>4711</v>
          </cell>
          <cell r="B1438" t="str">
            <v>PEREIRA SEBASTIAN JOSEPH</v>
          </cell>
          <cell r="C1438" t="str">
            <v>SCTY</v>
          </cell>
        </row>
        <row r="1439">
          <cell r="A1439">
            <v>5079</v>
          </cell>
          <cell r="B1439" t="str">
            <v>RATHOD BHANA SOMA</v>
          </cell>
          <cell r="C1439" t="str">
            <v>SCTY</v>
          </cell>
        </row>
        <row r="1440">
          <cell r="A1440">
            <v>5101</v>
          </cell>
          <cell r="B1440" t="str">
            <v>DASTOOR VISTASP MANEK</v>
          </cell>
          <cell r="C1440" t="str">
            <v>SCTY</v>
          </cell>
        </row>
        <row r="1441">
          <cell r="A1441">
            <v>5469</v>
          </cell>
          <cell r="B1441" t="str">
            <v>JOSHI TARANATH DEVIRAM</v>
          </cell>
          <cell r="C1441" t="str">
            <v>SCTY</v>
          </cell>
        </row>
        <row r="1442">
          <cell r="A1442">
            <v>5805</v>
          </cell>
          <cell r="B1442" t="str">
            <v>SINGH KEWAL MANGAT</v>
          </cell>
          <cell r="C1442" t="str">
            <v>SCTY</v>
          </cell>
        </row>
        <row r="1443">
          <cell r="A1443">
            <v>6032</v>
          </cell>
          <cell r="B1443" t="str">
            <v>SINGH GURUCHARAN</v>
          </cell>
          <cell r="C1443" t="str">
            <v>SCTY</v>
          </cell>
        </row>
        <row r="1444">
          <cell r="A1444">
            <v>6841</v>
          </cell>
          <cell r="B1444" t="str">
            <v>SINGH KULDEEP GURUCHARAN</v>
          </cell>
          <cell r="C1444" t="str">
            <v>SCTY</v>
          </cell>
        </row>
        <row r="1445">
          <cell r="A1445">
            <v>6899</v>
          </cell>
          <cell r="B1445" t="str">
            <v>CHACHLE PRAKASH</v>
          </cell>
          <cell r="C1445" t="str">
            <v>SCTY</v>
          </cell>
        </row>
        <row r="1446">
          <cell r="A1446">
            <v>6967</v>
          </cell>
          <cell r="B1446" t="str">
            <v>SINGH JASVIR TEJASINGH</v>
          </cell>
          <cell r="C1446" t="str">
            <v>SCTY</v>
          </cell>
        </row>
        <row r="1447">
          <cell r="A1447">
            <v>8650</v>
          </cell>
          <cell r="B1447" t="str">
            <v>RANGWALLA IRFAN IQBAL</v>
          </cell>
          <cell r="C1447" t="str">
            <v>SCTY</v>
          </cell>
        </row>
        <row r="1448">
          <cell r="A1448">
            <v>8689</v>
          </cell>
          <cell r="B1448" t="str">
            <v>KUDYADI SUNIL G.</v>
          </cell>
          <cell r="C1448" t="str">
            <v>SCTY</v>
          </cell>
        </row>
        <row r="1449">
          <cell r="A1449">
            <v>8793</v>
          </cell>
          <cell r="B1449" t="str">
            <v>BEZWADA RAVINDRA PRASAD</v>
          </cell>
          <cell r="C1449" t="str">
            <v>SCTY</v>
          </cell>
        </row>
        <row r="1450">
          <cell r="A1450">
            <v>8918</v>
          </cell>
          <cell r="B1450" t="str">
            <v>CHOGLE MONISH</v>
          </cell>
          <cell r="C1450" t="str">
            <v>SCTY</v>
          </cell>
        </row>
        <row r="1451">
          <cell r="A1451">
            <v>8920</v>
          </cell>
          <cell r="B1451" t="str">
            <v>SHAIKH SAMEER</v>
          </cell>
          <cell r="C1451" t="str">
            <v>SCTY</v>
          </cell>
        </row>
        <row r="1452">
          <cell r="A1452">
            <v>8974</v>
          </cell>
          <cell r="B1452" t="str">
            <v>JOSHI PARAG</v>
          </cell>
          <cell r="C1452" t="str">
            <v>SCTY</v>
          </cell>
        </row>
        <row r="1453">
          <cell r="A1453">
            <v>9131</v>
          </cell>
          <cell r="B1453" t="str">
            <v>WAGLE NILKANTH  VISHNU</v>
          </cell>
          <cell r="C1453" t="str">
            <v>SCTY</v>
          </cell>
        </row>
        <row r="1454">
          <cell r="A1454">
            <v>9495</v>
          </cell>
          <cell r="B1454" t="str">
            <v>PRASAD RAMESH LALAN</v>
          </cell>
          <cell r="C1454" t="str">
            <v>SCTY</v>
          </cell>
        </row>
        <row r="1455">
          <cell r="A1455">
            <v>10403</v>
          </cell>
          <cell r="B1455" t="str">
            <v>PATKAR YOGESH</v>
          </cell>
          <cell r="C1455" t="str">
            <v>SCTY</v>
          </cell>
        </row>
        <row r="1456">
          <cell r="A1456">
            <v>10404</v>
          </cell>
          <cell r="B1456" t="str">
            <v>ALVARES RITESH</v>
          </cell>
          <cell r="C1456" t="str">
            <v>SCTY</v>
          </cell>
        </row>
        <row r="1457">
          <cell r="A1457">
            <v>10405</v>
          </cell>
          <cell r="B1457" t="str">
            <v>PAI RAKESH</v>
          </cell>
          <cell r="C1457" t="str">
            <v>SCTY</v>
          </cell>
        </row>
        <row r="1458">
          <cell r="A1458">
            <v>10406</v>
          </cell>
          <cell r="B1458" t="str">
            <v>SINGH INDERJEET</v>
          </cell>
          <cell r="C1458" t="str">
            <v>SCTY</v>
          </cell>
        </row>
        <row r="1459">
          <cell r="A1459">
            <v>10643</v>
          </cell>
          <cell r="B1459" t="str">
            <v>PUJARI VISHAL K.</v>
          </cell>
          <cell r="C1459" t="str">
            <v>SCTY</v>
          </cell>
        </row>
        <row r="1460">
          <cell r="A1460">
            <v>10644</v>
          </cell>
          <cell r="B1460" t="str">
            <v>SURYAWANSHI SAMPAT</v>
          </cell>
          <cell r="C1460" t="str">
            <v>SCTY</v>
          </cell>
        </row>
        <row r="1461">
          <cell r="A1461">
            <v>10650</v>
          </cell>
          <cell r="B1461" t="str">
            <v>THAMMAIAH P. M.</v>
          </cell>
          <cell r="C1461" t="str">
            <v>SCTY</v>
          </cell>
        </row>
        <row r="1462">
          <cell r="A1462">
            <v>10682</v>
          </cell>
          <cell r="B1462" t="str">
            <v>SINGH ARVIND K.</v>
          </cell>
          <cell r="C1462" t="str">
            <v>SCTY</v>
          </cell>
        </row>
        <row r="1463">
          <cell r="A1463">
            <v>30235</v>
          </cell>
          <cell r="B1463" t="str">
            <v>BERDE SONALI</v>
          </cell>
          <cell r="C1463" t="str">
            <v>SCTY</v>
          </cell>
        </row>
        <row r="1464">
          <cell r="A1464">
            <v>30236</v>
          </cell>
          <cell r="B1464" t="str">
            <v>PANE ABHIJEET</v>
          </cell>
          <cell r="C1464" t="str">
            <v>SCTY</v>
          </cell>
        </row>
        <row r="1465">
          <cell r="A1465">
            <v>30237</v>
          </cell>
          <cell r="B1465" t="str">
            <v>CHAVAN SACHIN</v>
          </cell>
          <cell r="C1465" t="str">
            <v>SCTY</v>
          </cell>
        </row>
        <row r="1466">
          <cell r="A1466">
            <v>1113</v>
          </cell>
          <cell r="B1466" t="str">
            <v>JADHAV DHONDOO BHIKOO</v>
          </cell>
          <cell r="C1466" t="str">
            <v>STDG</v>
          </cell>
        </row>
        <row r="1467">
          <cell r="A1467">
            <v>2702</v>
          </cell>
          <cell r="B1467" t="str">
            <v>SHETYE ARVIND K.</v>
          </cell>
          <cell r="C1467" t="str">
            <v>STDG</v>
          </cell>
        </row>
        <row r="1468">
          <cell r="A1468">
            <v>2805</v>
          </cell>
          <cell r="B1468" t="str">
            <v>JADHAV SAKARAM K.</v>
          </cell>
          <cell r="C1468" t="str">
            <v>STDG</v>
          </cell>
        </row>
        <row r="1469">
          <cell r="A1469">
            <v>2858</v>
          </cell>
          <cell r="B1469" t="str">
            <v>NATHA BHASKAR B.</v>
          </cell>
          <cell r="C1469" t="str">
            <v>STDG</v>
          </cell>
        </row>
        <row r="1470">
          <cell r="A1470">
            <v>2924</v>
          </cell>
          <cell r="B1470" t="str">
            <v>GOLLA GOVARDHAN S.</v>
          </cell>
          <cell r="C1470" t="str">
            <v>STDG</v>
          </cell>
        </row>
        <row r="1471">
          <cell r="A1471">
            <v>4131</v>
          </cell>
          <cell r="B1471" t="str">
            <v>GAIKWAD RAMESH P.</v>
          </cell>
          <cell r="C1471" t="str">
            <v>STDG</v>
          </cell>
        </row>
        <row r="1472">
          <cell r="A1472">
            <v>4133</v>
          </cell>
          <cell r="B1472" t="str">
            <v>PATEL ABDUL MUNAF A.R.</v>
          </cell>
          <cell r="C1472" t="str">
            <v>STDG</v>
          </cell>
        </row>
        <row r="1473">
          <cell r="A1473">
            <v>4134</v>
          </cell>
          <cell r="B1473" t="str">
            <v>AGUWAN LAJJARAM</v>
          </cell>
          <cell r="C1473" t="str">
            <v>STDG</v>
          </cell>
        </row>
        <row r="1474">
          <cell r="A1474">
            <v>4542</v>
          </cell>
          <cell r="B1474" t="str">
            <v>SINGH SANDO AMARSINGH</v>
          </cell>
          <cell r="C1474" t="str">
            <v>STDG</v>
          </cell>
        </row>
        <row r="1475">
          <cell r="A1475">
            <v>5222</v>
          </cell>
          <cell r="B1475" t="str">
            <v>LOHITHAKSHAN K.C.</v>
          </cell>
          <cell r="C1475" t="str">
            <v>STDG</v>
          </cell>
        </row>
        <row r="1476">
          <cell r="A1476">
            <v>5239</v>
          </cell>
          <cell r="B1476" t="str">
            <v>PAWAR RAMDAS MAHADOO</v>
          </cell>
          <cell r="C1476" t="str">
            <v>STDG</v>
          </cell>
        </row>
        <row r="1477">
          <cell r="A1477">
            <v>5270</v>
          </cell>
          <cell r="B1477" t="str">
            <v>JADHAV RAMDAS K.</v>
          </cell>
          <cell r="C1477" t="str">
            <v>STDG</v>
          </cell>
        </row>
        <row r="1478">
          <cell r="A1478">
            <v>5768</v>
          </cell>
          <cell r="B1478" t="str">
            <v>PEDSANGI GURAPPA K.</v>
          </cell>
          <cell r="C1478" t="str">
            <v>STDG</v>
          </cell>
        </row>
        <row r="1479">
          <cell r="A1479">
            <v>5843</v>
          </cell>
          <cell r="B1479" t="str">
            <v>PATIL ASHOK BALA</v>
          </cell>
          <cell r="C1479" t="str">
            <v>STDG</v>
          </cell>
        </row>
        <row r="1480">
          <cell r="A1480">
            <v>6222</v>
          </cell>
          <cell r="B1480" t="str">
            <v>GOMES ALBERT</v>
          </cell>
          <cell r="C1480" t="str">
            <v>STDG</v>
          </cell>
        </row>
        <row r="1481">
          <cell r="A1481">
            <v>9487</v>
          </cell>
          <cell r="B1481" t="str">
            <v>NAIK RAJENDRA B.</v>
          </cell>
          <cell r="C1481" t="str">
            <v>STDG</v>
          </cell>
        </row>
        <row r="1482">
          <cell r="A1482">
            <v>10012</v>
          </cell>
          <cell r="B1482" t="str">
            <v>DEVLEKAR ASHISH</v>
          </cell>
          <cell r="C1482" t="str">
            <v>STDG</v>
          </cell>
        </row>
        <row r="1483">
          <cell r="A1483">
            <v>30101</v>
          </cell>
          <cell r="B1483" t="str">
            <v>UGHADE SANDEEP</v>
          </cell>
          <cell r="C1483" t="str">
            <v>STDG</v>
          </cell>
        </row>
        <row r="1484">
          <cell r="A1484">
            <v>30104</v>
          </cell>
          <cell r="B1484" t="str">
            <v>GORE BALAJI</v>
          </cell>
          <cell r="C1484" t="str">
            <v>STDG</v>
          </cell>
        </row>
        <row r="1485">
          <cell r="A1485">
            <v>30110</v>
          </cell>
          <cell r="B1485" t="str">
            <v>MARCHANDE SAMEER</v>
          </cell>
          <cell r="C1485" t="str">
            <v>STDG</v>
          </cell>
        </row>
        <row r="1486">
          <cell r="A1486">
            <v>31408</v>
          </cell>
          <cell r="B1486" t="str">
            <v>CHAVAN RAMESH</v>
          </cell>
          <cell r="C1486" t="str">
            <v>STDG</v>
          </cell>
        </row>
        <row r="1487">
          <cell r="A1487">
            <v>2032</v>
          </cell>
          <cell r="B1487" t="str">
            <v>KATVI SHAM L.</v>
          </cell>
          <cell r="C1487" t="str">
            <v>STOR</v>
          </cell>
        </row>
        <row r="1488">
          <cell r="A1488">
            <v>3876</v>
          </cell>
          <cell r="B1488" t="str">
            <v>MOHAMMED PEER</v>
          </cell>
          <cell r="C1488" t="str">
            <v>STOR</v>
          </cell>
        </row>
        <row r="1489">
          <cell r="A1489">
            <v>4025</v>
          </cell>
          <cell r="B1489" t="str">
            <v>SHETTI ANANT N.</v>
          </cell>
          <cell r="C1489" t="str">
            <v>STOR</v>
          </cell>
        </row>
        <row r="1490">
          <cell r="A1490">
            <v>4285</v>
          </cell>
          <cell r="B1490" t="str">
            <v>VITKAR VASANT N.</v>
          </cell>
          <cell r="C1490" t="str">
            <v>STOR</v>
          </cell>
        </row>
        <row r="1491">
          <cell r="A1491">
            <v>4347</v>
          </cell>
          <cell r="B1491" t="str">
            <v>VIRKAR VILAS M.</v>
          </cell>
          <cell r="C1491" t="str">
            <v>STOR</v>
          </cell>
        </row>
        <row r="1492">
          <cell r="A1492">
            <v>5118</v>
          </cell>
          <cell r="B1492" t="str">
            <v>BAXI ASHOK</v>
          </cell>
          <cell r="C1492" t="str">
            <v>STOR</v>
          </cell>
        </row>
        <row r="1493">
          <cell r="A1493">
            <v>5143</v>
          </cell>
          <cell r="B1493" t="str">
            <v>D'SOUZA PETER</v>
          </cell>
          <cell r="C1493" t="str">
            <v>STOR</v>
          </cell>
        </row>
        <row r="1494">
          <cell r="A1494">
            <v>5166</v>
          </cell>
          <cell r="B1494" t="str">
            <v>SINGH ANIRUDHA</v>
          </cell>
          <cell r="C1494" t="str">
            <v>STOR</v>
          </cell>
        </row>
        <row r="1495">
          <cell r="A1495">
            <v>5800</v>
          </cell>
          <cell r="B1495" t="str">
            <v>NAICKER VENKATESH BALKRIS</v>
          </cell>
          <cell r="C1495" t="str">
            <v>STOR</v>
          </cell>
        </row>
        <row r="1496">
          <cell r="A1496">
            <v>6718</v>
          </cell>
          <cell r="B1496" t="str">
            <v>GAD  PANDURANG MOTIRAM</v>
          </cell>
          <cell r="C1496" t="str">
            <v>STOR</v>
          </cell>
        </row>
        <row r="1497">
          <cell r="A1497">
            <v>6994</v>
          </cell>
          <cell r="B1497" t="str">
            <v>KAKRAM ALI MOHAMMED</v>
          </cell>
          <cell r="C1497" t="str">
            <v>STOR</v>
          </cell>
        </row>
        <row r="1498">
          <cell r="A1498">
            <v>8350</v>
          </cell>
          <cell r="B1498" t="str">
            <v>NAIR SANJAY</v>
          </cell>
          <cell r="C1498" t="str">
            <v>STOR</v>
          </cell>
        </row>
        <row r="1499">
          <cell r="A1499">
            <v>9637</v>
          </cell>
          <cell r="B1499" t="str">
            <v>INGLE SRIKANT</v>
          </cell>
          <cell r="C1499" t="str">
            <v>STOR</v>
          </cell>
        </row>
        <row r="1500">
          <cell r="A1500">
            <v>62</v>
          </cell>
          <cell r="B1500" t="str">
            <v>PAI N L</v>
          </cell>
          <cell r="C1500" t="str">
            <v>SYST</v>
          </cell>
        </row>
        <row r="1501">
          <cell r="A1501">
            <v>99</v>
          </cell>
          <cell r="B1501" t="str">
            <v>DATTARAM DOMAL</v>
          </cell>
          <cell r="C1501" t="str">
            <v>SYST</v>
          </cell>
        </row>
        <row r="1502">
          <cell r="A1502">
            <v>9698</v>
          </cell>
          <cell r="B1502" t="str">
            <v>KALE AJIT V.</v>
          </cell>
          <cell r="C1502" t="str">
            <v>SYST</v>
          </cell>
        </row>
        <row r="1503">
          <cell r="A1503">
            <v>9711</v>
          </cell>
          <cell r="B1503" t="str">
            <v>KHEMANI MANISH</v>
          </cell>
          <cell r="C1503" t="str">
            <v>SYST</v>
          </cell>
        </row>
        <row r="1504">
          <cell r="A1504">
            <v>10642</v>
          </cell>
          <cell r="B1504" t="str">
            <v>BINDRA MANISH</v>
          </cell>
          <cell r="C1504" t="str">
            <v>SYST</v>
          </cell>
        </row>
        <row r="1505">
          <cell r="A1505">
            <v>10737</v>
          </cell>
          <cell r="B1505" t="str">
            <v>MHATRE MANOJ</v>
          </cell>
          <cell r="C1505" t="str">
            <v>SYST</v>
          </cell>
        </row>
        <row r="1506">
          <cell r="A1506">
            <v>10744</v>
          </cell>
          <cell r="B1506" t="str">
            <v>SAWANT PRASHANT</v>
          </cell>
          <cell r="C1506" t="str">
            <v>SYST</v>
          </cell>
        </row>
        <row r="1507">
          <cell r="A1507">
            <v>10750</v>
          </cell>
          <cell r="B1507" t="str">
            <v>PAPPAN DINESH</v>
          </cell>
          <cell r="C1507" t="str">
            <v>SYST</v>
          </cell>
        </row>
        <row r="1508">
          <cell r="A1508">
            <v>10831</v>
          </cell>
          <cell r="B1508" t="str">
            <v>SINHA ASHOK</v>
          </cell>
          <cell r="C1508" t="str">
            <v>SYST</v>
          </cell>
        </row>
        <row r="1509">
          <cell r="A1509">
            <v>30010</v>
          </cell>
          <cell r="B1509" t="str">
            <v>D'SOUZA MARTIN</v>
          </cell>
          <cell r="C1509" t="str">
            <v>SYST</v>
          </cell>
        </row>
        <row r="1510">
          <cell r="A1510">
            <v>3084</v>
          </cell>
          <cell r="B1510" t="str">
            <v>KHANNA BERNIE</v>
          </cell>
          <cell r="C1510" t="str">
            <v>TACC</v>
          </cell>
        </row>
        <row r="1511">
          <cell r="A1511">
            <v>6879</v>
          </cell>
          <cell r="B1511" t="str">
            <v>VERMA VIJAY</v>
          </cell>
          <cell r="C1511" t="str">
            <v>TACC</v>
          </cell>
        </row>
        <row r="1512">
          <cell r="A1512">
            <v>4967</v>
          </cell>
          <cell r="B1512" t="str">
            <v>JOSEPHINE SEQUEIRA</v>
          </cell>
          <cell r="C1512" t="str">
            <v>TELE</v>
          </cell>
        </row>
        <row r="1513">
          <cell r="A1513">
            <v>5734</v>
          </cell>
          <cell r="B1513" t="str">
            <v>SHARMA SHOBHA</v>
          </cell>
          <cell r="C1513" t="str">
            <v>TELE</v>
          </cell>
        </row>
        <row r="1514">
          <cell r="A1514">
            <v>6183</v>
          </cell>
          <cell r="B1514" t="str">
            <v>PUJARI MARY</v>
          </cell>
          <cell r="C1514" t="str">
            <v>TELE</v>
          </cell>
        </row>
        <row r="1515">
          <cell r="A1515">
            <v>7713</v>
          </cell>
          <cell r="B1515" t="str">
            <v>ISAAC JOYMERCY  C.</v>
          </cell>
          <cell r="C1515" t="str">
            <v>TELE</v>
          </cell>
        </row>
        <row r="1516">
          <cell r="A1516">
            <v>8602</v>
          </cell>
          <cell r="B1516" t="str">
            <v>BHANDARI MILAN</v>
          </cell>
          <cell r="C1516" t="str">
            <v>TELE</v>
          </cell>
        </row>
        <row r="1517">
          <cell r="A1517">
            <v>8777</v>
          </cell>
          <cell r="B1517" t="str">
            <v>SHIROOR SUREKHA</v>
          </cell>
          <cell r="C1517" t="str">
            <v>TELE</v>
          </cell>
        </row>
        <row r="1518">
          <cell r="A1518">
            <v>9155</v>
          </cell>
          <cell r="B1518" t="str">
            <v>D'SA JANETH</v>
          </cell>
          <cell r="C1518" t="str">
            <v>TELE</v>
          </cell>
        </row>
        <row r="1519">
          <cell r="A1519">
            <v>9158</v>
          </cell>
          <cell r="B1519" t="str">
            <v>OJHA GAYATRI</v>
          </cell>
          <cell r="C1519" t="str">
            <v>TELE</v>
          </cell>
        </row>
        <row r="1520">
          <cell r="A1520">
            <v>9165</v>
          </cell>
          <cell r="B1520" t="str">
            <v>D'ABREU FLORY</v>
          </cell>
          <cell r="C1520" t="str">
            <v>TELE</v>
          </cell>
        </row>
        <row r="1521">
          <cell r="A1521">
            <v>9166</v>
          </cell>
          <cell r="B1521" t="str">
            <v>GAMA GALE</v>
          </cell>
          <cell r="C1521" t="str">
            <v>TELE</v>
          </cell>
        </row>
        <row r="1522">
          <cell r="A1522">
            <v>9892</v>
          </cell>
          <cell r="B1522" t="str">
            <v>DIAS MILINDA</v>
          </cell>
          <cell r="C1522" t="str">
            <v>TELE</v>
          </cell>
        </row>
        <row r="1523">
          <cell r="A1523">
            <v>9975</v>
          </cell>
          <cell r="B1523" t="str">
            <v>MONDAL ANJU</v>
          </cell>
          <cell r="C1523" t="str">
            <v>TELE</v>
          </cell>
        </row>
        <row r="1524">
          <cell r="A1524">
            <v>10221</v>
          </cell>
          <cell r="B1524" t="str">
            <v>COLACO SOPHIA FRANCIS</v>
          </cell>
          <cell r="C1524" t="str">
            <v>TELE</v>
          </cell>
        </row>
        <row r="1525">
          <cell r="A1525">
            <v>10222</v>
          </cell>
          <cell r="B1525" t="str">
            <v>KADAKIA SHERRY</v>
          </cell>
          <cell r="C1525" t="str">
            <v>TELE</v>
          </cell>
        </row>
        <row r="1526">
          <cell r="A1526">
            <v>10487</v>
          </cell>
          <cell r="B1526" t="str">
            <v>NAIR PRASEETHA</v>
          </cell>
          <cell r="C1526" t="str">
            <v>TELE</v>
          </cell>
        </row>
        <row r="1527">
          <cell r="A1527">
            <v>10587</v>
          </cell>
          <cell r="B1527" t="str">
            <v>SHARMA PINKY</v>
          </cell>
          <cell r="C1527" t="str">
            <v>TELE</v>
          </cell>
        </row>
        <row r="1528">
          <cell r="A1528">
            <v>10598</v>
          </cell>
          <cell r="B1528" t="str">
            <v>HEMBROM  RITA</v>
          </cell>
          <cell r="C1528" t="str">
            <v>TELE</v>
          </cell>
        </row>
        <row r="1529">
          <cell r="A1529">
            <v>10604</v>
          </cell>
          <cell r="B1529" t="str">
            <v>KALE SANGEETA</v>
          </cell>
          <cell r="C1529" t="str">
            <v>TELE</v>
          </cell>
        </row>
        <row r="1530">
          <cell r="A1530">
            <v>10699</v>
          </cell>
          <cell r="B1530" t="str">
            <v>SUKHADWALLA FARAH HOMI</v>
          </cell>
          <cell r="C1530" t="str">
            <v>TELE</v>
          </cell>
        </row>
        <row r="1531">
          <cell r="A1531">
            <v>10705</v>
          </cell>
          <cell r="B1531" t="str">
            <v>MEHRA AARTI</v>
          </cell>
          <cell r="C1531" t="str">
            <v>TELE</v>
          </cell>
        </row>
        <row r="1532">
          <cell r="A1532">
            <v>10706</v>
          </cell>
          <cell r="B1532" t="str">
            <v>FERNANDES ALFREDA</v>
          </cell>
          <cell r="C1532" t="str">
            <v>TELE</v>
          </cell>
        </row>
        <row r="1533">
          <cell r="A1533">
            <v>7614</v>
          </cell>
          <cell r="B1533" t="str">
            <v>SAH VIVEK  R.</v>
          </cell>
          <cell r="C1533" t="str">
            <v>TRNG</v>
          </cell>
        </row>
        <row r="1534">
          <cell r="A1534">
            <v>10628</v>
          </cell>
          <cell r="B1534" t="str">
            <v>MOHANTY SAROJ</v>
          </cell>
          <cell r="C1534" t="str">
            <v>TRNG</v>
          </cell>
        </row>
        <row r="1535">
          <cell r="A1535">
            <v>739</v>
          </cell>
          <cell r="B1535" t="str">
            <v>LAM J.D.F.</v>
          </cell>
        </row>
        <row r="1536">
          <cell r="A1536">
            <v>958</v>
          </cell>
          <cell r="B1536" t="str">
            <v>BHOMICK SUBIR</v>
          </cell>
        </row>
        <row r="1537">
          <cell r="A1537">
            <v>1133</v>
          </cell>
          <cell r="B1537" t="str">
            <v>KULKARNI ASHOK D.</v>
          </cell>
        </row>
        <row r="1538">
          <cell r="A1538">
            <v>1156</v>
          </cell>
          <cell r="B1538" t="str">
            <v>NAZARETH JOSEPH SAVIO</v>
          </cell>
        </row>
        <row r="1539">
          <cell r="A1539">
            <v>1371</v>
          </cell>
          <cell r="B1539" t="str">
            <v>PAHLAJANI ASHA</v>
          </cell>
        </row>
        <row r="1540">
          <cell r="A1540">
            <v>1382</v>
          </cell>
          <cell r="B1540" t="str">
            <v>MENEZES ALEX VINCENT</v>
          </cell>
        </row>
        <row r="1541">
          <cell r="A1541">
            <v>1391</v>
          </cell>
          <cell r="B1541" t="str">
            <v>ARORA SATISH</v>
          </cell>
        </row>
        <row r="1542">
          <cell r="A1542">
            <v>1724</v>
          </cell>
          <cell r="B1542" t="str">
            <v>SHARMA ASHOK</v>
          </cell>
        </row>
        <row r="1543">
          <cell r="A1543">
            <v>1763</v>
          </cell>
          <cell r="B1543" t="str">
            <v>FERNANDES IDALINE F</v>
          </cell>
        </row>
        <row r="1544">
          <cell r="A1544">
            <v>1792</v>
          </cell>
          <cell r="B1544" t="str">
            <v>DEODHAR K.D.</v>
          </cell>
        </row>
        <row r="1545">
          <cell r="A1545">
            <v>1827</v>
          </cell>
          <cell r="B1545" t="str">
            <v>BATLIWALA SHIRIN</v>
          </cell>
        </row>
        <row r="1546">
          <cell r="A1546">
            <v>1975</v>
          </cell>
          <cell r="B1546" t="str">
            <v>PATEL MANECK</v>
          </cell>
        </row>
        <row r="1547">
          <cell r="A1547">
            <v>2138</v>
          </cell>
          <cell r="B1547" t="str">
            <v>BHATHENA RUMI J</v>
          </cell>
        </row>
        <row r="1548">
          <cell r="A1548">
            <v>2150</v>
          </cell>
          <cell r="B1548" t="str">
            <v>PETIGARA SHEROO F</v>
          </cell>
        </row>
        <row r="1549">
          <cell r="A1549">
            <v>2164</v>
          </cell>
          <cell r="B1549" t="str">
            <v>DEGAMWALA FREDDY PHIROZ</v>
          </cell>
        </row>
        <row r="1550">
          <cell r="A1550">
            <v>2182</v>
          </cell>
          <cell r="B1550" t="str">
            <v>IRANPOUR NOWZER M</v>
          </cell>
        </row>
        <row r="1551">
          <cell r="A1551">
            <v>2535</v>
          </cell>
          <cell r="B1551" t="str">
            <v>JASHNANI HEMI JERAMDAS</v>
          </cell>
        </row>
        <row r="1552">
          <cell r="A1552">
            <v>2585</v>
          </cell>
          <cell r="B1552" t="str">
            <v>KAPADIA ABAN N</v>
          </cell>
        </row>
        <row r="1553">
          <cell r="A1553">
            <v>2608</v>
          </cell>
          <cell r="B1553" t="str">
            <v>GUJRAL RAJIV</v>
          </cell>
        </row>
        <row r="1554">
          <cell r="A1554">
            <v>2646</v>
          </cell>
          <cell r="B1554" t="str">
            <v>RUPA ABAN DARA</v>
          </cell>
        </row>
        <row r="1555">
          <cell r="A1555">
            <v>2922</v>
          </cell>
          <cell r="B1555" t="str">
            <v>OBEROI HEMANT</v>
          </cell>
        </row>
        <row r="1556">
          <cell r="A1556">
            <v>3067</v>
          </cell>
          <cell r="B1556" t="str">
            <v>MORRIS PERSIS FIROZ</v>
          </cell>
        </row>
        <row r="1557">
          <cell r="A1557">
            <v>3069</v>
          </cell>
          <cell r="B1557" t="str">
            <v>LOBO JANE</v>
          </cell>
        </row>
        <row r="1558">
          <cell r="A1558">
            <v>3200</v>
          </cell>
          <cell r="B1558" t="str">
            <v>RODDA V S</v>
          </cell>
        </row>
        <row r="1559">
          <cell r="A1559">
            <v>3364</v>
          </cell>
          <cell r="B1559" t="str">
            <v>FERNANDES MARGARET</v>
          </cell>
        </row>
        <row r="1560">
          <cell r="A1560">
            <v>3400</v>
          </cell>
          <cell r="B1560" t="str">
            <v>LONKAR ARUN</v>
          </cell>
        </row>
        <row r="1561">
          <cell r="A1561">
            <v>3415</v>
          </cell>
          <cell r="B1561" t="str">
            <v>GHADIALI ZOHER</v>
          </cell>
        </row>
        <row r="1562">
          <cell r="A1562">
            <v>3423</v>
          </cell>
          <cell r="B1562" t="str">
            <v>KULKARNI KISHOR KESHAV</v>
          </cell>
        </row>
        <row r="1563">
          <cell r="A1563">
            <v>3568</v>
          </cell>
          <cell r="B1563" t="str">
            <v>D'SOUZA ROBERT</v>
          </cell>
        </row>
        <row r="1564">
          <cell r="A1564">
            <v>3775</v>
          </cell>
          <cell r="B1564" t="str">
            <v>RANADE VIJAY</v>
          </cell>
        </row>
        <row r="1565">
          <cell r="A1565">
            <v>3788</v>
          </cell>
          <cell r="B1565" t="str">
            <v>SANTOS JAUNITA</v>
          </cell>
        </row>
        <row r="1566">
          <cell r="A1566">
            <v>3815</v>
          </cell>
          <cell r="B1566" t="str">
            <v>MASIWAL BHANSIDHAR</v>
          </cell>
        </row>
        <row r="1567">
          <cell r="A1567">
            <v>4022</v>
          </cell>
          <cell r="B1567" t="str">
            <v>NIMKAR ALKA P</v>
          </cell>
        </row>
        <row r="1568">
          <cell r="A1568">
            <v>4623</v>
          </cell>
          <cell r="B1568" t="str">
            <v>BAXI VINAY J</v>
          </cell>
        </row>
        <row r="1569">
          <cell r="A1569">
            <v>4894</v>
          </cell>
          <cell r="B1569" t="str">
            <v>GIMI FEROZE J</v>
          </cell>
        </row>
        <row r="1570">
          <cell r="A1570">
            <v>4951</v>
          </cell>
          <cell r="B1570" t="str">
            <v>IYER RAMCHANDRAN S</v>
          </cell>
        </row>
        <row r="1571">
          <cell r="A1571">
            <v>5075</v>
          </cell>
          <cell r="B1571" t="str">
            <v>TANEJA SUNIL</v>
          </cell>
        </row>
        <row r="1572">
          <cell r="A1572">
            <v>5077</v>
          </cell>
          <cell r="B1572" t="str">
            <v>PEREIRA MERLYN RUBY</v>
          </cell>
        </row>
        <row r="1573">
          <cell r="A1573">
            <v>5115</v>
          </cell>
          <cell r="B1573" t="str">
            <v>DESAI MANOJ</v>
          </cell>
        </row>
        <row r="1574">
          <cell r="A1574">
            <v>5257</v>
          </cell>
          <cell r="B1574" t="str">
            <v>MISHRA AJOY</v>
          </cell>
        </row>
        <row r="1575">
          <cell r="A1575">
            <v>5290</v>
          </cell>
          <cell r="B1575" t="str">
            <v>SUKUMAR FELIX SURESH</v>
          </cell>
        </row>
        <row r="1576">
          <cell r="A1576">
            <v>5427</v>
          </cell>
          <cell r="B1576" t="str">
            <v>MATCHESWALA ASHRAFI A</v>
          </cell>
        </row>
        <row r="1577">
          <cell r="A1577">
            <v>5764</v>
          </cell>
          <cell r="B1577" t="str">
            <v>WAGLE KIRAN G</v>
          </cell>
        </row>
        <row r="1578">
          <cell r="A1578">
            <v>5868</v>
          </cell>
          <cell r="B1578" t="str">
            <v>SHIRKE AVINASH</v>
          </cell>
        </row>
        <row r="1579">
          <cell r="A1579">
            <v>5877</v>
          </cell>
          <cell r="B1579" t="str">
            <v>RATHORE MAHAVIR SINGH</v>
          </cell>
        </row>
        <row r="1580">
          <cell r="A1580">
            <v>5960</v>
          </cell>
          <cell r="B1580" t="str">
            <v>SUBEDAR DILSHAD</v>
          </cell>
        </row>
        <row r="1581">
          <cell r="A1581">
            <v>6279</v>
          </cell>
          <cell r="B1581" t="str">
            <v>PATEL GEV N</v>
          </cell>
        </row>
        <row r="1582">
          <cell r="A1582">
            <v>6462</v>
          </cell>
          <cell r="B1582" t="str">
            <v>KARMALKAR ANAND J</v>
          </cell>
        </row>
        <row r="1583">
          <cell r="A1583">
            <v>6477</v>
          </cell>
          <cell r="B1583" t="str">
            <v>VAIDYA VIDYADHAR SITARAM</v>
          </cell>
        </row>
        <row r="1584">
          <cell r="A1584">
            <v>6533</v>
          </cell>
          <cell r="B1584" t="str">
            <v>SHRINIVAS H.N.</v>
          </cell>
        </row>
        <row r="1585">
          <cell r="A1585">
            <v>6717</v>
          </cell>
          <cell r="B1585" t="str">
            <v>PEREIRA MATILDA</v>
          </cell>
        </row>
        <row r="1586">
          <cell r="A1586">
            <v>6747</v>
          </cell>
          <cell r="B1586" t="str">
            <v>SAWANT SUBHASH K</v>
          </cell>
        </row>
        <row r="1587">
          <cell r="A1587">
            <v>6831</v>
          </cell>
          <cell r="B1587" t="str">
            <v>SHIVDAS THALACHALLUR</v>
          </cell>
        </row>
        <row r="1588">
          <cell r="A1588">
            <v>6844</v>
          </cell>
          <cell r="B1588" t="str">
            <v>FERNANDES CLYDE MARIO</v>
          </cell>
        </row>
        <row r="1589">
          <cell r="A1589">
            <v>6926</v>
          </cell>
          <cell r="B1589" t="str">
            <v>NAIR SHEILA</v>
          </cell>
        </row>
        <row r="1590">
          <cell r="A1590">
            <v>7029</v>
          </cell>
          <cell r="B1590" t="str">
            <v>CARDOZO BRIDGET</v>
          </cell>
        </row>
        <row r="1591">
          <cell r="A1591">
            <v>7264</v>
          </cell>
          <cell r="B1591" t="str">
            <v>DAVE HEMANT</v>
          </cell>
        </row>
        <row r="1592">
          <cell r="A1592">
            <v>7493</v>
          </cell>
          <cell r="B1592" t="str">
            <v>KARKARIA KARIMAN E</v>
          </cell>
        </row>
        <row r="1593">
          <cell r="A1593">
            <v>7664</v>
          </cell>
          <cell r="B1593" t="str">
            <v>MENON K MOHANCHANDRAN</v>
          </cell>
        </row>
        <row r="1594">
          <cell r="A1594">
            <v>7678</v>
          </cell>
          <cell r="B1594" t="str">
            <v>BHARADWAJ SAMIR</v>
          </cell>
        </row>
        <row r="1595">
          <cell r="A1595">
            <v>7692</v>
          </cell>
          <cell r="B1595" t="str">
            <v>SURTI KASHMIRA M</v>
          </cell>
        </row>
        <row r="1596">
          <cell r="A1596">
            <v>7735</v>
          </cell>
          <cell r="B1596" t="str">
            <v>VESAVEWALA RUSTOM</v>
          </cell>
        </row>
        <row r="1597">
          <cell r="A1597">
            <v>7736</v>
          </cell>
          <cell r="B1597" t="str">
            <v>JAMWAL R S</v>
          </cell>
        </row>
        <row r="1598">
          <cell r="A1598">
            <v>7844</v>
          </cell>
          <cell r="B1598" t="str">
            <v>D'SOUZA VIDA J</v>
          </cell>
        </row>
        <row r="1599">
          <cell r="A1599">
            <v>7965</v>
          </cell>
          <cell r="B1599" t="str">
            <v>SRINIVASAN KASI S</v>
          </cell>
        </row>
        <row r="1600">
          <cell r="A1600">
            <v>8473</v>
          </cell>
          <cell r="B1600" t="str">
            <v>JOSHI AMISHA RAMESH</v>
          </cell>
        </row>
        <row r="1601">
          <cell r="A1601">
            <v>8925</v>
          </cell>
          <cell r="B1601" t="str">
            <v>SESHADRI SHILPA</v>
          </cell>
        </row>
        <row r="1602">
          <cell r="A1602">
            <v>9040</v>
          </cell>
          <cell r="B1602" t="str">
            <v>JAGTIANI SHIRIN</v>
          </cell>
        </row>
        <row r="1603">
          <cell r="A1603">
            <v>9308</v>
          </cell>
          <cell r="B1603" t="str">
            <v>JAIN SULAKSHANA S</v>
          </cell>
        </row>
        <row r="1604">
          <cell r="A1604">
            <v>9558</v>
          </cell>
          <cell r="B1604" t="str">
            <v>NARANG JYOTI</v>
          </cell>
        </row>
        <row r="1605">
          <cell r="A1605">
            <v>9629</v>
          </cell>
          <cell r="B1605" t="str">
            <v>HIRAMANEK KAYZAD P</v>
          </cell>
        </row>
        <row r="1606">
          <cell r="A1606">
            <v>9707</v>
          </cell>
          <cell r="B1606" t="str">
            <v>NORONHA JOYCE BARBARA</v>
          </cell>
        </row>
        <row r="1607">
          <cell r="A1607">
            <v>9783</v>
          </cell>
          <cell r="B1607" t="str">
            <v>SHARMA RAKESH KUMAR</v>
          </cell>
        </row>
        <row r="1608">
          <cell r="A1608">
            <v>9850</v>
          </cell>
          <cell r="B1608" t="str">
            <v>NARIMAN B.D.</v>
          </cell>
        </row>
        <row r="1609">
          <cell r="A1609">
            <v>9851</v>
          </cell>
          <cell r="B1609" t="str">
            <v>KUMAR SIMI DALIP</v>
          </cell>
        </row>
        <row r="1610">
          <cell r="A1610">
            <v>9852</v>
          </cell>
          <cell r="B1610" t="str">
            <v>DUBEY RAVI</v>
          </cell>
        </row>
        <row r="1611">
          <cell r="A1611">
            <v>9957</v>
          </cell>
          <cell r="B1611" t="str">
            <v>VIJAYAN MANOJ KUMAR N</v>
          </cell>
        </row>
        <row r="1612">
          <cell r="A1612">
            <v>10041</v>
          </cell>
          <cell r="B1612" t="str">
            <v>PUJARA SONAL HARISH</v>
          </cell>
        </row>
        <row r="1613">
          <cell r="A1613">
            <v>10044</v>
          </cell>
          <cell r="B1613" t="str">
            <v>YADAV RAJENDRA PRASAD</v>
          </cell>
        </row>
        <row r="1614">
          <cell r="A1614">
            <v>10053</v>
          </cell>
          <cell r="B1614" t="str">
            <v>DUBASH ZUBIN</v>
          </cell>
        </row>
        <row r="1615">
          <cell r="A1615">
            <v>10054</v>
          </cell>
          <cell r="B1615" t="str">
            <v>RESHAMWALA KUNAL MANSHI</v>
          </cell>
        </row>
        <row r="1616">
          <cell r="A1616">
            <v>10064</v>
          </cell>
          <cell r="B1616" t="str">
            <v>BHANOT SHEETAL UPENDRA</v>
          </cell>
        </row>
        <row r="1617">
          <cell r="A1617">
            <v>10065</v>
          </cell>
          <cell r="B1617" t="str">
            <v>MARTYRIS BERNARD</v>
          </cell>
        </row>
        <row r="1618">
          <cell r="A1618">
            <v>10066</v>
          </cell>
          <cell r="B1618" t="str">
            <v>BASU RENU</v>
          </cell>
        </row>
        <row r="1619">
          <cell r="A1619">
            <v>10068</v>
          </cell>
          <cell r="B1619" t="str">
            <v>RANA FIRDAUS BYRAM</v>
          </cell>
        </row>
        <row r="1620">
          <cell r="A1620">
            <v>10071</v>
          </cell>
          <cell r="B1620" t="str">
            <v>MITRA AVIJIT</v>
          </cell>
        </row>
        <row r="1621">
          <cell r="A1621">
            <v>10073</v>
          </cell>
          <cell r="B1621" t="str">
            <v>BRAGANZA MELROY SAVIO</v>
          </cell>
        </row>
        <row r="1622">
          <cell r="A1622">
            <v>10097</v>
          </cell>
          <cell r="B1622" t="str">
            <v>MAHALINGAM SHIVKUMAR</v>
          </cell>
        </row>
        <row r="1623">
          <cell r="A1623">
            <v>10098</v>
          </cell>
          <cell r="B1623" t="str">
            <v>BAKSHI RADHIKA</v>
          </cell>
        </row>
        <row r="1624">
          <cell r="A1624">
            <v>10099</v>
          </cell>
          <cell r="B1624" t="str">
            <v>KUNJUR SANDHYA</v>
          </cell>
        </row>
        <row r="1625">
          <cell r="A1625">
            <v>10106</v>
          </cell>
          <cell r="B1625" t="str">
            <v>GUHA SUMIT</v>
          </cell>
        </row>
        <row r="1626">
          <cell r="A1626">
            <v>10153</v>
          </cell>
          <cell r="B1626" t="str">
            <v>CHANDRASEKHAR NAGARAJAN</v>
          </cell>
        </row>
        <row r="1627">
          <cell r="A1627">
            <v>10203</v>
          </cell>
          <cell r="B1627" t="str">
            <v>NADKARNI RAVI</v>
          </cell>
        </row>
        <row r="1628">
          <cell r="A1628">
            <v>10211</v>
          </cell>
          <cell r="B1628" t="str">
            <v>MARU NIYANT</v>
          </cell>
        </row>
        <row r="1629">
          <cell r="A1629">
            <v>10213</v>
          </cell>
          <cell r="B1629" t="str">
            <v>NARAIN UDAY</v>
          </cell>
        </row>
        <row r="1630">
          <cell r="A1630">
            <v>10250</v>
          </cell>
          <cell r="B1630" t="str">
            <v>BILLIMORIA ZENOBIA K</v>
          </cell>
        </row>
        <row r="1631">
          <cell r="A1631">
            <v>10254</v>
          </cell>
          <cell r="B1631" t="str">
            <v>RAO PRADIP M</v>
          </cell>
        </row>
        <row r="1632">
          <cell r="A1632">
            <v>10258</v>
          </cell>
          <cell r="B1632" t="str">
            <v>SEN SIVASIS S</v>
          </cell>
        </row>
        <row r="1633">
          <cell r="A1633">
            <v>10259</v>
          </cell>
          <cell r="B1633" t="str">
            <v>MAHAJAN PRITI</v>
          </cell>
        </row>
        <row r="1634">
          <cell r="A1634">
            <v>10274</v>
          </cell>
          <cell r="B1634" t="str">
            <v>KHATIB SAROSH M</v>
          </cell>
        </row>
        <row r="1635">
          <cell r="A1635">
            <v>10276</v>
          </cell>
          <cell r="B1635" t="str">
            <v>KHULLAR DEEPAK</v>
          </cell>
        </row>
        <row r="1636">
          <cell r="A1636">
            <v>10286</v>
          </cell>
          <cell r="B1636" t="str">
            <v>LAKHMANA MONICA</v>
          </cell>
        </row>
        <row r="1637">
          <cell r="A1637">
            <v>10287</v>
          </cell>
          <cell r="B1637" t="str">
            <v>JAUHAR AJOY</v>
          </cell>
        </row>
        <row r="1638">
          <cell r="A1638">
            <v>10292</v>
          </cell>
          <cell r="B1638" t="str">
            <v>KUMAR VIJAYA</v>
          </cell>
        </row>
        <row r="1639">
          <cell r="A1639">
            <v>10293</v>
          </cell>
          <cell r="B1639" t="str">
            <v>AVASTHI ALOK</v>
          </cell>
        </row>
        <row r="1640">
          <cell r="A1640">
            <v>10308</v>
          </cell>
          <cell r="B1640" t="str">
            <v>BHATTACHARJEE ARIJIT</v>
          </cell>
        </row>
        <row r="1641">
          <cell r="A1641">
            <v>10314</v>
          </cell>
          <cell r="B1641" t="str">
            <v>SIGANPORIA KHUSHRU D</v>
          </cell>
        </row>
        <row r="1642">
          <cell r="A1642">
            <v>10316</v>
          </cell>
          <cell r="B1642" t="str">
            <v>COMISARIAT ROHINTON</v>
          </cell>
        </row>
        <row r="1643">
          <cell r="A1643">
            <v>10332</v>
          </cell>
          <cell r="B1643" t="str">
            <v>BAKSHI SUMAN</v>
          </cell>
        </row>
        <row r="1644">
          <cell r="A1644">
            <v>10343</v>
          </cell>
          <cell r="B1644" t="str">
            <v>SHERMAN BRINDA</v>
          </cell>
        </row>
        <row r="1645">
          <cell r="A1645">
            <v>10351</v>
          </cell>
          <cell r="B1645" t="str">
            <v>GULERIA YOGINDER SINGH</v>
          </cell>
        </row>
        <row r="1646">
          <cell r="A1646">
            <v>10391</v>
          </cell>
          <cell r="B1646" t="str">
            <v>MOHANCHANDRAN SEEMA G</v>
          </cell>
        </row>
        <row r="1647">
          <cell r="A1647">
            <v>10407</v>
          </cell>
          <cell r="B1647" t="str">
            <v>PACHINE PRATEEK</v>
          </cell>
        </row>
        <row r="1648">
          <cell r="A1648">
            <v>10412</v>
          </cell>
          <cell r="B1648" t="str">
            <v>KOTWAL ARNAZ HOMI</v>
          </cell>
        </row>
        <row r="1649">
          <cell r="A1649">
            <v>10434</v>
          </cell>
          <cell r="B1649" t="str">
            <v>FERNANDES ANIL JUDE A</v>
          </cell>
        </row>
        <row r="1650">
          <cell r="A1650">
            <v>10484</v>
          </cell>
          <cell r="B1650" t="str">
            <v>DRIVER KHUSHROO KEKI</v>
          </cell>
        </row>
        <row r="1651">
          <cell r="A1651">
            <v>10496</v>
          </cell>
          <cell r="B1651" t="str">
            <v>NEWAR RAJEEV</v>
          </cell>
        </row>
        <row r="1652">
          <cell r="A1652">
            <v>10499</v>
          </cell>
          <cell r="B1652" t="str">
            <v>LALLA ASHOK</v>
          </cell>
        </row>
        <row r="1653">
          <cell r="A1653">
            <v>10541</v>
          </cell>
          <cell r="B1653" t="str">
            <v>BHATTACHARYA SUBHANKAR</v>
          </cell>
        </row>
        <row r="1654">
          <cell r="A1654">
            <v>10551</v>
          </cell>
          <cell r="B1654" t="str">
            <v>BHESANIA KRYSTIL PAIS</v>
          </cell>
        </row>
        <row r="1655">
          <cell r="A1655">
            <v>10560</v>
          </cell>
          <cell r="B1655" t="str">
            <v>DABOO JAMSHED</v>
          </cell>
        </row>
        <row r="1656">
          <cell r="A1656">
            <v>10582</v>
          </cell>
          <cell r="B1656" t="str">
            <v>KRISHNAKUMAR LAKSHMANAN</v>
          </cell>
        </row>
        <row r="1657">
          <cell r="A1657">
            <v>10583</v>
          </cell>
          <cell r="B1657" t="str">
            <v>HARRIS DEEPA MISRA</v>
          </cell>
        </row>
        <row r="1658">
          <cell r="A1658">
            <v>10594</v>
          </cell>
          <cell r="B1658" t="str">
            <v>DEO AMARNATH</v>
          </cell>
        </row>
        <row r="1659">
          <cell r="A1659">
            <v>10611</v>
          </cell>
          <cell r="B1659" t="str">
            <v>TEJKUMAR SUJATA</v>
          </cell>
        </row>
        <row r="1660">
          <cell r="A1660">
            <v>10618</v>
          </cell>
          <cell r="B1660" t="str">
            <v>AYYAPAN VASANT</v>
          </cell>
        </row>
        <row r="1661">
          <cell r="A1661">
            <v>10622</v>
          </cell>
          <cell r="B1661" t="str">
            <v>VOHRA DIVYESH SATYENDRA</v>
          </cell>
        </row>
        <row r="1662">
          <cell r="A1662">
            <v>10668</v>
          </cell>
          <cell r="B1662" t="str">
            <v>FAROOQI ZAID</v>
          </cell>
        </row>
        <row r="1663">
          <cell r="A1663">
            <v>10687</v>
          </cell>
          <cell r="B1663" t="str">
            <v>HOSKOTE PRASHANT YOGESH</v>
          </cell>
        </row>
        <row r="1664">
          <cell r="A1664">
            <v>10695</v>
          </cell>
          <cell r="B1664" t="str">
            <v>PUSHKAR SUMIT ZAVERI</v>
          </cell>
        </row>
        <row r="1665">
          <cell r="A1665">
            <v>10712</v>
          </cell>
          <cell r="B1665" t="str">
            <v>PAREKH RAJESHKUMAR H</v>
          </cell>
        </row>
        <row r="1666">
          <cell r="A1666">
            <v>10713</v>
          </cell>
          <cell r="B1666" t="str">
            <v>HABIBULLA AMAR</v>
          </cell>
        </row>
        <row r="1667">
          <cell r="A1667">
            <v>10741</v>
          </cell>
          <cell r="B1667" t="str">
            <v>HIMANSHU SIRAJ</v>
          </cell>
        </row>
        <row r="1668">
          <cell r="A1668">
            <v>10743</v>
          </cell>
          <cell r="B1668" t="str">
            <v>DUTTA DIBYENDU</v>
          </cell>
        </row>
        <row r="1669">
          <cell r="A1669">
            <v>10747</v>
          </cell>
          <cell r="B1669" t="str">
            <v>SINGH BIPIN</v>
          </cell>
        </row>
        <row r="1670">
          <cell r="A1670">
            <v>10751</v>
          </cell>
          <cell r="B1670" t="str">
            <v>POWALE PRAKASH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B"/>
      <sheetName val="Kitchen"/>
      <sheetName val="Housek"/>
      <sheetName val="Maint"/>
      <sheetName val="#REF"/>
      <sheetName val="apgoelmisformat"/>
      <sheetName val="Assume"/>
      <sheetName val="Time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ower Capex"/>
      <sheetName val="Outside boundary wall"/>
      <sheetName val="township"/>
      <sheetName val="infirm power"/>
      <sheetName val="Start up fuel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&amp;B"/>
      <sheetName val="#REF"/>
      <sheetName val="Maint"/>
      <sheetName val="Housek"/>
      <sheetName val="CSD2_R264T"/>
      <sheetName val="ADAMYA FINAL SHEET"/>
      <sheetName val="Plan"/>
      <sheetName val="SORTING_DATA"/>
    </sheetNames>
    <sheetDataSet>
      <sheetData sheetId="0" refreshError="1">
        <row r="1">
          <cell r="A1" t="str">
            <v>item_no</v>
          </cell>
          <cell r="B1" t="str">
            <v>variant_no</v>
          </cell>
          <cell r="C1" t="str">
            <v>lot_no</v>
          </cell>
          <cell r="D1" t="str">
            <v>LOT_WT</v>
          </cell>
          <cell r="E1" t="str">
            <v>DEF_WT</v>
          </cell>
          <cell r="F1" t="str">
            <v>BIN_NO</v>
          </cell>
          <cell r="G1" t="str">
            <v>attribute_no</v>
          </cell>
          <cell r="H1" t="str">
            <v>grade</v>
          </cell>
          <cell r="I1" t="str">
            <v>DATE</v>
          </cell>
          <cell r="J1" t="str">
            <v>flag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D3"/>
      <sheetName val="CSD2"/>
      <sheetName val="CSD1"/>
      <sheetName val="Data"/>
    </sheetNames>
    <sheetDataSet>
      <sheetData sheetId="0" refreshError="1">
        <row r="1">
          <cell r="C1" t="str">
            <v>DOM</v>
          </cell>
          <cell r="D1" t="str">
            <v>EXP(nspm)</v>
          </cell>
          <cell r="E1" t="str">
            <v>exp(spm)</v>
          </cell>
          <cell r="F1" t="str">
            <v>OEM(NWG)</v>
          </cell>
          <cell r="G1" t="str">
            <v>OEM(WG)</v>
          </cell>
        </row>
        <row r="2">
          <cell r="C2">
            <v>0.92</v>
          </cell>
          <cell r="D2">
            <v>0.95</v>
          </cell>
          <cell r="E2">
            <v>0.85</v>
          </cell>
          <cell r="F2">
            <v>0.92</v>
          </cell>
          <cell r="G2">
            <v>0.75</v>
          </cell>
        </row>
      </sheetData>
      <sheetData sheetId="1" refreshError="1">
        <row r="1">
          <cell r="C1" t="str">
            <v>DOM</v>
          </cell>
          <cell r="D1" t="str">
            <v>EXP(hard)</v>
          </cell>
        </row>
        <row r="2">
          <cell r="C2">
            <v>0.95099999999999996</v>
          </cell>
          <cell r="D2">
            <v>0.97250000000000003</v>
          </cell>
        </row>
      </sheetData>
      <sheetData sheetId="2" refreshError="1">
        <row r="1">
          <cell r="C1" t="str">
            <v>DOM</v>
          </cell>
          <cell r="D1" t="str">
            <v>EXP</v>
          </cell>
        </row>
        <row r="2">
          <cell r="C2">
            <v>0.93300000000000005</v>
          </cell>
          <cell r="D2">
            <v>0.97650000000000003</v>
          </cell>
        </row>
      </sheetData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  <sheetName val="CSD1"/>
      <sheetName val="CSD2"/>
      <sheetName val="CSD3"/>
      <sheetName val="Sensitive Analysis"/>
    </sheetNames>
    <sheetDataSet>
      <sheetData sheetId="0" refreshError="1"/>
      <sheetData sheetId="1" refreshError="1"/>
      <sheetData sheetId="2" refreshError="1">
        <row r="39">
          <cell r="D39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Coal Sourcing &amp; Logistics"/>
      <sheetName val="Summa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JISCO"/>
      <sheetName val="Summary-JVSL"/>
      <sheetName val="FX"/>
      <sheetName val="P&amp;L-marginal"/>
      <sheetName val="P&amp;L-ind"/>
      <sheetName val="Cashflow-format"/>
      <sheetName val="P&amp;Lmerged"/>
      <sheetName val="Ratio-S&amp;P"/>
      <sheetName val="Ratio-Moody's"/>
      <sheetName val="Cashflow"/>
      <sheetName val="Cashflow-JVSL"/>
      <sheetName val="Cashflow-JISCO"/>
      <sheetName val="Balancesheet"/>
      <sheetName val="Assumptions"/>
      <sheetName val="Sensitivity"/>
      <sheetName val="Prices"/>
      <sheetName val="Sheet1"/>
      <sheetName val="Benchmarks"/>
      <sheetName val="credit memo"/>
      <sheetName val="Sheet2"/>
      <sheetName val="COP"/>
      <sheetName val="expansion"/>
      <sheetName val="wcap"/>
      <sheetName val="Loans"/>
      <sheetName val="FX Loan-details"/>
      <sheetName val="Merged-op-bs"/>
      <sheetName val="Depreciation"/>
      <sheetName val="Tax-WDV"/>
      <sheetName val="PP assumptions"/>
      <sheetName val="PP Sales volume"/>
      <sheetName val="PP exchange rates"/>
      <sheetName val="PP other costs"/>
      <sheetName val="PP selling prices"/>
      <sheetName val="PP raw material"/>
      <sheetName val="PP Inc stmt"/>
      <sheetName val="PP BS"/>
      <sheetName val="PP CF"/>
      <sheetName val="DCFValuation"/>
      <sheetName val="DCF"/>
      <sheetName val="WACC"/>
      <sheetName val="Invoice"/>
      <sheetName val="CSD1"/>
      <sheetName val="CSD2"/>
      <sheetName val="CSD3"/>
      <sheetName val="FRMT"/>
      <sheetName val="FINAL-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7">
          <cell r="C7" t="str">
            <v>Step 1: Enter valuation date:</v>
          </cell>
        </row>
        <row r="35">
          <cell r="X35" t="str">
            <v/>
          </cell>
        </row>
        <row r="36">
          <cell r="C36" t="str">
            <v>Valuation as of</v>
          </cell>
        </row>
        <row r="38">
          <cell r="N38">
            <v>1</v>
          </cell>
          <cell r="AH38" t="str">
            <v>Terminal</v>
          </cell>
        </row>
        <row r="39">
          <cell r="AH39" t="str">
            <v>period</v>
          </cell>
        </row>
        <row r="41">
          <cell r="AH41">
            <v>79380.879142464677</v>
          </cell>
        </row>
        <row r="42">
          <cell r="AH42">
            <v>0.02</v>
          </cell>
        </row>
        <row r="43">
          <cell r="AH43">
            <v>26333.142923224623</v>
          </cell>
        </row>
        <row r="44">
          <cell r="AH44">
            <v>0.33173156064402604</v>
          </cell>
        </row>
        <row r="45">
          <cell r="AH45">
            <v>27933.142923224623</v>
          </cell>
        </row>
        <row r="46">
          <cell r="AH46">
            <v>9448.3316808529944</v>
          </cell>
        </row>
        <row r="47">
          <cell r="AH47">
            <v>0.35880000000000001</v>
          </cell>
        </row>
        <row r="48">
          <cell r="AH48">
            <v>16884.81124237163</v>
          </cell>
        </row>
        <row r="50">
          <cell r="AH50">
            <v>1600</v>
          </cell>
        </row>
        <row r="51">
          <cell r="AH51">
            <v>0</v>
          </cell>
        </row>
        <row r="52">
          <cell r="AH52">
            <v>0</v>
          </cell>
        </row>
        <row r="53">
          <cell r="AH53">
            <v>6.9773697975288087</v>
          </cell>
        </row>
        <row r="54">
          <cell r="AH54">
            <v>0</v>
          </cell>
        </row>
        <row r="55">
          <cell r="AH55">
            <v>-931.15812782492094</v>
          </cell>
        </row>
        <row r="56">
          <cell r="AH56">
            <v>-1600</v>
          </cell>
        </row>
        <row r="57">
          <cell r="AH57">
            <v>0</v>
          </cell>
        </row>
        <row r="58">
          <cell r="AH58">
            <v>15960.630484344238</v>
          </cell>
        </row>
        <row r="63">
          <cell r="AH63">
            <v>-0.15264210473955142</v>
          </cell>
        </row>
        <row r="64">
          <cell r="AH64">
            <v>1</v>
          </cell>
        </row>
        <row r="65">
          <cell r="AH65">
            <v>1.173025718389656E-2</v>
          </cell>
        </row>
        <row r="66">
          <cell r="AH66">
            <v>9.4759720854022705E-2</v>
          </cell>
        </row>
        <row r="67">
          <cell r="AH67">
            <v>5.4734444155834269E-2</v>
          </cell>
        </row>
        <row r="68">
          <cell r="AH68" t="str">
            <v xml:space="preserve">na  </v>
          </cell>
        </row>
        <row r="139">
          <cell r="M139">
            <v>2</v>
          </cell>
        </row>
        <row r="140">
          <cell r="C140" t="str">
            <v>0.25%</v>
          </cell>
        </row>
      </sheetData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ssumption"/>
      <sheetName val="Financials"/>
      <sheetName val="Per Unit"/>
      <sheetName val="Performance Indicators"/>
      <sheetName val="Form I"/>
      <sheetName val="Form II"/>
      <sheetName val="Form III"/>
      <sheetName val="Form IV"/>
      <sheetName val="Form V"/>
      <sheetName val="Gent &amp; Sales"/>
      <sheetName val="Fuel Cost"/>
      <sheetName val="WC"/>
      <sheetName val="Investments"/>
      <sheetName val="Plant&amp;Mach"/>
      <sheetName val="Term Loan"/>
      <sheetName val="Othr Income"/>
      <sheetName val="PY Audited"/>
      <sheetName val="API4"/>
      <sheetName val="LIB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Scenarios"/>
      <sheetName val="Assumptions"/>
      <sheetName val="Coal Assum"/>
      <sheetName val="Generation &amp; Fuel"/>
      <sheetName val="MSEDCL"/>
      <sheetName val="MSEDCL-Tariff"/>
      <sheetName val="DNH"/>
      <sheetName val="Contract3"/>
      <sheetName val="Merchant"/>
      <sheetName val="O&amp;M_WC"/>
      <sheetName val="Dep_tax"/>
      <sheetName val="Loan Sch"/>
      <sheetName val="Sheet1"/>
      <sheetName val="IS"/>
      <sheetName val="CF"/>
      <sheetName val="BS"/>
      <sheetName val="Charts"/>
      <sheetName val="CE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JNR P&amp;L"/>
      <sheetName val="BS"/>
      <sheetName val="P&amp;L"/>
      <sheetName val="CFS"/>
      <sheetName val="SBU BS"/>
      <sheetName val="SBU P&amp;L"/>
      <sheetName val="SBU CFS"/>
      <sheetName val="Assumption"/>
      <sheetName val="P&amp;L Schedule"/>
      <sheetName val="Capex 660MW"/>
      <sheetName val="Pre-Operative Expense"/>
      <sheetName val="SBU1+CPP1&amp;2"/>
      <sheetName val="SBU2&amp;CPP3"/>
      <sheetName val="CPP VJNR"/>
      <sheetName val="CPP1"/>
      <sheetName val="CPP2"/>
      <sheetName val="CPP3"/>
      <sheetName val="SBU-1det"/>
      <sheetName val="SBU-2det"/>
      <sheetName val="PMC"/>
      <sheetName val="Corporate Expenses"/>
      <sheetName val="CPPIdet"/>
      <sheetName val="CPPIIdet"/>
      <sheetName val="CPPIIIdet"/>
      <sheetName val="Admin VJNR"/>
      <sheetName val="RWPL O&amp;M"/>
      <sheetName val="capex"/>
      <sheetName val="Depn"/>
      <sheetName val="Sale of power"/>
      <sheetName val="SBU 1 CC wise"/>
      <sheetName val="SBU 2 CC Wise"/>
      <sheetName val="Interest"/>
      <sheetName val="fin charge"/>
      <sheetName val="Other Income"/>
      <sheetName val="GL &amp; Segment wise"/>
      <sheetName val="Summary"/>
      <sheetName val="Data Sum"/>
      <sheetName val="Data"/>
      <sheetName val="Int FD"/>
      <sheetName val="JSWECE"/>
      <sheetName val="F&amp;A"/>
      <sheetName val="GROU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id exp"/>
      <sheetName val="prepaid insurance"/>
      <sheetName val="os liabilities analysis"/>
      <sheetName val="outstanding liabilities"/>
      <sheetName val="DCFValuation"/>
      <sheetName val="HI-TARGE"/>
      <sheetName val="expense investigation-sameer"/>
      <sheetName val="SCH-3"/>
    </sheetNames>
    <sheetDataSet>
      <sheetData sheetId="0" refreshError="1"/>
      <sheetData sheetId="1" refreshError="1"/>
      <sheetData sheetId="2" refreshError="1">
        <row r="2">
          <cell r="D2">
            <v>9519543.9800000004</v>
          </cell>
        </row>
        <row r="3">
          <cell r="D3" t="str">
            <v>Amount</v>
          </cell>
          <cell r="G3" t="str">
            <v>Expense Item</v>
          </cell>
        </row>
        <row r="4">
          <cell r="D4">
            <v>3871</v>
          </cell>
          <cell r="G4" t="str">
            <v>Shraddha Korde - F/F Settlement</v>
          </cell>
        </row>
        <row r="5">
          <cell r="D5">
            <v>1696</v>
          </cell>
          <cell r="G5" t="str">
            <v>Education Cess Short Paid - Oct'04</v>
          </cell>
        </row>
        <row r="6">
          <cell r="D6">
            <v>305</v>
          </cell>
          <cell r="G6" t="str">
            <v>Mandap Keeper - Mar'05</v>
          </cell>
        </row>
        <row r="7">
          <cell r="D7">
            <v>1417</v>
          </cell>
          <cell r="G7" t="str">
            <v>Yogesh Kashid - F/F Settlement</v>
          </cell>
        </row>
        <row r="8">
          <cell r="D8">
            <v>2679</v>
          </cell>
          <cell r="G8" t="str">
            <v>Yogesh Kashid - F/F Settlement</v>
          </cell>
        </row>
        <row r="9">
          <cell r="D9">
            <v>129628</v>
          </cell>
        </row>
        <row r="10">
          <cell r="D10">
            <v>135520</v>
          </cell>
        </row>
        <row r="11">
          <cell r="D11">
            <v>193433</v>
          </cell>
        </row>
        <row r="12">
          <cell r="D12">
            <v>-974682.35</v>
          </cell>
        </row>
        <row r="13">
          <cell r="D13">
            <v>-125236.67</v>
          </cell>
        </row>
        <row r="14">
          <cell r="D14">
            <v>-115801.33</v>
          </cell>
        </row>
        <row r="15">
          <cell r="D15">
            <v>-666892.5</v>
          </cell>
        </row>
        <row r="16">
          <cell r="D16">
            <v>-8318.14</v>
          </cell>
        </row>
        <row r="17">
          <cell r="D17">
            <v>8863.9699999999993</v>
          </cell>
        </row>
        <row r="18">
          <cell r="D18">
            <v>960</v>
          </cell>
        </row>
        <row r="19">
          <cell r="D19">
            <v>1551</v>
          </cell>
        </row>
        <row r="20">
          <cell r="D20">
            <v>2738</v>
          </cell>
        </row>
        <row r="21">
          <cell r="D21">
            <v>6404</v>
          </cell>
        </row>
        <row r="22">
          <cell r="D22">
            <v>55944</v>
          </cell>
        </row>
        <row r="23">
          <cell r="D23">
            <v>192240</v>
          </cell>
        </row>
        <row r="24">
          <cell r="D24">
            <v>99622</v>
          </cell>
        </row>
        <row r="25">
          <cell r="D25">
            <v>94560</v>
          </cell>
        </row>
        <row r="26">
          <cell r="D26">
            <v>5024</v>
          </cell>
        </row>
        <row r="27">
          <cell r="D27">
            <v>-2673372</v>
          </cell>
          <cell r="G27" t="str">
            <v>Reverse Entry</v>
          </cell>
        </row>
        <row r="28">
          <cell r="D28">
            <v>-16559</v>
          </cell>
          <cell r="G28" t="str">
            <v>President Staff</v>
          </cell>
        </row>
        <row r="29">
          <cell r="D29">
            <v>-4324</v>
          </cell>
          <cell r="G29" t="str">
            <v>Reverse Entry</v>
          </cell>
        </row>
        <row r="30">
          <cell r="D30">
            <v>-1664</v>
          </cell>
          <cell r="G30" t="str">
            <v>Reverse Entry</v>
          </cell>
        </row>
        <row r="31">
          <cell r="D31">
            <v>4900</v>
          </cell>
        </row>
        <row r="32">
          <cell r="D32">
            <v>2745</v>
          </cell>
        </row>
        <row r="33">
          <cell r="D33">
            <v>7735</v>
          </cell>
        </row>
        <row r="34">
          <cell r="D34">
            <v>4387</v>
          </cell>
        </row>
        <row r="35">
          <cell r="D35">
            <v>244778</v>
          </cell>
          <cell r="G35" t="str">
            <v>Adjusted against other excess provision</v>
          </cell>
        </row>
        <row r="36">
          <cell r="D36">
            <v>45166</v>
          </cell>
        </row>
        <row r="37">
          <cell r="D37">
            <v>7766</v>
          </cell>
        </row>
        <row r="38">
          <cell r="D38">
            <v>62271</v>
          </cell>
        </row>
        <row r="39">
          <cell r="D39">
            <v>7241</v>
          </cell>
        </row>
        <row r="40">
          <cell r="D40">
            <v>201155</v>
          </cell>
        </row>
        <row r="41">
          <cell r="D41">
            <v>6188</v>
          </cell>
        </row>
        <row r="42">
          <cell r="D42">
            <v>227</v>
          </cell>
          <cell r="G42" t="str">
            <v>Bonus 2004-05</v>
          </cell>
        </row>
        <row r="43">
          <cell r="D43">
            <v>2360097</v>
          </cell>
          <cell r="G43" t="str">
            <v>Salaries &amp; Wages (Ex-Gratia)</v>
          </cell>
        </row>
        <row r="44">
          <cell r="D44">
            <v>9676</v>
          </cell>
          <cell r="G44" t="str">
            <v>Bonus 2004-05</v>
          </cell>
        </row>
        <row r="45">
          <cell r="D45">
            <v>1746122</v>
          </cell>
          <cell r="G45" t="str">
            <v>Salaries &amp; Wages (Ex-Gratia)</v>
          </cell>
        </row>
        <row r="46">
          <cell r="D46">
            <v>4324</v>
          </cell>
          <cell r="G46" t="str">
            <v>Reverse Entry</v>
          </cell>
        </row>
        <row r="47">
          <cell r="D47">
            <v>1664</v>
          </cell>
          <cell r="G47" t="str">
            <v>Adjusted against other excess provision</v>
          </cell>
        </row>
        <row r="48">
          <cell r="D48">
            <v>10988</v>
          </cell>
          <cell r="G48" t="str">
            <v>Adjusted against other excess provision</v>
          </cell>
        </row>
        <row r="49">
          <cell r="D49">
            <v>82972</v>
          </cell>
          <cell r="G49" t="str">
            <v>Adjusted against other excess provision</v>
          </cell>
        </row>
        <row r="50">
          <cell r="D50">
            <v>2410</v>
          </cell>
          <cell r="G50" t="str">
            <v>Adjusted against other excess provision</v>
          </cell>
        </row>
        <row r="51">
          <cell r="D51">
            <v>20423</v>
          </cell>
          <cell r="G51" t="str">
            <v>Adjusted against other excess provision</v>
          </cell>
        </row>
        <row r="52">
          <cell r="D52">
            <v>69431</v>
          </cell>
          <cell r="G52" t="str">
            <v>Adjusted against other excess provision</v>
          </cell>
        </row>
        <row r="53">
          <cell r="D53">
            <v>3000</v>
          </cell>
          <cell r="G53" t="str">
            <v>Adjusted against other excess provision</v>
          </cell>
        </row>
        <row r="54">
          <cell r="D54">
            <v>69017</v>
          </cell>
          <cell r="G54" t="str">
            <v>Adjusted against other excess provision</v>
          </cell>
        </row>
        <row r="55">
          <cell r="D55">
            <v>2704</v>
          </cell>
          <cell r="G55" t="str">
            <v>Adjusted against other excess provision</v>
          </cell>
        </row>
        <row r="56">
          <cell r="D56">
            <v>19373</v>
          </cell>
          <cell r="G56" t="str">
            <v>Adjusted against other excess provision</v>
          </cell>
        </row>
        <row r="57">
          <cell r="D57">
            <v>61320</v>
          </cell>
          <cell r="G57" t="str">
            <v>Adjusted against other excess provision</v>
          </cell>
        </row>
        <row r="58">
          <cell r="D58">
            <v>4241</v>
          </cell>
          <cell r="G58" t="str">
            <v>Adjusted against other excess provision</v>
          </cell>
        </row>
        <row r="59">
          <cell r="D59">
            <v>25461</v>
          </cell>
          <cell r="G59" t="str">
            <v>Adjusted against other excess provision</v>
          </cell>
        </row>
        <row r="60">
          <cell r="D60">
            <v>6633</v>
          </cell>
          <cell r="G60" t="str">
            <v>Adjusted against other excess provision</v>
          </cell>
        </row>
        <row r="61">
          <cell r="D61">
            <v>4324</v>
          </cell>
          <cell r="G61" t="str">
            <v>Adjusted against other excess provision</v>
          </cell>
        </row>
        <row r="62">
          <cell r="D62">
            <v>1664</v>
          </cell>
          <cell r="G62" t="str">
            <v>Reverse Entry</v>
          </cell>
        </row>
        <row r="63">
          <cell r="D63">
            <v>2756</v>
          </cell>
          <cell r="G63" t="str">
            <v>Adjusted against other excess provision</v>
          </cell>
        </row>
        <row r="64">
          <cell r="D64">
            <v>1556527</v>
          </cell>
        </row>
        <row r="65">
          <cell r="D65">
            <v>19787</v>
          </cell>
          <cell r="G65" t="str">
            <v>Performance</v>
          </cell>
        </row>
        <row r="66">
          <cell r="D66">
            <v>1008627</v>
          </cell>
        </row>
        <row r="67">
          <cell r="D67">
            <v>1664745</v>
          </cell>
        </row>
        <row r="68">
          <cell r="D68">
            <v>2673372</v>
          </cell>
          <cell r="G68" t="str">
            <v>Reverse Entry</v>
          </cell>
        </row>
        <row r="69">
          <cell r="D69">
            <v>14345</v>
          </cell>
          <cell r="G69" t="str">
            <v>Salaries &amp; Wages (Ex-Gratia)</v>
          </cell>
        </row>
        <row r="70">
          <cell r="D70">
            <v>12955</v>
          </cell>
          <cell r="G70" t="str">
            <v>Salaries &amp; Wages (Ex-Gratia)</v>
          </cell>
        </row>
        <row r="71">
          <cell r="D71">
            <v>19392</v>
          </cell>
          <cell r="G71" t="str">
            <v>Salaries &amp; Wages (Ex-Gratia)</v>
          </cell>
        </row>
        <row r="72">
          <cell r="D72">
            <v>11339</v>
          </cell>
          <cell r="G72" t="str">
            <v>Salaries &amp; Wages (Ex-Gratia)</v>
          </cell>
        </row>
        <row r="73">
          <cell r="D73">
            <v>1018662</v>
          </cell>
        </row>
        <row r="74">
          <cell r="D74">
            <v>15600</v>
          </cell>
          <cell r="G74" t="str">
            <v>Salaries &amp; Wages (Ex-Gratia)</v>
          </cell>
        </row>
        <row r="75">
          <cell r="D75">
            <v>3239</v>
          </cell>
          <cell r="G75" t="str">
            <v>Salaries &amp; Wages (Ex-Gratia)</v>
          </cell>
        </row>
        <row r="76">
          <cell r="D76">
            <v>2473</v>
          </cell>
          <cell r="G76" t="str">
            <v>Salaries &amp; Wages (Ex-Gratia)</v>
          </cell>
        </row>
        <row r="77">
          <cell r="D77">
            <v>17408</v>
          </cell>
          <cell r="G77" t="str">
            <v>Salaries &amp; Wages (Ex-Gratia)</v>
          </cell>
        </row>
        <row r="78">
          <cell r="D78">
            <v>16367</v>
          </cell>
          <cell r="G78" t="str">
            <v>Salaries &amp; Wages (Ex-Gratia)</v>
          </cell>
        </row>
        <row r="79">
          <cell r="D79">
            <v>11941</v>
          </cell>
          <cell r="G79" t="str">
            <v>Salaries &amp; Wages (Ex-Gratia)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debts"/>
      <sheetName val="DEbt (2)"/>
      <sheetName val="DEbt"/>
      <sheetName val="Debt -profile - all rest. (2)"/>
      <sheetName val="JVSL- Books"/>
      <sheetName val="Sanctioned"/>
      <sheetName val="Debt -profile - all rest. "/>
      <sheetName val="Debt -profile - all rest.  (2)"/>
      <sheetName val="Sheet1"/>
      <sheetName val="Sheet2"/>
      <sheetName val="UBI 30.6.2009"/>
      <sheetName val="Syndicate Bank 30.6.2009"/>
      <sheetName val="Sheet3"/>
      <sheetName val="Dena Bank 30.6.2009"/>
      <sheetName val="ORIENTAL BANK OF COMME30.6.2009"/>
      <sheetName val="VIJAYA BANK 30.6.2009"/>
      <sheetName val="UBI 30.6.2009 (Revised Rate)"/>
      <sheetName val="CANARA BANK 30.6.09"/>
      <sheetName val="PNB 30.6.2009"/>
      <sheetName val="Sheet1 (2)"/>
      <sheetName val="IDBI 30.6.2009"/>
      <sheetName val="#REF"/>
      <sheetName val="os liabilities analysis"/>
      <sheetName val="Pricelist"/>
      <sheetName val="DCFValuation"/>
      <sheetName val="Parameters"/>
      <sheetName val="Masters"/>
    </sheetNames>
    <sheetDataSet>
      <sheetData sheetId="0" refreshError="1"/>
      <sheetData sheetId="1" refreshError="1">
        <row r="5">
          <cell r="A5" t="str">
            <v>JINDAL VIJAYANAGAR STEEL LIMITED.</v>
          </cell>
        </row>
        <row r="7">
          <cell r="A7" t="str">
            <v>Debt Profile - Principal Amount as on:</v>
          </cell>
          <cell r="B7">
            <v>37529</v>
          </cell>
        </row>
        <row r="9">
          <cell r="A9" t="str">
            <v>Domestic Lenders</v>
          </cell>
          <cell r="B9" t="str">
            <v xml:space="preserve">FC </v>
          </cell>
          <cell r="C9" t="str">
            <v>MIO</v>
          </cell>
          <cell r="D9" t="str">
            <v>FX</v>
          </cell>
          <cell r="E9" t="str">
            <v>FX- Rate</v>
          </cell>
          <cell r="F9" t="str">
            <v>INR</v>
          </cell>
        </row>
        <row r="11">
          <cell r="A11" t="str">
            <v xml:space="preserve">ICICI    </v>
          </cell>
          <cell r="B11">
            <v>22997887.510000002</v>
          </cell>
          <cell r="C11">
            <v>22.997887510000002</v>
          </cell>
          <cell r="D11" t="str">
            <v>USD</v>
          </cell>
          <cell r="E11">
            <v>48.54</v>
          </cell>
          <cell r="F11">
            <v>1116.3174597354</v>
          </cell>
        </row>
        <row r="12">
          <cell r="A12" t="str">
            <v xml:space="preserve">IDBI   </v>
          </cell>
          <cell r="B12">
            <v>61399076.520000003</v>
          </cell>
          <cell r="C12">
            <v>61.399076520000001</v>
          </cell>
          <cell r="D12" t="str">
            <v>USD</v>
          </cell>
          <cell r="E12">
            <v>48.54</v>
          </cell>
          <cell r="F12">
            <v>2980.3111742808001</v>
          </cell>
        </row>
        <row r="13">
          <cell r="A13" t="str">
            <v>IFCI</v>
          </cell>
          <cell r="B13">
            <v>38679777.799999997</v>
          </cell>
          <cell r="C13">
            <v>38.679777799999997</v>
          </cell>
          <cell r="D13" t="str">
            <v>USD</v>
          </cell>
          <cell r="E13">
            <v>48.54</v>
          </cell>
          <cell r="F13">
            <v>1877.5164144119999</v>
          </cell>
        </row>
        <row r="15">
          <cell r="A15" t="str">
            <v>TOTAL</v>
          </cell>
          <cell r="B15">
            <v>123076741.83</v>
          </cell>
          <cell r="C15">
            <v>123.07674183</v>
          </cell>
          <cell r="F15">
            <v>5974.1450484282004</v>
          </cell>
        </row>
        <row r="16">
          <cell r="A16" t="str">
            <v>ECB - Guaranteed:</v>
          </cell>
        </row>
        <row r="17">
          <cell r="A17" t="str">
            <v xml:space="preserve">RZB-CFA - I </v>
          </cell>
          <cell r="B17">
            <v>600146038.10623562</v>
          </cell>
          <cell r="C17">
            <v>600.14603810623566</v>
          </cell>
          <cell r="D17" t="str">
            <v>ATS</v>
          </cell>
          <cell r="E17">
            <v>3.464</v>
          </cell>
          <cell r="F17">
            <v>2078.9058760000003</v>
          </cell>
        </row>
        <row r="18">
          <cell r="A18" t="str">
            <v>RZB-CFA - III</v>
          </cell>
          <cell r="B18">
            <v>157535859.98845264</v>
          </cell>
          <cell r="C18">
            <v>157.53585998845264</v>
          </cell>
          <cell r="D18" t="str">
            <v>ATS</v>
          </cell>
          <cell r="E18">
            <v>3.464</v>
          </cell>
          <cell r="F18">
            <v>545.70421899999997</v>
          </cell>
        </row>
        <row r="19">
          <cell r="A19" t="str">
            <v>US - EXIM</v>
          </cell>
          <cell r="B19">
            <v>28794763.123197362</v>
          </cell>
          <cell r="C19">
            <v>28.794763123197363</v>
          </cell>
          <cell r="D19" t="str">
            <v>USD</v>
          </cell>
          <cell r="E19">
            <v>48.54</v>
          </cell>
          <cell r="F19">
            <v>1397.6978019999999</v>
          </cell>
        </row>
        <row r="20">
          <cell r="A20" t="str">
            <v>COMMERZ-BANK</v>
          </cell>
          <cell r="B20">
            <v>9792253.0902348589</v>
          </cell>
          <cell r="C20">
            <v>9.7922530902348583</v>
          </cell>
          <cell r="D20" t="str">
            <v>USD</v>
          </cell>
          <cell r="E20">
            <v>48.54</v>
          </cell>
          <cell r="F20">
            <v>475.31596500000001</v>
          </cell>
        </row>
        <row r="21">
          <cell r="A21" t="str">
            <v>SBI-FRANKFURT</v>
          </cell>
          <cell r="B21">
            <v>62296011.147811726</v>
          </cell>
          <cell r="C21">
            <v>62.296011147811726</v>
          </cell>
          <cell r="D21" t="str">
            <v>FRF</v>
          </cell>
          <cell r="E21">
            <v>7.266</v>
          </cell>
          <cell r="F21">
            <v>452.64281699999998</v>
          </cell>
        </row>
        <row r="22">
          <cell r="A22" t="str">
            <v>SBI-LONDON</v>
          </cell>
          <cell r="B22">
            <v>25000000</v>
          </cell>
          <cell r="C22">
            <v>25</v>
          </cell>
          <cell r="D22" t="str">
            <v>USD</v>
          </cell>
          <cell r="E22">
            <v>48.54</v>
          </cell>
          <cell r="F22">
            <v>1213.5</v>
          </cell>
        </row>
        <row r="24">
          <cell r="A24" t="str">
            <v>TOTAL</v>
          </cell>
          <cell r="B24">
            <v>883564925.45593226</v>
          </cell>
          <cell r="C24">
            <v>883.56492545593233</v>
          </cell>
          <cell r="F24">
            <v>6163.7666789999994</v>
          </cell>
        </row>
        <row r="26">
          <cell r="A26" t="str">
            <v>ECB- Unguaranteed:</v>
          </cell>
        </row>
        <row r="27">
          <cell r="A27" t="str">
            <v>RZB-CFA - III</v>
          </cell>
          <cell r="B27">
            <v>464914077.07852197</v>
          </cell>
          <cell r="C27">
            <v>464.91407707852198</v>
          </cell>
          <cell r="D27" t="str">
            <v>ATS</v>
          </cell>
          <cell r="E27">
            <v>3.464</v>
          </cell>
          <cell r="F27">
            <v>1610.4623630000001</v>
          </cell>
        </row>
        <row r="28">
          <cell r="A28" t="str">
            <v>BARCLAYS-DREDGNER</v>
          </cell>
          <cell r="B28">
            <v>24003145.797280595</v>
          </cell>
          <cell r="C28">
            <v>24.003145797280595</v>
          </cell>
          <cell r="D28" t="str">
            <v>USD</v>
          </cell>
          <cell r="E28">
            <v>48.54</v>
          </cell>
          <cell r="F28">
            <v>1165.112697</v>
          </cell>
        </row>
        <row r="29">
          <cell r="A29" t="str">
            <v>BARCLAYS- NEWYORK</v>
          </cell>
          <cell r="B29">
            <v>29782423.815409973</v>
          </cell>
          <cell r="C29">
            <v>29.782423815409974</v>
          </cell>
          <cell r="D29" t="str">
            <v>USD</v>
          </cell>
          <cell r="E29">
            <v>48.54</v>
          </cell>
          <cell r="F29">
            <v>1445.638852</v>
          </cell>
        </row>
        <row r="30">
          <cell r="A30" t="str">
            <v>EDC- CANADA</v>
          </cell>
          <cell r="B30">
            <v>5816241.7387721464</v>
          </cell>
          <cell r="C30">
            <v>5.8162417387721463</v>
          </cell>
          <cell r="D30" t="str">
            <v>USD</v>
          </cell>
          <cell r="E30">
            <v>48.54</v>
          </cell>
          <cell r="F30">
            <v>282.32037399999996</v>
          </cell>
        </row>
        <row r="32">
          <cell r="A32" t="str">
            <v>TOTAL</v>
          </cell>
          <cell r="B32">
            <v>524515888.42998469</v>
          </cell>
          <cell r="C32">
            <v>524.51588842998478</v>
          </cell>
          <cell r="F32">
            <v>4503.5342860000001</v>
          </cell>
        </row>
        <row r="33">
          <cell r="A33" t="str">
            <v>Grand Total</v>
          </cell>
          <cell r="B33">
            <v>1531157555.7159169</v>
          </cell>
          <cell r="C33">
            <v>1531.1575557159169</v>
          </cell>
          <cell r="F33">
            <v>16641.446013428198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Cons IS"/>
      <sheetName val="All PR"/>
      <sheetName val="PR-IS"/>
      <sheetName val="PR-BS"/>
      <sheetName val="PR-CF"/>
      <sheetName val="PR-FA"/>
      <sheetName val="PR Cost"/>
      <sheetName val="PR Rev 1"/>
      <sheetName val="PR Rev 2"/>
      <sheetName val="Dubai PR"/>
      <sheetName val="AD-IS"/>
      <sheetName val="AD-BS"/>
      <sheetName val="AD-CF"/>
      <sheetName val="AD-FA"/>
      <sheetName val="AD Cost"/>
      <sheetName val="AD Rev"/>
      <sheetName val="JV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_Dtl"/>
      <sheetName val="Full_data"/>
      <sheetName val="Report"/>
      <sheetName val="DEbt (2)"/>
      <sheetName val="Plan"/>
    </sheetNames>
    <sheetDataSet>
      <sheetData sheetId="0" refreshError="1">
        <row r="1">
          <cell r="A1" t="str">
            <v>date</v>
          </cell>
          <cell r="B1" t="str">
            <v>order_no</v>
          </cell>
          <cell r="C1" t="str">
            <v>size</v>
          </cell>
          <cell r="D1" t="str">
            <v>Offer_qty</v>
          </cell>
          <cell r="E1" t="str">
            <v>Clear_qty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 BOQ"/>
      <sheetName val="Abstract"/>
      <sheetName val="Insp_Dtl"/>
      <sheetName val="Opinion"/>
      <sheetName val="List of Vendors"/>
    </sheetNames>
    <sheetDataSet>
      <sheetData sheetId="0" refreshError="1">
        <row r="1">
          <cell r="A1" t="str">
            <v>ORISSA State Electricity Board, - GRIDCO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5"/>
      <sheetName val="Sheet4"/>
      <sheetName val="PLAN_FEB9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Summary"/>
      <sheetName val="options"/>
      <sheetName val="Debts(Non-ECB)"/>
      <sheetName val="Sheet3"/>
      <sheetName val="businrssplan2002-03-abnd"/>
      <sheetName val="ECB"/>
      <sheetName val="Sheet1"/>
      <sheetName val="DETAILED  BOQ"/>
      <sheetName val="proposallinked"/>
      <sheetName val="Links"/>
      <sheetName val="TranslationData"/>
      <sheetName val="PlantStatusData"/>
      <sheetName val="Opinion"/>
      <sheetName val="List of Vendors"/>
      <sheetName val="Interest-Businessplan-2002-afte"/>
      <sheetName val="DETAILED__BOQ"/>
    </sheetNames>
    <sheetDataSet>
      <sheetData sheetId="0" refreshError="1"/>
      <sheetData sheetId="1" refreshError="1"/>
      <sheetData sheetId="2" refreshError="1">
        <row r="26">
          <cell r="B26">
            <v>48.8</v>
          </cell>
        </row>
        <row r="31">
          <cell r="B31">
            <v>2.5000000000000001E-2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UI SPI"/>
      <sheetName val="SBUI"/>
      <sheetName val="SBU2"/>
      <sheetName val="Summary"/>
      <sheetName val="JSWEVL"/>
      <sheetName val="Mar CF"/>
      <sheetName val="EDAC"/>
      <sheetName val="Sheet3"/>
      <sheetName val="Sheet1"/>
      <sheetName val="TDS06-07"/>
      <sheetName val="IT Calculation"/>
      <sheetName val="Sheet"/>
      <sheetName val="Invoices"/>
      <sheetName val="Revised Bank Charges"/>
      <sheetName val="ICICI New Delhi"/>
      <sheetName val="ICICI Shimla"/>
      <sheetName val="ICICI Kolkata"/>
      <sheetName val="Advance"/>
      <sheetName val="ICICI Bhubaneshwar"/>
      <sheetName val="FD from 010707"/>
      <sheetName val="Sheet2"/>
      <sheetName val="AKB B'lore"/>
      <sheetName val="AKB"/>
      <sheetName val="IT&amp;TL"/>
      <sheetName val="Zhao Lei"/>
      <sheetName val="IPO"/>
      <sheetName val="Oracle TDS Codes"/>
      <sheetName val="Formulas"/>
      <sheetName val="Sheet4"/>
      <sheetName val="Home"/>
      <sheetName val="Morena House"/>
      <sheetName val="Notes"/>
      <sheetName val="List of Banks"/>
      <sheetName val="Sheet6"/>
      <sheetName val="Telephone"/>
      <sheetName val="RCIL"/>
      <sheetName val="Cheques"/>
      <sheetName val="Mumbai TDS"/>
      <sheetName val="Vendor_Codes"/>
      <sheetName val="PNB Dividend"/>
      <sheetName val="PNBCC Prosing Fee"/>
      <sheetName val="Customes Calc"/>
      <sheetName val="Electricity"/>
      <sheetName val="SGudda"/>
      <sheetName val="EDAC Payment"/>
      <sheetName val="Sheet1 (2)"/>
      <sheetName val="Uninvoiced SBU I Mar 10"/>
      <sheetName val="Boarding Expenses_Dec08"/>
      <sheetName val="IDBI"/>
      <sheetName val="Varshini"/>
      <sheetName val="Consultants"/>
      <sheetName val="MASTER-D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p deposits"/>
      <sheetName val="osl ac"/>
      <sheetName val="os liabilities"/>
      <sheetName val="os gl ac"/>
      <sheetName val="Sheet2"/>
      <sheetName val="Sheet1"/>
      <sheetName val="Unpresented"/>
      <sheetName val="Unpresented cheques"/>
      <sheetName val="Sheet3"/>
      <sheetName val="options"/>
      <sheetName val="7.6 Inputs"/>
      <sheetName val="ord-lost_98&amp;99"/>
    </sheetNames>
    <sheetDataSet>
      <sheetData sheetId="0" refreshError="1"/>
      <sheetData sheetId="1" refreshError="1"/>
      <sheetData sheetId="2" refreshError="1"/>
      <sheetData sheetId="3" refreshError="1">
        <row r="3">
          <cell r="M3">
            <v>-4211822.0199999996</v>
          </cell>
        </row>
        <row r="4">
          <cell r="H4" t="str">
            <v>OS Head</v>
          </cell>
          <cell r="M4" t="str">
            <v>Net</v>
          </cell>
        </row>
        <row r="5">
          <cell r="H5" t="str">
            <v>Shraddha Korde - F/F Settlement</v>
          </cell>
          <cell r="M5">
            <v>3871</v>
          </cell>
        </row>
        <row r="6">
          <cell r="H6" t="str">
            <v>Education Cess Short Paid - Oct'04</v>
          </cell>
          <cell r="M6">
            <v>11</v>
          </cell>
        </row>
        <row r="7">
          <cell r="H7" t="str">
            <v>Education Cess Short Paid - Oct'04</v>
          </cell>
          <cell r="M7">
            <v>16</v>
          </cell>
        </row>
        <row r="8">
          <cell r="H8" t="str">
            <v>Education Cess Short Paid - Oct'04</v>
          </cell>
          <cell r="M8">
            <v>146</v>
          </cell>
        </row>
        <row r="9">
          <cell r="H9" t="str">
            <v>Education Cess Short Paid - Oct'04</v>
          </cell>
          <cell r="M9">
            <v>305</v>
          </cell>
        </row>
        <row r="10">
          <cell r="H10" t="str">
            <v>Education Cess Short Paid - Oct'04</v>
          </cell>
          <cell r="M10">
            <v>1523</v>
          </cell>
        </row>
        <row r="11">
          <cell r="H11" t="str">
            <v>Yogesh Kashid - F/F Settlement</v>
          </cell>
          <cell r="M11">
            <v>1417</v>
          </cell>
        </row>
        <row r="12">
          <cell r="H12" t="str">
            <v>Yogesh Kashid - F/F Settlement</v>
          </cell>
          <cell r="M12">
            <v>2679</v>
          </cell>
        </row>
        <row r="13">
          <cell r="H13" t="str">
            <v>Furniture Repairs &amp; Maintenance</v>
          </cell>
          <cell r="M13">
            <v>128994</v>
          </cell>
        </row>
        <row r="14">
          <cell r="H14" t="str">
            <v>Indian Hotels Co. Ltd.</v>
          </cell>
          <cell r="M14">
            <v>634</v>
          </cell>
        </row>
        <row r="15">
          <cell r="H15" t="str">
            <v>Furniture &amp; Equipment Hire Charges</v>
          </cell>
          <cell r="M15">
            <v>133830</v>
          </cell>
        </row>
        <row r="16">
          <cell r="H16" t="str">
            <v>Indian Hotels Co. Ltd.</v>
          </cell>
          <cell r="M16">
            <v>634</v>
          </cell>
        </row>
        <row r="17">
          <cell r="H17" t="str">
            <v>Taj West End</v>
          </cell>
          <cell r="M17">
            <v>1056</v>
          </cell>
        </row>
        <row r="18">
          <cell r="H18" t="str">
            <v>Furniture &amp; Equipment Hire Charges</v>
          </cell>
          <cell r="M18">
            <v>192364</v>
          </cell>
        </row>
        <row r="19">
          <cell r="H19" t="str">
            <v>Taj Mahal Hotel</v>
          </cell>
          <cell r="M19">
            <v>1069</v>
          </cell>
        </row>
        <row r="20">
          <cell r="H20" t="str">
            <v>Commission to Travel Agents</v>
          </cell>
          <cell r="M20">
            <v>8863.9699999999993</v>
          </cell>
        </row>
        <row r="21">
          <cell r="H21" t="str">
            <v>Commission to Travel Agents</v>
          </cell>
          <cell r="M21">
            <v>960</v>
          </cell>
        </row>
        <row r="22">
          <cell r="H22" t="str">
            <v>Commission to Travel Agents</v>
          </cell>
          <cell r="M22">
            <v>1551</v>
          </cell>
        </row>
        <row r="23">
          <cell r="H23" t="str">
            <v>Commission to Travel Agents</v>
          </cell>
          <cell r="M23">
            <v>2738</v>
          </cell>
        </row>
        <row r="24">
          <cell r="H24" t="str">
            <v>Commission to Travel Agents</v>
          </cell>
          <cell r="M24">
            <v>6404</v>
          </cell>
        </row>
        <row r="25">
          <cell r="H25" t="str">
            <v xml:space="preserve">Excess Credited to o/s -CWIP </v>
          </cell>
          <cell r="M25">
            <v>-974682.35</v>
          </cell>
        </row>
        <row r="26">
          <cell r="H26" t="str">
            <v xml:space="preserve">Excess Credited to o/s -CWIP </v>
          </cell>
          <cell r="M26">
            <v>-125236.67</v>
          </cell>
        </row>
        <row r="27">
          <cell r="H27" t="str">
            <v xml:space="preserve">Excess Credited to o/s -CWIP </v>
          </cell>
          <cell r="M27">
            <v>-115801.33</v>
          </cell>
        </row>
        <row r="28">
          <cell r="H28" t="str">
            <v xml:space="preserve">Excess Credited to o/s -CWIP </v>
          </cell>
          <cell r="M28">
            <v>-666892.5</v>
          </cell>
        </row>
        <row r="29">
          <cell r="H29" t="str">
            <v xml:space="preserve">Excess Credited to o/s -CWIP </v>
          </cell>
          <cell r="M29">
            <v>-8318.14</v>
          </cell>
        </row>
        <row r="30">
          <cell r="H30" t="str">
            <v>Airport Transfer Charges Indi travels</v>
          </cell>
          <cell r="M30">
            <v>55944</v>
          </cell>
        </row>
        <row r="31">
          <cell r="H31" t="str">
            <v>Airport Transfer Charges Indi travels</v>
          </cell>
          <cell r="M31">
            <v>192240</v>
          </cell>
        </row>
        <row r="32">
          <cell r="H32" t="str">
            <v>Airport Transfer Charges Indi travels</v>
          </cell>
          <cell r="M32">
            <v>99622</v>
          </cell>
        </row>
        <row r="33">
          <cell r="H33" t="str">
            <v>Airport Transfer Charges Indi travels</v>
          </cell>
          <cell r="M33">
            <v>94560</v>
          </cell>
        </row>
        <row r="34">
          <cell r="H34" t="str">
            <v>Salaries &amp; Wages (Performance Bonus)</v>
          </cell>
          <cell r="M34">
            <v>5024</v>
          </cell>
        </row>
        <row r="35">
          <cell r="H35" t="str">
            <v>Electrical Repairs &amp; Maintenance</v>
          </cell>
          <cell r="M35">
            <v>270239</v>
          </cell>
        </row>
        <row r="36">
          <cell r="H36" t="str">
            <v>Furniture Repairs &amp; Maintenance</v>
          </cell>
          <cell r="M36">
            <v>154243</v>
          </cell>
        </row>
        <row r="37">
          <cell r="H37" t="str">
            <v>Bonus 2004-05</v>
          </cell>
          <cell r="M37">
            <v>227</v>
          </cell>
        </row>
        <row r="38">
          <cell r="H38" t="str">
            <v>Salaries &amp; Wages (Ex-Gratia)</v>
          </cell>
          <cell r="M38">
            <v>2360097</v>
          </cell>
        </row>
        <row r="39">
          <cell r="H39" t="str">
            <v>Salaries &amp; Wages (Performance Bonus)</v>
          </cell>
          <cell r="M39">
            <v>7735</v>
          </cell>
        </row>
        <row r="40">
          <cell r="H40" t="str">
            <v>Furniture Repairs &amp; Maintenance</v>
          </cell>
          <cell r="M40">
            <v>2410</v>
          </cell>
        </row>
        <row r="41">
          <cell r="H41" t="str">
            <v>Bonus 2004-05</v>
          </cell>
          <cell r="M41">
            <v>9676</v>
          </cell>
        </row>
        <row r="42">
          <cell r="H42" t="str">
            <v>Salaries &amp; Wages (Ex-Gratia)</v>
          </cell>
          <cell r="M42">
            <v>1746122</v>
          </cell>
        </row>
        <row r="43">
          <cell r="H43" t="str">
            <v>Airport Transfer Charges Indi travels</v>
          </cell>
          <cell r="M43">
            <v>323609</v>
          </cell>
        </row>
        <row r="44">
          <cell r="H44" t="str">
            <v>Salaries &amp; Wages (Performance Bonus)</v>
          </cell>
          <cell r="M44">
            <v>4900</v>
          </cell>
        </row>
        <row r="45">
          <cell r="H45" t="str">
            <v>Furniture Repairs &amp; Maintenance</v>
          </cell>
          <cell r="M45">
            <v>20423</v>
          </cell>
        </row>
        <row r="46">
          <cell r="H46" t="str">
            <v>Other Equipment Repairs &amp; Maintenance</v>
          </cell>
          <cell r="M46">
            <v>69431</v>
          </cell>
        </row>
        <row r="47">
          <cell r="H47" t="str">
            <v>Salaries &amp; Wages (Performance Bonus)</v>
          </cell>
          <cell r="M47">
            <v>4387</v>
          </cell>
        </row>
        <row r="48">
          <cell r="H48" t="str">
            <v>Household Supplies</v>
          </cell>
          <cell r="M48">
            <v>3000</v>
          </cell>
        </row>
        <row r="49">
          <cell r="H49" t="str">
            <v>Kitchen Equipment Repairs &amp; Maint.</v>
          </cell>
          <cell r="M49">
            <v>19636</v>
          </cell>
        </row>
        <row r="50">
          <cell r="H50" t="str">
            <v>Salaries &amp; Wages (Performance Bonus)</v>
          </cell>
          <cell r="M50">
            <v>6188</v>
          </cell>
        </row>
        <row r="51">
          <cell r="H51" t="str">
            <v>Furniture Repairs &amp; Maintenance</v>
          </cell>
          <cell r="M51">
            <v>73258</v>
          </cell>
        </row>
        <row r="52">
          <cell r="H52" t="str">
            <v>Furniture Repairs &amp; Maintenance</v>
          </cell>
          <cell r="M52">
            <v>2704</v>
          </cell>
        </row>
        <row r="53">
          <cell r="H53" t="str">
            <v>Maintenance of Guest Rooms</v>
          </cell>
          <cell r="M53">
            <v>22129</v>
          </cell>
        </row>
        <row r="54">
          <cell r="H54" t="str">
            <v>Salaries &amp; Wages (Performance Bonus)</v>
          </cell>
          <cell r="M54">
            <v>2745</v>
          </cell>
        </row>
        <row r="55">
          <cell r="H55" t="str">
            <v>Kitchen Equipment Repairs &amp; Maint.</v>
          </cell>
          <cell r="M55">
            <v>-4324</v>
          </cell>
        </row>
        <row r="56">
          <cell r="H56" t="str">
            <v>Furniture Repairs &amp; Maintenance</v>
          </cell>
          <cell r="M56">
            <v>-1664</v>
          </cell>
        </row>
        <row r="57">
          <cell r="H57" t="str">
            <v>Salaries &amp; Wages (Performance Bonus)</v>
          </cell>
          <cell r="M57">
            <v>-16559</v>
          </cell>
        </row>
        <row r="58">
          <cell r="H58" t="str">
            <v>Salaries &amp; Wages (Performance Bonus)</v>
          </cell>
          <cell r="M58">
            <v>-1008627</v>
          </cell>
        </row>
        <row r="59">
          <cell r="H59" t="str">
            <v>Salaries &amp; Wages (Performance Bonus)</v>
          </cell>
          <cell r="M59">
            <v>-1664745</v>
          </cell>
        </row>
        <row r="60">
          <cell r="H60" t="str">
            <v>Salaries &amp; Wages (Performance Bonus)</v>
          </cell>
          <cell r="M60">
            <v>1556527</v>
          </cell>
        </row>
        <row r="61">
          <cell r="H61" t="str">
            <v>Salaries &amp; Wages (Performance Bonus)</v>
          </cell>
          <cell r="M61">
            <v>19787</v>
          </cell>
        </row>
        <row r="62">
          <cell r="H62" t="str">
            <v>Salaries &amp; Wages (Performance Bonus)</v>
          </cell>
          <cell r="M62">
            <v>1008627</v>
          </cell>
        </row>
        <row r="63">
          <cell r="H63" t="str">
            <v>Salaries &amp; Wages (Performance Bonus)</v>
          </cell>
          <cell r="M63">
            <v>1664745</v>
          </cell>
        </row>
        <row r="64">
          <cell r="H64" t="str">
            <v>Salaries &amp; Wages (Performance Bonus)</v>
          </cell>
          <cell r="M64">
            <v>2673372</v>
          </cell>
        </row>
        <row r="65">
          <cell r="H65" t="str">
            <v>Salaries &amp; Wages (Ex-Gratia)</v>
          </cell>
          <cell r="M65">
            <v>14345</v>
          </cell>
        </row>
        <row r="66">
          <cell r="H66" t="str">
            <v>Salaries &amp; Wages (Ex-Gratia)</v>
          </cell>
          <cell r="M66">
            <v>12955</v>
          </cell>
        </row>
        <row r="67">
          <cell r="H67" t="str">
            <v>Salaries &amp; Wages (Ex-Gratia)</v>
          </cell>
          <cell r="M67">
            <v>19392</v>
          </cell>
        </row>
        <row r="68">
          <cell r="H68" t="str">
            <v>Salaries &amp; Wages (Ex-Gratia)</v>
          </cell>
          <cell r="M68">
            <v>11339</v>
          </cell>
        </row>
        <row r="69">
          <cell r="H69" t="str">
            <v>Salaries &amp; Wages (Performance Bonus)</v>
          </cell>
          <cell r="M69">
            <v>1018662</v>
          </cell>
        </row>
        <row r="70">
          <cell r="H70" t="str">
            <v>Salaries &amp; Wages (Ex-Gratia)</v>
          </cell>
          <cell r="M70">
            <v>15600</v>
          </cell>
        </row>
        <row r="71">
          <cell r="H71" t="str">
            <v>Salaries &amp; Wages (Ex-Gratia)</v>
          </cell>
          <cell r="M71">
            <v>3239</v>
          </cell>
        </row>
        <row r="72">
          <cell r="H72" t="str">
            <v>Salaries &amp; Wages (Ex-Gratia)</v>
          </cell>
          <cell r="M72">
            <v>2473</v>
          </cell>
        </row>
        <row r="73">
          <cell r="H73" t="str">
            <v>Salaries &amp; Wages (Ex-Gratia)</v>
          </cell>
          <cell r="M73">
            <v>17408</v>
          </cell>
        </row>
        <row r="74">
          <cell r="H74" t="str">
            <v>Salaries &amp; Wages (Ex-Gratia)</v>
          </cell>
          <cell r="M74">
            <v>16367</v>
          </cell>
        </row>
        <row r="75">
          <cell r="H75" t="str">
            <v>Salaries &amp; Wages (Ex-Gratia)</v>
          </cell>
          <cell r="M75">
            <v>11941</v>
          </cell>
        </row>
        <row r="76">
          <cell r="H76" t="str">
            <v>Salaries &amp; Wages (Performance Bonus)</v>
          </cell>
          <cell r="M76">
            <v>3308</v>
          </cell>
        </row>
        <row r="77">
          <cell r="H77" t="str">
            <v>Staff Accommodations - Rent</v>
          </cell>
          <cell r="M77">
            <v>129000</v>
          </cell>
        </row>
        <row r="78">
          <cell r="H78" t="str">
            <v>RENT PUSHPA BHAVAN FEB05</v>
          </cell>
          <cell r="M78">
            <v>56250</v>
          </cell>
        </row>
        <row r="79">
          <cell r="H79" t="str">
            <v>PROJECT SUPERVISION CHGS 04-05</v>
          </cell>
          <cell r="M79">
            <v>167398</v>
          </cell>
        </row>
        <row r="80">
          <cell r="H80" t="str">
            <v>Salaries &amp; Wages (Ex-Gratia)</v>
          </cell>
          <cell r="M80">
            <v>17431</v>
          </cell>
        </row>
        <row r="81">
          <cell r="H81" t="str">
            <v>Salaries &amp; Wages (Ex-Gratia)</v>
          </cell>
          <cell r="M81">
            <v>49486</v>
          </cell>
        </row>
        <row r="82">
          <cell r="H82" t="str">
            <v>Provisions Dec 05</v>
          </cell>
          <cell r="M82">
            <v>-7976205</v>
          </cell>
        </row>
        <row r="83">
          <cell r="H83" t="str">
            <v>TMM STAFF SALARY</v>
          </cell>
          <cell r="M83">
            <v>88451</v>
          </cell>
        </row>
        <row r="84">
          <cell r="H84" t="str">
            <v>TMM STAFF LTA</v>
          </cell>
          <cell r="M84">
            <v>61040</v>
          </cell>
        </row>
        <row r="85">
          <cell r="H85" t="str">
            <v>Provisions Dec 05</v>
          </cell>
          <cell r="M85">
            <v>-692298</v>
          </cell>
        </row>
        <row r="86">
          <cell r="H86" t="str">
            <v>Provisions Dec 05</v>
          </cell>
          <cell r="M86">
            <v>-12115424</v>
          </cell>
        </row>
        <row r="87">
          <cell r="H87" t="str">
            <v>Provisions Dec 05</v>
          </cell>
          <cell r="M87">
            <v>73708</v>
          </cell>
        </row>
        <row r="88">
          <cell r="H88" t="str">
            <v>Provisions Dec 05</v>
          </cell>
          <cell r="M88">
            <v>-13631</v>
          </cell>
        </row>
        <row r="89">
          <cell r="H89" t="str">
            <v>Provisions Dec 05</v>
          </cell>
          <cell r="M89">
            <v>-105058.9</v>
          </cell>
        </row>
        <row r="90">
          <cell r="H90" t="str">
            <v>Provisions Dec 05</v>
          </cell>
          <cell r="M90">
            <v>71713</v>
          </cell>
        </row>
        <row r="91">
          <cell r="H91" t="str">
            <v>Provisions Dec 05</v>
          </cell>
          <cell r="M91">
            <v>-47380</v>
          </cell>
        </row>
        <row r="92">
          <cell r="H92" t="str">
            <v>Provisions Dec 05</v>
          </cell>
          <cell r="M92">
            <v>-604426</v>
          </cell>
        </row>
        <row r="93">
          <cell r="H93" t="str">
            <v>Provisions Dec 05</v>
          </cell>
          <cell r="M93">
            <v>-1116101</v>
          </cell>
        </row>
        <row r="94">
          <cell r="H94" t="str">
            <v>Provisions Dec 05</v>
          </cell>
          <cell r="M94">
            <v>7976205</v>
          </cell>
        </row>
        <row r="95">
          <cell r="H95" t="str">
            <v>Provisions Dec 05</v>
          </cell>
          <cell r="M95">
            <v>692298</v>
          </cell>
        </row>
        <row r="96">
          <cell r="H96" t="str">
            <v>Provisions Dec 05</v>
          </cell>
          <cell r="M96">
            <v>12115424</v>
          </cell>
        </row>
        <row r="97">
          <cell r="H97" t="str">
            <v>Provisions Dec 05</v>
          </cell>
          <cell r="M97">
            <v>13631</v>
          </cell>
        </row>
        <row r="98">
          <cell r="H98" t="str">
            <v>Provisions Dec 05</v>
          </cell>
          <cell r="M98">
            <v>105058.9</v>
          </cell>
        </row>
        <row r="99">
          <cell r="H99" t="str">
            <v>Provisions Dec 05</v>
          </cell>
          <cell r="M99">
            <v>-71713</v>
          </cell>
        </row>
        <row r="100">
          <cell r="H100" t="str">
            <v>Provisions Dec 05</v>
          </cell>
          <cell r="M100">
            <v>47380</v>
          </cell>
        </row>
        <row r="101">
          <cell r="H101" t="str">
            <v>Provisions Dec 05</v>
          </cell>
          <cell r="M101">
            <v>604426</v>
          </cell>
        </row>
        <row r="102">
          <cell r="H102" t="str">
            <v>Provisions Dec 05</v>
          </cell>
          <cell r="M102">
            <v>1116101</v>
          </cell>
        </row>
        <row r="103">
          <cell r="H103" t="str">
            <v>INDORE BALANCE REVERSAL</v>
          </cell>
          <cell r="M103">
            <v>30503</v>
          </cell>
        </row>
        <row r="104">
          <cell r="H104" t="str">
            <v>SALARIES &amp; WAGES</v>
          </cell>
          <cell r="M104">
            <v>-220</v>
          </cell>
        </row>
        <row r="105">
          <cell r="H105" t="str">
            <v>EXGRATIA &amp; BONUS 05-06</v>
          </cell>
          <cell r="M105">
            <v>-4920469</v>
          </cell>
        </row>
        <row r="106">
          <cell r="H106" t="str">
            <v>Wink DJ Salary March 06</v>
          </cell>
          <cell r="M106">
            <v>-134484</v>
          </cell>
        </row>
        <row r="107">
          <cell r="H107" t="str">
            <v>Wink Chef Salary March 06</v>
          </cell>
          <cell r="M107">
            <v>-37700</v>
          </cell>
        </row>
        <row r="108">
          <cell r="H108" t="str">
            <v>Newspapers bills (HT &amp; Asianage)</v>
          </cell>
          <cell r="M108">
            <v>-2690</v>
          </cell>
        </row>
        <row r="109">
          <cell r="H109" t="str">
            <v>Performance Bonus FTC 05-06</v>
          </cell>
          <cell r="M109">
            <v>-1200000</v>
          </cell>
        </row>
        <row r="110">
          <cell r="H110" t="str">
            <v>Performance Bonus Executive 05-06</v>
          </cell>
          <cell r="M110">
            <v>-1900000</v>
          </cell>
        </row>
        <row r="111">
          <cell r="H111" t="str">
            <v>Performance Bonus Staff 05-06</v>
          </cell>
          <cell r="M111">
            <v>-1300000</v>
          </cell>
        </row>
        <row r="112">
          <cell r="H112" t="str">
            <v>Performance Bonus Deputed Staff 05-06</v>
          </cell>
          <cell r="M112">
            <v>-3900000</v>
          </cell>
        </row>
        <row r="113">
          <cell r="H113" t="str">
            <v>Provisions Dec 05</v>
          </cell>
          <cell r="M113">
            <v>-73708</v>
          </cell>
        </row>
        <row r="114">
          <cell r="H114" t="str">
            <v>Provision Bills to be recd</v>
          </cell>
          <cell r="M114">
            <v>-938670</v>
          </cell>
        </row>
        <row r="115">
          <cell r="H115" t="str">
            <v>Kitchen Equipment Repairs &amp; Maint.</v>
          </cell>
          <cell r="M115">
            <v>-6505</v>
          </cell>
        </row>
        <row r="116">
          <cell r="H116" t="str">
            <v xml:space="preserve">Excess Credited to o/s -CWIP </v>
          </cell>
          <cell r="M116">
            <v>6505</v>
          </cell>
        </row>
        <row r="117">
          <cell r="H117" t="str">
            <v>Furniture Repairs &amp; Maintenance</v>
          </cell>
          <cell r="M117">
            <v>-189806</v>
          </cell>
        </row>
        <row r="118">
          <cell r="H118" t="str">
            <v xml:space="preserve">Excess Credited to o/s -CWIP </v>
          </cell>
          <cell r="M118">
            <v>189806</v>
          </cell>
        </row>
        <row r="119">
          <cell r="H119" t="str">
            <v>Staff Accommodations - Rent</v>
          </cell>
          <cell r="M119">
            <v>-127752</v>
          </cell>
        </row>
        <row r="120">
          <cell r="H120" t="str">
            <v xml:space="preserve">Excess Credited to o/s -CWIP </v>
          </cell>
          <cell r="M120">
            <v>17613</v>
          </cell>
        </row>
        <row r="121">
          <cell r="H121" t="str">
            <v xml:space="preserve">Excess Credited to o/s -CWIP </v>
          </cell>
          <cell r="M121">
            <v>25000</v>
          </cell>
        </row>
        <row r="122">
          <cell r="H122" t="str">
            <v xml:space="preserve">Excess Credited to o/s -CWIP </v>
          </cell>
          <cell r="M122">
            <v>85139</v>
          </cell>
        </row>
        <row r="123">
          <cell r="H123" t="str">
            <v>Electrical Repairs &amp; Maintenance</v>
          </cell>
          <cell r="M123">
            <v>-254409</v>
          </cell>
        </row>
        <row r="124">
          <cell r="H124" t="str">
            <v xml:space="preserve">Excess Credited to o/s -CWIP </v>
          </cell>
          <cell r="M124">
            <v>72006</v>
          </cell>
        </row>
        <row r="125">
          <cell r="H125" t="str">
            <v xml:space="preserve">Excess Credited to o/s -CWIP </v>
          </cell>
          <cell r="M125">
            <v>66768</v>
          </cell>
        </row>
        <row r="126">
          <cell r="H126" t="str">
            <v>Commission to Travel Agents 2002-03</v>
          </cell>
          <cell r="M126">
            <v>7004.88</v>
          </cell>
        </row>
        <row r="127">
          <cell r="H127" t="str">
            <v>Furniture &amp; Equipment Hire 2002-03</v>
          </cell>
          <cell r="M127">
            <v>108630.12</v>
          </cell>
        </row>
        <row r="128">
          <cell r="H128" t="str">
            <v>Other Equipment Repairs &amp; Maintenance</v>
          </cell>
          <cell r="M128">
            <v>-12588</v>
          </cell>
        </row>
        <row r="129">
          <cell r="H129" t="str">
            <v>Furniture &amp; Equipment Hire 2002-03</v>
          </cell>
          <cell r="M129">
            <v>12588</v>
          </cell>
        </row>
        <row r="130">
          <cell r="H130" t="str">
            <v>Maintenance of Guest Rooms</v>
          </cell>
          <cell r="M130">
            <v>-19979</v>
          </cell>
        </row>
        <row r="131">
          <cell r="H131" t="str">
            <v>Furniture &amp; Equipment Hire 2002-03</v>
          </cell>
          <cell r="M131">
            <v>19979</v>
          </cell>
        </row>
        <row r="132">
          <cell r="H132" t="str">
            <v>Airport Transfer Charges Indi travels</v>
          </cell>
          <cell r="M132">
            <v>-80325</v>
          </cell>
        </row>
        <row r="133">
          <cell r="H133" t="str">
            <v>Furniture &amp; Equipment Hire 2002-03</v>
          </cell>
          <cell r="M133">
            <v>23895.88</v>
          </cell>
        </row>
        <row r="134">
          <cell r="H134" t="str">
            <v>Building 2002-03</v>
          </cell>
          <cell r="M134">
            <v>43200</v>
          </cell>
        </row>
        <row r="135">
          <cell r="H135" t="str">
            <v>Catering Supplies 2002-03</v>
          </cell>
          <cell r="M135">
            <v>13229.12</v>
          </cell>
        </row>
        <row r="136">
          <cell r="H136" t="str">
            <v>Education Cess Short Paid - Oct'04</v>
          </cell>
          <cell r="M136">
            <v>-305</v>
          </cell>
        </row>
        <row r="137">
          <cell r="H137" t="str">
            <v>Mandap Keeper - Mar'05</v>
          </cell>
          <cell r="M137">
            <v>305</v>
          </cell>
        </row>
        <row r="138">
          <cell r="H138" t="str">
            <v>TMM STAFF SALARY</v>
          </cell>
          <cell r="M138">
            <v>-88451</v>
          </cell>
        </row>
        <row r="139">
          <cell r="H139" t="str">
            <v>Catering Supplies 2002-03</v>
          </cell>
          <cell r="M139">
            <v>12924.88</v>
          </cell>
        </row>
        <row r="140">
          <cell r="H140" t="str">
            <v>Printing &amp; Sationery 2002-03</v>
          </cell>
          <cell r="M140">
            <v>5590.6</v>
          </cell>
        </row>
        <row r="141">
          <cell r="H141" t="str">
            <v>Printing &amp; Sationery - Office 2002-03</v>
          </cell>
          <cell r="M141">
            <v>9095.84</v>
          </cell>
        </row>
        <row r="142">
          <cell r="H142" t="str">
            <v>Data Processors Repairs 2002-03</v>
          </cell>
          <cell r="M142">
            <v>1500</v>
          </cell>
        </row>
        <row r="143">
          <cell r="H143" t="str">
            <v>Cleaning Supplies 2002-03</v>
          </cell>
          <cell r="M143">
            <v>845</v>
          </cell>
        </row>
        <row r="144">
          <cell r="H144" t="str">
            <v>Household Supplies 2002-03</v>
          </cell>
          <cell r="M144">
            <v>9000</v>
          </cell>
        </row>
        <row r="145">
          <cell r="H145" t="str">
            <v>Printing &amp; Sationery  2002-03</v>
          </cell>
          <cell r="M145">
            <v>14300</v>
          </cell>
        </row>
        <row r="146">
          <cell r="H146" t="str">
            <v>Kitchen Equipment Repairs 2002-03</v>
          </cell>
          <cell r="M146">
            <v>35194.68</v>
          </cell>
        </row>
        <row r="147">
          <cell r="H147" t="str">
            <v>TMM STAFF LTA</v>
          </cell>
          <cell r="M147">
            <v>-61040</v>
          </cell>
        </row>
        <row r="148">
          <cell r="H148" t="str">
            <v>Kitchen Equipment Repairs 2002-03</v>
          </cell>
          <cell r="M148">
            <v>30606.32</v>
          </cell>
        </row>
        <row r="149">
          <cell r="H149" t="str">
            <v>RENT PUSHPA BHAVAN FEB05</v>
          </cell>
          <cell r="M149">
            <v>-56250</v>
          </cell>
        </row>
        <row r="150">
          <cell r="H150" t="str">
            <v>Stipend 2002-03</v>
          </cell>
          <cell r="M150">
            <v>4590</v>
          </cell>
        </row>
        <row r="151">
          <cell r="H151" t="str">
            <v>Other Perishable Supplies 2002-03</v>
          </cell>
          <cell r="M151">
            <v>5000</v>
          </cell>
        </row>
        <row r="152">
          <cell r="H152" t="str">
            <v>Uniforms - Rooms 2002-03</v>
          </cell>
          <cell r="M152">
            <v>180</v>
          </cell>
        </row>
        <row r="153">
          <cell r="H153" t="str">
            <v>Contracto's staff/Tem Staff 2002-03</v>
          </cell>
          <cell r="M153">
            <v>8036</v>
          </cell>
        </row>
        <row r="154">
          <cell r="H154" t="str">
            <v xml:space="preserve">Excess Credited to o/s -CWIP </v>
          </cell>
          <cell r="M154">
            <v>38444</v>
          </cell>
        </row>
        <row r="155">
          <cell r="H155" t="str">
            <v>PROJECT SUPERVISION CHGS 04-05</v>
          </cell>
          <cell r="M155">
            <v>-167398</v>
          </cell>
        </row>
        <row r="156">
          <cell r="H156" t="str">
            <v xml:space="preserve">Excess Credited to o/s -CWIP </v>
          </cell>
          <cell r="M156">
            <v>10788</v>
          </cell>
        </row>
        <row r="157">
          <cell r="H157" t="str">
            <v xml:space="preserve">Excess Credited to o/s -CWIP </v>
          </cell>
          <cell r="M157">
            <v>2074</v>
          </cell>
        </row>
        <row r="158">
          <cell r="H158" t="str">
            <v xml:space="preserve">Excess Credited to o/s -CWIP </v>
          </cell>
          <cell r="M158">
            <v>10379</v>
          </cell>
        </row>
        <row r="159">
          <cell r="H159" t="str">
            <v xml:space="preserve">Excess Credited to o/s -CWIP </v>
          </cell>
          <cell r="M159">
            <v>144157</v>
          </cell>
        </row>
        <row r="160">
          <cell r="H160" t="str">
            <v xml:space="preserve">Excess Credited to o/s -CWIP </v>
          </cell>
          <cell r="M160">
            <v>30433.68</v>
          </cell>
        </row>
        <row r="161">
          <cell r="H161" t="str">
            <v>INDORE BALANCE REVERSAL</v>
          </cell>
          <cell r="M161">
            <v>-30503</v>
          </cell>
        </row>
        <row r="162">
          <cell r="H162" t="str">
            <v xml:space="preserve">Excess Credited to o/s -CWIP </v>
          </cell>
          <cell r="M162">
            <v>30503</v>
          </cell>
        </row>
        <row r="163">
          <cell r="H163" t="str">
            <v>Contractor's Staff</v>
          </cell>
          <cell r="M163">
            <v>300000</v>
          </cell>
        </row>
        <row r="164">
          <cell r="H164" t="str">
            <v xml:space="preserve">Excess Credited to o/s -CWIP </v>
          </cell>
          <cell r="M164">
            <v>1029020</v>
          </cell>
        </row>
        <row r="165">
          <cell r="H165" t="str">
            <v>Commission to Travel Agents</v>
          </cell>
          <cell r="M165">
            <v>441150.03</v>
          </cell>
        </row>
        <row r="166">
          <cell r="H166" t="str">
            <v>Printing &amp; Stationery - Office</v>
          </cell>
          <cell r="M166">
            <v>36317.14</v>
          </cell>
        </row>
        <row r="167">
          <cell r="H167" t="str">
            <v>Christmas Decorations</v>
          </cell>
          <cell r="M167">
            <v>-75125</v>
          </cell>
        </row>
        <row r="168">
          <cell r="H168" t="str">
            <v>Yong Tong HP 6186</v>
          </cell>
          <cell r="M168">
            <v>-123316</v>
          </cell>
        </row>
        <row r="169">
          <cell r="H169" t="str">
            <v>Orion Cabling Work (Wink Bar)</v>
          </cell>
          <cell r="M169">
            <v>-500000</v>
          </cell>
        </row>
        <row r="170">
          <cell r="H170" t="str">
            <v>Orion Cabling Work (Old Massage Room)</v>
          </cell>
          <cell r="M170">
            <v>-500000</v>
          </cell>
        </row>
        <row r="171">
          <cell r="H171" t="str">
            <v>Spares for Guest Elevator</v>
          </cell>
          <cell r="M171">
            <v>-300000</v>
          </cell>
        </row>
        <row r="172">
          <cell r="H172" t="str">
            <v>ISO 14001 &amp; OHSAS 18001</v>
          </cell>
          <cell r="M172">
            <v>-900000</v>
          </cell>
        </row>
        <row r="173">
          <cell r="H173" t="str">
            <v>Richie International Audit</v>
          </cell>
          <cell r="M173">
            <v>-400000</v>
          </cell>
        </row>
        <row r="174">
          <cell r="H174" t="str">
            <v>Water charges (15/3/06 to 31/3/06)</v>
          </cell>
          <cell r="M174">
            <v>-200000</v>
          </cell>
        </row>
        <row r="175">
          <cell r="H175" t="str">
            <v>Staff Unused Domiciliary Medical Payable</v>
          </cell>
          <cell r="M175">
            <v>-365000</v>
          </cell>
        </row>
        <row r="176">
          <cell r="H176" t="str">
            <v>Torres Gran Coronas (31/03/06)</v>
          </cell>
          <cell r="M176">
            <v>-7764</v>
          </cell>
        </row>
        <row r="177">
          <cell r="H177" t="str">
            <v>Torres Fransola (31/03/06)</v>
          </cell>
          <cell r="M177">
            <v>-12000</v>
          </cell>
        </row>
        <row r="178">
          <cell r="H178" t="str">
            <v>William Grants (31/03/06)</v>
          </cell>
          <cell r="M178">
            <v>-28557</v>
          </cell>
        </row>
        <row r="179">
          <cell r="H179" t="str">
            <v>D.J.Entp (L.T.Panel Board)</v>
          </cell>
          <cell r="M179">
            <v>-436078</v>
          </cell>
        </row>
        <row r="180">
          <cell r="H180" t="str">
            <v>Freezomatic</v>
          </cell>
          <cell r="M180">
            <v>-300000</v>
          </cell>
        </row>
        <row r="181">
          <cell r="H181" t="str">
            <v>D.G.Set (Spares Trading Corp)</v>
          </cell>
          <cell r="M181">
            <v>-1000000</v>
          </cell>
        </row>
        <row r="182">
          <cell r="H182" t="str">
            <v>Mangalam (Bag Valet Jute)</v>
          </cell>
          <cell r="M182">
            <v>-7868</v>
          </cell>
        </row>
        <row r="183">
          <cell r="H183" t="str">
            <v>Global Foods (Sea Food Items)</v>
          </cell>
          <cell r="M183">
            <v>-160926</v>
          </cell>
        </row>
        <row r="184">
          <cell r="H184" t="str">
            <v>Rosen International (Provision Items)</v>
          </cell>
          <cell r="M184">
            <v>-104776</v>
          </cell>
        </row>
        <row r="185">
          <cell r="H185" t="str">
            <v>Mohd Vasi Khan (Bread)</v>
          </cell>
          <cell r="M185">
            <v>-456</v>
          </cell>
        </row>
        <row r="186">
          <cell r="H186" t="str">
            <v>Nimiken (Cleaner Chaffing Dish)</v>
          </cell>
          <cell r="M186">
            <v>-15188</v>
          </cell>
        </row>
        <row r="187">
          <cell r="H187" t="str">
            <v>Global Foods (Fish Fillet)</v>
          </cell>
          <cell r="M187">
            <v>-67548</v>
          </cell>
        </row>
        <row r="188">
          <cell r="H188" t="str">
            <v>Gourmet Logistics (Provision Items)</v>
          </cell>
          <cell r="M188">
            <v>-35886</v>
          </cell>
        </row>
        <row r="189">
          <cell r="H189" t="str">
            <v>Placement Charges (Mirko Chattini)</v>
          </cell>
          <cell r="M189">
            <v>-800000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solidation"/>
      <sheetName val="Assets - Consolidation"/>
      <sheetName val="Index"/>
      <sheetName val="Cash Flow"/>
      <sheetName val="Summary Assumption"/>
      <sheetName val="Highlights"/>
      <sheetName val="Income Statement (Cons.)"/>
      <sheetName val="Income Statement (Africa)"/>
      <sheetName val="Income Statement (India)"/>
      <sheetName val="Income Statement (Base Case)"/>
      <sheetName val="Balance Sheet"/>
      <sheetName val="Working Capital"/>
      <sheetName val="IT Depreciation"/>
      <sheetName val="Income Statement (Pens)"/>
      <sheetName val="FA Schedule"/>
      <sheetName val="RATE"/>
      <sheetName val="Other Assumptions"/>
      <sheetName val="RM Cost Assumptions"/>
      <sheetName val="PMP Assumptions 2"/>
      <sheetName val="PMP Assumptions 1"/>
      <sheetName val="Revenue Assumptions"/>
      <sheetName val="Income Statement (Tips)"/>
      <sheetName val="Co_IT Depreciation (Tips)"/>
      <sheetName val="Tips Assumptions"/>
      <sheetName val="Segment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2">
          <cell r="B32" t="str">
            <v>SAN</v>
          </cell>
        </row>
        <row r="33">
          <cell r="B33" t="str">
            <v>DERLIN</v>
          </cell>
        </row>
        <row r="34">
          <cell r="B34" t="str">
            <v>PS</v>
          </cell>
        </row>
        <row r="35">
          <cell r="B35" t="str">
            <v>POLYCARBONATE</v>
          </cell>
        </row>
        <row r="36">
          <cell r="B36" t="str">
            <v>POLYPROPLYNE</v>
          </cell>
        </row>
        <row r="37">
          <cell r="B37" t="str">
            <v>ABS</v>
          </cell>
        </row>
        <row r="38">
          <cell r="B38" t="str">
            <v>SANTOPRENE</v>
          </cell>
        </row>
        <row r="39">
          <cell r="B39" t="str">
            <v>ELASTOMER</v>
          </cell>
        </row>
        <row r="40">
          <cell r="B40" t="str">
            <v>ABS 50% + SAN 50%</v>
          </cell>
        </row>
        <row r="41">
          <cell r="B41" t="str">
            <v>ABS 75% + SAN 25%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_Sheet1"/>
      <sheetName val="BneLog"/>
      <sheetName val="Sheet1"/>
      <sheetName val="os gl ac"/>
    </sheetNames>
    <sheetDataSet>
      <sheetData sheetId="0" refreshError="1">
        <row r="1">
          <cell r="A1" t="str">
            <v>CIP</v>
          </cell>
          <cell r="B1" t="str">
            <v>No</v>
          </cell>
        </row>
        <row r="2">
          <cell r="A2" t="str">
            <v>Capitalized</v>
          </cell>
          <cell r="B2" t="str">
            <v>Yes</v>
          </cell>
        </row>
        <row r="3">
          <cell r="A3" t="str">
            <v>Expensed</v>
          </cell>
        </row>
        <row r="4">
          <cell r="A4" t="str">
            <v>Group Asset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Comparable Traded Companies "/>
      <sheetName val="Exchange Rates"/>
      <sheetName val="Translated Comparables Output"/>
      <sheetName val="COMPS"/>
      <sheetName val="TradingStats"/>
      <sheetName val="OperatingStats"/>
      <sheetName val="TradingStatsCharts"/>
      <sheetName val="Comparable M&amp;A Transactions"/>
      <sheetName val="TransactionsCharts"/>
      <sheetName val="WACC Calculation"/>
      <sheetName val="WACC II"/>
      <sheetName val="Valuation Summary"/>
      <sheetName val="Module1"/>
      <sheetName val="PopCache_Sheet1"/>
      <sheetName val="options"/>
      <sheetName val="mltc"/>
      <sheetName val="Macros"/>
      <sheetName val="Marh__Prfl_01"/>
      <sheetName val="Comparable_Traded_Companies_"/>
      <sheetName val="Exchange_Rates"/>
      <sheetName val="Translated_Comparables_Output"/>
      <sheetName val="Comparable_M&amp;A_Transactions"/>
      <sheetName val="WACC_Calculation"/>
      <sheetName val="WACC_II"/>
      <sheetName val="Valuation_Summary"/>
      <sheetName val="PACKING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/>
          </cell>
          <cell r="B1" t="str">
            <v/>
          </cell>
          <cell r="F1" t="str">
            <v/>
          </cell>
        </row>
        <row r="2">
          <cell r="A2" t="str">
            <v>North American Regional Airline Comparable Analysis</v>
          </cell>
        </row>
        <row r="4">
          <cell r="B4" t="str">
            <v>REGIONAL CODESHARE</v>
          </cell>
          <cell r="N4" t="str">
            <v>NICHE CARRIERS</v>
          </cell>
        </row>
        <row r="5">
          <cell r="B5" t="str">
            <v>ACA</v>
          </cell>
          <cell r="D5" t="str">
            <v>Comair</v>
          </cell>
          <cell r="F5" t="str">
            <v>Mesa Air</v>
          </cell>
          <cell r="H5" t="str">
            <v>Mesaba</v>
          </cell>
          <cell r="J5" t="str">
            <v>Conti</v>
          </cell>
          <cell r="L5" t="str">
            <v>SkyWest</v>
          </cell>
          <cell r="N5" t="str">
            <v>Airtran</v>
          </cell>
          <cell r="P5" t="str">
            <v>Amtran</v>
          </cell>
          <cell r="R5" t="str">
            <v>Frontier</v>
          </cell>
          <cell r="T5" t="str">
            <v>Midway</v>
          </cell>
          <cell r="V5" t="str">
            <v>Midwest Express</v>
          </cell>
        </row>
        <row r="6">
          <cell r="A6" t="str">
            <v>FYE</v>
          </cell>
          <cell r="B6">
            <v>36160</v>
          </cell>
          <cell r="D6">
            <v>36250</v>
          </cell>
          <cell r="F6">
            <v>36068</v>
          </cell>
          <cell r="H6">
            <v>36250</v>
          </cell>
          <cell r="J6">
            <v>0</v>
          </cell>
          <cell r="L6">
            <v>36250</v>
          </cell>
          <cell r="N6">
            <v>36160</v>
          </cell>
          <cell r="P6">
            <v>36160</v>
          </cell>
          <cell r="R6">
            <v>36250</v>
          </cell>
          <cell r="T6">
            <v>36160</v>
          </cell>
          <cell r="V6">
            <v>36160</v>
          </cell>
        </row>
        <row r="7">
          <cell r="A7" t="str">
            <v>Last Interim Period</v>
          </cell>
          <cell r="B7">
            <v>36250</v>
          </cell>
          <cell r="D7">
            <v>36250</v>
          </cell>
          <cell r="F7">
            <v>36250</v>
          </cell>
          <cell r="H7">
            <v>36250</v>
          </cell>
          <cell r="J7">
            <v>0</v>
          </cell>
          <cell r="L7">
            <v>36250</v>
          </cell>
          <cell r="N7">
            <v>36250</v>
          </cell>
          <cell r="P7">
            <v>36250</v>
          </cell>
          <cell r="R7">
            <v>36250</v>
          </cell>
          <cell r="T7">
            <v>36250</v>
          </cell>
          <cell r="V7">
            <v>36250</v>
          </cell>
        </row>
        <row r="8">
          <cell r="A8" t="str">
            <v>Corporate Credit Ratings</v>
          </cell>
        </row>
        <row r="9">
          <cell r="A9" t="str">
            <v>Rating</v>
          </cell>
          <cell r="B9" t="str">
            <v>B</v>
          </cell>
          <cell r="D9" t="str">
            <v>NA</v>
          </cell>
          <cell r="F9" t="str">
            <v>NA</v>
          </cell>
          <cell r="H9" t="str">
            <v>NA</v>
          </cell>
          <cell r="J9" t="str">
            <v>NA</v>
          </cell>
          <cell r="L9" t="str">
            <v>NA</v>
          </cell>
          <cell r="N9" t="str">
            <v>B-</v>
          </cell>
          <cell r="P9" t="str">
            <v>B+</v>
          </cell>
          <cell r="R9" t="str">
            <v>NA</v>
          </cell>
          <cell r="T9" t="str">
            <v>B-</v>
          </cell>
          <cell r="V9" t="str">
            <v>NA</v>
          </cell>
        </row>
        <row r="10">
          <cell r="A10" t="str">
            <v>Outlook</v>
          </cell>
          <cell r="B10" t="str">
            <v>Positive</v>
          </cell>
          <cell r="D10" t="str">
            <v>NA</v>
          </cell>
          <cell r="F10" t="str">
            <v>NA</v>
          </cell>
          <cell r="H10" t="str">
            <v>NA</v>
          </cell>
          <cell r="J10" t="str">
            <v>NA</v>
          </cell>
          <cell r="L10" t="str">
            <v>NA</v>
          </cell>
          <cell r="N10" t="str">
            <v>Stable</v>
          </cell>
          <cell r="P10" t="str">
            <v>Stable</v>
          </cell>
          <cell r="R10" t="str">
            <v>NA</v>
          </cell>
          <cell r="T10" t="str">
            <v>Negative</v>
          </cell>
          <cell r="V10" t="str">
            <v>NA</v>
          </cell>
        </row>
        <row r="12">
          <cell r="A12" t="str">
            <v>Operating Statistics</v>
          </cell>
        </row>
        <row r="13">
          <cell r="A13" t="str">
            <v>ASMs</v>
          </cell>
          <cell r="B13">
            <v>1521.915</v>
          </cell>
          <cell r="D13">
            <v>3451.23</v>
          </cell>
          <cell r="F13">
            <v>2072.0610000000001</v>
          </cell>
          <cell r="H13">
            <v>1994.626</v>
          </cell>
          <cell r="J13">
            <v>0</v>
          </cell>
          <cell r="L13">
            <v>1844.123</v>
          </cell>
          <cell r="N13">
            <v>5509.9629999999997</v>
          </cell>
          <cell r="P13">
            <v>14211.735999999999</v>
          </cell>
          <cell r="R13">
            <v>2537.5030000000002</v>
          </cell>
          <cell r="T13">
            <v>1547.423</v>
          </cell>
          <cell r="V13">
            <v>2776.1670000000004</v>
          </cell>
        </row>
        <row r="14">
          <cell r="A14" t="str">
            <v>RPMs</v>
          </cell>
          <cell r="B14">
            <v>862.6099999999999</v>
          </cell>
          <cell r="D14">
            <v>2172.8000000000002</v>
          </cell>
          <cell r="F14">
            <v>1072.9960000000001</v>
          </cell>
          <cell r="H14">
            <v>1112.05</v>
          </cell>
          <cell r="J14">
            <v>0</v>
          </cell>
          <cell r="L14">
            <v>1015.872</v>
          </cell>
          <cell r="N14">
            <v>3342.2060000000001</v>
          </cell>
          <cell r="P14">
            <v>10050.623</v>
          </cell>
          <cell r="R14">
            <v>1506.597</v>
          </cell>
          <cell r="T14">
            <v>1015.117</v>
          </cell>
          <cell r="V14">
            <v>1778.4059999999999</v>
          </cell>
        </row>
        <row r="15">
          <cell r="A15" t="str">
            <v>Load Factor</v>
          </cell>
          <cell r="B15">
            <v>0.56679249498165141</v>
          </cell>
          <cell r="D15">
            <v>0.62957264511493005</v>
          </cell>
          <cell r="F15">
            <v>0.51783996706660662</v>
          </cell>
          <cell r="H15">
            <v>0.55752306447424227</v>
          </cell>
          <cell r="J15" t="e">
            <v>#DIV/0!</v>
          </cell>
          <cell r="L15">
            <v>0.55086997993083975</v>
          </cell>
          <cell r="N15">
            <v>0.6065750350773681</v>
          </cell>
          <cell r="P15">
            <v>0.70720586140919028</v>
          </cell>
          <cell r="R15">
            <v>0.5937321059324856</v>
          </cell>
          <cell r="T15">
            <v>0.65600485452264823</v>
          </cell>
          <cell r="V15">
            <v>0.6405976297535414</v>
          </cell>
        </row>
        <row r="16">
          <cell r="A16" t="str">
            <v>Revenue/ASM (cents)</v>
          </cell>
          <cell r="B16">
            <v>20.033247586100408</v>
          </cell>
          <cell r="D16">
            <v>22.116491801473678</v>
          </cell>
          <cell r="F16">
            <v>16.139051890846844</v>
          </cell>
          <cell r="H16">
            <v>16.632341100537143</v>
          </cell>
          <cell r="J16" t="e">
            <v>#DIV/0!</v>
          </cell>
          <cell r="L16">
            <v>21.073757010785073</v>
          </cell>
          <cell r="N16">
            <v>8.4327063539265161</v>
          </cell>
          <cell r="P16">
            <v>6.8110820521856024</v>
          </cell>
          <cell r="R16">
            <v>8.693889622987637</v>
          </cell>
          <cell r="T16">
            <v>13.952487458180471</v>
          </cell>
          <cell r="V16">
            <v>14.384689393685607</v>
          </cell>
        </row>
        <row r="17">
          <cell r="A17" t="str">
            <v>Cost/ASM (cents)</v>
          </cell>
          <cell r="B17">
            <v>16.160298045554452</v>
          </cell>
          <cell r="D17">
            <v>15.311410714440941</v>
          </cell>
          <cell r="F17">
            <v>14.498366602141541</v>
          </cell>
          <cell r="H17">
            <v>14.514199654471566</v>
          </cell>
          <cell r="J17" t="e">
            <v>#DIV/0!</v>
          </cell>
          <cell r="L17">
            <v>16.288718268792266</v>
          </cell>
          <cell r="N17">
            <v>7.4487796016053114</v>
          </cell>
          <cell r="P17">
            <v>5.6635234428784775</v>
          </cell>
          <cell r="R17">
            <v>7.6558839930435534</v>
          </cell>
          <cell r="T17">
            <v>11.556503942360944</v>
          </cell>
          <cell r="V17">
            <v>11.929037410213432</v>
          </cell>
        </row>
        <row r="18">
          <cell r="A18" t="str">
            <v>Fleet Average Age (as of last FYE)</v>
          </cell>
          <cell r="B18">
            <v>7.6833333333333336</v>
          </cell>
          <cell r="D18">
            <v>7.6833333333333336</v>
          </cell>
          <cell r="F18">
            <v>7.6833333333333336</v>
          </cell>
          <cell r="H18">
            <v>7.6833333333333336</v>
          </cell>
          <cell r="J18">
            <v>7.6833333333333336</v>
          </cell>
          <cell r="L18">
            <v>7.6833333333333336</v>
          </cell>
          <cell r="N18">
            <v>7.6833333333333336</v>
          </cell>
          <cell r="P18">
            <v>7.6833333333333336</v>
          </cell>
          <cell r="R18">
            <v>7.6833333333333336</v>
          </cell>
          <cell r="T18">
            <v>7.6833333333333336</v>
          </cell>
          <cell r="V18">
            <v>7.6833333333333336</v>
          </cell>
        </row>
        <row r="20">
          <cell r="A20" t="str">
            <v>Operating Results</v>
          </cell>
        </row>
        <row r="21">
          <cell r="A21" t="str">
            <v>Revenues</v>
          </cell>
          <cell r="B21">
            <v>304.88900000000001</v>
          </cell>
          <cell r="D21">
            <v>763.29100000000005</v>
          </cell>
          <cell r="F21">
            <v>334.41100000000006</v>
          </cell>
          <cell r="H21">
            <v>331.75299999999999</v>
          </cell>
          <cell r="J21">
            <v>0</v>
          </cell>
          <cell r="L21">
            <v>388.62599999999998</v>
          </cell>
          <cell r="N21">
            <v>464.63900000000007</v>
          </cell>
          <cell r="P21">
            <v>967.97299999999996</v>
          </cell>
          <cell r="R21">
            <v>220.60771</v>
          </cell>
          <cell r="T21">
            <v>215.904</v>
          </cell>
          <cell r="V21">
            <v>399.34299999999996</v>
          </cell>
        </row>
        <row r="22">
          <cell r="A22" t="str">
            <v>Operating Expenses (excl Dep &amp; Rent)</v>
          </cell>
          <cell r="B22">
            <v>211.37400000000002</v>
          </cell>
          <cell r="D22">
            <v>445.63500000000005</v>
          </cell>
          <cell r="F22">
            <v>276.86500000000007</v>
          </cell>
          <cell r="H22">
            <v>219.08199999999999</v>
          </cell>
          <cell r="J22">
            <v>0</v>
          </cell>
          <cell r="L22">
            <v>251.15199999999999</v>
          </cell>
          <cell r="N22">
            <v>387.14100000000008</v>
          </cell>
          <cell r="P22">
            <v>749.43899999999996</v>
          </cell>
          <cell r="R22">
            <v>161.75971000000001</v>
          </cell>
          <cell r="T22">
            <v>148.95699999999999</v>
          </cell>
          <cell r="V22">
            <v>311.70099999999996</v>
          </cell>
        </row>
        <row r="23">
          <cell r="A23" t="str">
            <v>Depreciation &amp; Amortization</v>
          </cell>
          <cell r="B23">
            <v>6.4499999999999993</v>
          </cell>
          <cell r="D23">
            <v>30.77</v>
          </cell>
          <cell r="F23">
            <v>19.468000000000004</v>
          </cell>
          <cell r="H23">
            <v>10.026999999999999</v>
          </cell>
          <cell r="J23">
            <v>0</v>
          </cell>
          <cell r="L23">
            <v>23.236999999999998</v>
          </cell>
          <cell r="N23">
            <v>32.615000000000002</v>
          </cell>
          <cell r="P23">
            <v>82.165000000000006</v>
          </cell>
          <cell r="R23">
            <v>1.659429</v>
          </cell>
          <cell r="T23">
            <v>6.85</v>
          </cell>
          <cell r="V23">
            <v>10.656000000000002</v>
          </cell>
        </row>
        <row r="24">
          <cell r="A24" t="str">
            <v>Aircraft Rent</v>
          </cell>
          <cell r="B24">
            <v>34.572000000000003</v>
          </cell>
          <cell r="D24">
            <v>82.796999999999997</v>
          </cell>
          <cell r="F24">
            <v>23.55</v>
          </cell>
          <cell r="H24">
            <v>70.421999999999997</v>
          </cell>
          <cell r="J24">
            <v>0</v>
          </cell>
          <cell r="L24">
            <v>49.231999999999999</v>
          </cell>
          <cell r="N24">
            <v>23.283999999999999</v>
          </cell>
          <cell r="P24">
            <v>55.445999999999998</v>
          </cell>
          <cell r="R24">
            <v>32.508575999999991</v>
          </cell>
          <cell r="T24">
            <v>29.870999999999999</v>
          </cell>
          <cell r="V24">
            <v>19.469000000000001</v>
          </cell>
        </row>
        <row r="25">
          <cell r="A25" t="str">
            <v>Interest Expense</v>
          </cell>
          <cell r="B25">
            <v>4.2199999999999989</v>
          </cell>
          <cell r="D25">
            <v>5.9</v>
          </cell>
          <cell r="F25">
            <v>17.756999999999998</v>
          </cell>
          <cell r="H25">
            <v>0.443</v>
          </cell>
          <cell r="J25">
            <v>0</v>
          </cell>
          <cell r="L25">
            <v>2.3759999999999999</v>
          </cell>
          <cell r="N25">
            <v>25.927999999999997</v>
          </cell>
          <cell r="P25">
            <v>14.627999999999998</v>
          </cell>
          <cell r="R25">
            <v>0.70063500000000001</v>
          </cell>
          <cell r="T25">
            <v>6.7539999999999996</v>
          </cell>
          <cell r="V25">
            <v>0.27800000000000002</v>
          </cell>
        </row>
        <row r="27">
          <cell r="A27" t="str">
            <v>Cash &amp; Marketable Securities</v>
          </cell>
          <cell r="B27">
            <v>56.27</v>
          </cell>
          <cell r="D27">
            <v>171.00399999999999</v>
          </cell>
          <cell r="F27">
            <v>65.527000000000001</v>
          </cell>
          <cell r="H27">
            <v>83.152000000000001</v>
          </cell>
          <cell r="J27">
            <v>0</v>
          </cell>
          <cell r="L27">
            <v>161.81700000000001</v>
          </cell>
          <cell r="N27">
            <v>34.555999999999997</v>
          </cell>
          <cell r="P27">
            <v>124.759</v>
          </cell>
          <cell r="R27">
            <v>51.289071999999997</v>
          </cell>
          <cell r="T27">
            <v>37.887999999999998</v>
          </cell>
          <cell r="V27">
            <v>6.2460000000000004</v>
          </cell>
        </row>
        <row r="28">
          <cell r="A28" t="str">
            <v>B.S. Debt &amp; Capital Leases</v>
          </cell>
          <cell r="B28">
            <v>74.253999999999991</v>
          </cell>
          <cell r="D28">
            <v>114.307</v>
          </cell>
          <cell r="F28">
            <v>265.11700000000002</v>
          </cell>
          <cell r="H28">
            <v>4.7519999999999998</v>
          </cell>
          <cell r="J28">
            <v>0</v>
          </cell>
          <cell r="L28">
            <v>70.326999999999998</v>
          </cell>
          <cell r="N28">
            <v>243.80500000000001</v>
          </cell>
          <cell r="P28">
            <v>246.55199999999999</v>
          </cell>
          <cell r="R28">
            <v>0.54175299999999993</v>
          </cell>
          <cell r="T28">
            <v>82.451999999999998</v>
          </cell>
          <cell r="V28">
            <v>3.1749999999999998</v>
          </cell>
        </row>
        <row r="29">
          <cell r="A29" t="str">
            <v>Off B.S. Debt</v>
          </cell>
          <cell r="B29">
            <v>242.00400000000002</v>
          </cell>
          <cell r="D29">
            <v>579.57899999999995</v>
          </cell>
          <cell r="F29">
            <v>164.85</v>
          </cell>
          <cell r="H29">
            <v>492.95399999999995</v>
          </cell>
          <cell r="J29">
            <v>0</v>
          </cell>
          <cell r="L29">
            <v>344.62400000000002</v>
          </cell>
          <cell r="N29">
            <v>162.988</v>
          </cell>
          <cell r="P29">
            <v>388.12199999999996</v>
          </cell>
          <cell r="R29">
            <v>227.56003199999992</v>
          </cell>
          <cell r="T29">
            <v>209.09699999999998</v>
          </cell>
          <cell r="V29">
            <v>136.28300000000002</v>
          </cell>
        </row>
        <row r="30">
          <cell r="A30" t="str">
            <v>Total Adjusted Debt</v>
          </cell>
          <cell r="B30">
            <v>316.25800000000004</v>
          </cell>
          <cell r="D30">
            <v>693.88599999999997</v>
          </cell>
          <cell r="F30">
            <v>429.96699999999998</v>
          </cell>
          <cell r="H30">
            <v>497.70599999999996</v>
          </cell>
          <cell r="J30">
            <v>0</v>
          </cell>
          <cell r="L30">
            <v>414.95100000000002</v>
          </cell>
          <cell r="N30">
            <v>406.79300000000001</v>
          </cell>
          <cell r="P30">
            <v>634.67399999999998</v>
          </cell>
          <cell r="R30">
            <v>228.10178499999992</v>
          </cell>
          <cell r="T30">
            <v>291.54899999999998</v>
          </cell>
          <cell r="V30">
            <v>139.45800000000003</v>
          </cell>
        </row>
        <row r="31">
          <cell r="A31" t="str">
            <v>Shareholders' Equity</v>
          </cell>
          <cell r="B31">
            <v>114.499</v>
          </cell>
          <cell r="D31">
            <v>432.36900000000003</v>
          </cell>
          <cell r="F31">
            <v>126.31399999999999</v>
          </cell>
          <cell r="H31">
            <v>109.239</v>
          </cell>
          <cell r="J31">
            <v>0</v>
          </cell>
          <cell r="L31">
            <v>256.25599999999997</v>
          </cell>
          <cell r="N31">
            <v>58.737000000000002</v>
          </cell>
          <cell r="P31">
            <v>119.73399999999999</v>
          </cell>
          <cell r="R31">
            <v>44.390649000000003</v>
          </cell>
          <cell r="T31">
            <v>74.467999999999989</v>
          </cell>
          <cell r="V31">
            <v>105.5</v>
          </cell>
        </row>
        <row r="32">
          <cell r="A32" t="str">
            <v>Total Capital</v>
          </cell>
          <cell r="B32">
            <v>188.75299999999999</v>
          </cell>
          <cell r="D32">
            <v>546.67600000000004</v>
          </cell>
          <cell r="F32">
            <v>391.43100000000004</v>
          </cell>
          <cell r="H32">
            <v>113.991</v>
          </cell>
          <cell r="J32">
            <v>0</v>
          </cell>
          <cell r="L32">
            <v>326.58299999999997</v>
          </cell>
          <cell r="N32">
            <v>302.54200000000003</v>
          </cell>
          <cell r="P32">
            <v>366.286</v>
          </cell>
          <cell r="R32">
            <v>44.932402000000003</v>
          </cell>
          <cell r="T32">
            <v>156.91999999999999</v>
          </cell>
          <cell r="V32">
            <v>108.675</v>
          </cell>
        </row>
        <row r="33">
          <cell r="A33" t="str">
            <v>Total Adjusted Capital</v>
          </cell>
          <cell r="B33">
            <v>430.75700000000006</v>
          </cell>
          <cell r="D33">
            <v>1126.2550000000001</v>
          </cell>
          <cell r="F33">
            <v>556.28099999999995</v>
          </cell>
          <cell r="H33">
            <v>606.94499999999994</v>
          </cell>
          <cell r="J33">
            <v>0</v>
          </cell>
          <cell r="L33">
            <v>671.20699999999999</v>
          </cell>
          <cell r="N33">
            <v>465.53000000000003</v>
          </cell>
          <cell r="P33">
            <v>754.40800000000002</v>
          </cell>
          <cell r="R33">
            <v>272.49243399999995</v>
          </cell>
          <cell r="T33">
            <v>366.01699999999994</v>
          </cell>
          <cell r="V33">
            <v>244.95800000000003</v>
          </cell>
        </row>
        <row r="35">
          <cell r="A35" t="str">
            <v>EBITDAR</v>
          </cell>
          <cell r="B35">
            <v>93.514999999999986</v>
          </cell>
          <cell r="D35">
            <v>317.65600000000001</v>
          </cell>
          <cell r="F35">
            <v>57.545999999999992</v>
          </cell>
          <cell r="H35">
            <v>112.67099999999999</v>
          </cell>
          <cell r="J35">
            <v>0</v>
          </cell>
          <cell r="L35">
            <v>137.47399999999999</v>
          </cell>
          <cell r="N35">
            <v>77.49799999999999</v>
          </cell>
          <cell r="P35">
            <v>218.53399999999999</v>
          </cell>
          <cell r="R35">
            <v>58.847999999999985</v>
          </cell>
          <cell r="T35">
            <v>66.947000000000003</v>
          </cell>
          <cell r="V35">
            <v>87.641999999999996</v>
          </cell>
        </row>
        <row r="36">
          <cell r="A36" t="str">
            <v xml:space="preserve">     % Margin</v>
          </cell>
          <cell r="B36">
            <v>0.30671818268287798</v>
          </cell>
          <cell r="D36">
            <v>0.41616631140678978</v>
          </cell>
          <cell r="F36">
            <v>0.17208165999324179</v>
          </cell>
          <cell r="H36">
            <v>0.33962315337012777</v>
          </cell>
          <cell r="J36" t="e">
            <v>#DIV/0!</v>
          </cell>
          <cell r="L36">
            <v>0.35374370217123918</v>
          </cell>
          <cell r="N36">
            <v>0.16679185346042838</v>
          </cell>
          <cell r="P36">
            <v>0.22576456161483843</v>
          </cell>
          <cell r="R36">
            <v>0.26675404952981918</v>
          </cell>
          <cell r="T36">
            <v>0.31007762709352304</v>
          </cell>
          <cell r="V36">
            <v>0.21946547203782213</v>
          </cell>
        </row>
        <row r="37">
          <cell r="A37" t="str">
            <v>EBITDA</v>
          </cell>
          <cell r="B37">
            <v>58.942999999999984</v>
          </cell>
          <cell r="D37">
            <v>234.85900000000001</v>
          </cell>
          <cell r="F37">
            <v>33.995999999999995</v>
          </cell>
          <cell r="H37">
            <v>42.248999999999995</v>
          </cell>
          <cell r="J37">
            <v>0</v>
          </cell>
          <cell r="L37">
            <v>88.24199999999999</v>
          </cell>
          <cell r="N37">
            <v>54.213999999999992</v>
          </cell>
          <cell r="P37">
            <v>163.08799999999999</v>
          </cell>
          <cell r="R37">
            <v>26.339423999999994</v>
          </cell>
          <cell r="T37">
            <v>37.076000000000008</v>
          </cell>
          <cell r="V37">
            <v>68.173000000000002</v>
          </cell>
        </row>
        <row r="38">
          <cell r="A38" t="str">
            <v xml:space="preserve">     % Margin</v>
          </cell>
          <cell r="B38">
            <v>0.19332609572664144</v>
          </cell>
          <cell r="D38">
            <v>0.30769261002684428</v>
          </cell>
          <cell r="F38">
            <v>0.1016593353687528</v>
          </cell>
          <cell r="H38">
            <v>0.12735077000057271</v>
          </cell>
          <cell r="J38" t="e">
            <v>#DIV/0!</v>
          </cell>
          <cell r="L38">
            <v>0.22706149356965308</v>
          </cell>
          <cell r="N38">
            <v>0.11667983100858943</v>
          </cell>
          <cell r="P38">
            <v>0.16848403829445657</v>
          </cell>
          <cell r="R38">
            <v>0.11939484798604724</v>
          </cell>
          <cell r="T38">
            <v>0.1717244701348748</v>
          </cell>
          <cell r="V38">
            <v>0.17071289593156763</v>
          </cell>
        </row>
        <row r="39">
          <cell r="A39" t="str">
            <v>EBIT</v>
          </cell>
          <cell r="B39">
            <v>52.492999999999981</v>
          </cell>
          <cell r="D39">
            <v>204.089</v>
          </cell>
          <cell r="F39">
            <v>14.527999999999992</v>
          </cell>
          <cell r="H39">
            <v>32.221999999999994</v>
          </cell>
          <cell r="J39">
            <v>0</v>
          </cell>
          <cell r="L39">
            <v>65.004999999999995</v>
          </cell>
          <cell r="N39">
            <v>21.59899999999999</v>
          </cell>
          <cell r="P39">
            <v>80.922999999999988</v>
          </cell>
          <cell r="R39">
            <v>24.679994999999995</v>
          </cell>
          <cell r="T39">
            <v>30.226000000000006</v>
          </cell>
          <cell r="V39">
            <v>57.516999999999996</v>
          </cell>
        </row>
        <row r="40">
          <cell r="A40" t="str">
            <v xml:space="preserve">     % Margin</v>
          </cell>
          <cell r="B40">
            <v>0.17217085562286596</v>
          </cell>
          <cell r="D40">
            <v>0.2673803306995628</v>
          </cell>
          <cell r="F40">
            <v>4.3443547012508528E-2</v>
          </cell>
          <cell r="H40">
            <v>9.7126476625682343E-2</v>
          </cell>
          <cell r="J40" t="e">
            <v>#DIV/0!</v>
          </cell>
          <cell r="L40">
            <v>0.16726878798639308</v>
          </cell>
          <cell r="N40">
            <v>4.6485551148310808E-2</v>
          </cell>
          <cell r="P40">
            <v>8.3600472327223993E-2</v>
          </cell>
          <cell r="R40">
            <v>0.11187276727545015</v>
          </cell>
          <cell r="T40">
            <v>0.13999740625463172</v>
          </cell>
          <cell r="V40">
            <v>0.14402906774376914</v>
          </cell>
        </row>
        <row r="41">
          <cell r="A41" t="str">
            <v>Net Income</v>
          </cell>
          <cell r="B41">
            <v>32.602000000000004</v>
          </cell>
          <cell r="D41">
            <v>132.935</v>
          </cell>
          <cell r="F41">
            <v>7.3856386309862803</v>
          </cell>
          <cell r="H41">
            <v>22.071000000000002</v>
          </cell>
          <cell r="J41">
            <v>0</v>
          </cell>
          <cell r="L41">
            <v>43.601116264431127</v>
          </cell>
          <cell r="N41">
            <v>-1.9579999999999975</v>
          </cell>
          <cell r="P41">
            <v>44.222000000000001</v>
          </cell>
          <cell r="R41">
            <v>30.56606</v>
          </cell>
          <cell r="T41">
            <v>18.471999999999998</v>
          </cell>
          <cell r="V41">
            <v>36.892000000000003</v>
          </cell>
        </row>
        <row r="42">
          <cell r="A42" t="str">
            <v xml:space="preserve">    % Margin</v>
          </cell>
          <cell r="B42">
            <v>0.10693071904857178</v>
          </cell>
          <cell r="D42">
            <v>0.17416031369425292</v>
          </cell>
          <cell r="F42">
            <v>2.2085513428045964E-2</v>
          </cell>
          <cell r="H42">
            <v>6.65284111974873E-2</v>
          </cell>
          <cell r="J42" t="e">
            <v>#DIV/0!</v>
          </cell>
          <cell r="L42">
            <v>0.11219299857557428</v>
          </cell>
          <cell r="N42">
            <v>-4.2140242209543263E-3</v>
          </cell>
          <cell r="P42">
            <v>4.5685158573637905E-2</v>
          </cell>
          <cell r="R42">
            <v>0.13855390638885651</v>
          </cell>
          <cell r="T42">
            <v>8.555654364902919E-2</v>
          </cell>
          <cell r="V42">
            <v>9.2381737003027486E-2</v>
          </cell>
        </row>
        <row r="44">
          <cell r="A44" t="str">
            <v>Fixed Charge Coverage</v>
          </cell>
        </row>
        <row r="45">
          <cell r="A45" t="str">
            <v>EBITDAR/(Interest + Rent)</v>
          </cell>
          <cell r="B45">
            <v>2.410677459269952</v>
          </cell>
          <cell r="D45">
            <v>3.5813612636278567</v>
          </cell>
          <cell r="F45">
            <v>1.3931294937903984</v>
          </cell>
          <cell r="H45">
            <v>1.5899386156776971</v>
          </cell>
          <cell r="J45" t="e">
            <v>#DIV/0!</v>
          </cell>
          <cell r="L45">
            <v>2.6638118121221517</v>
          </cell>
          <cell r="N45">
            <v>1.5747785093066731</v>
          </cell>
          <cell r="P45">
            <v>3.1186174615406568</v>
          </cell>
          <cell r="R45">
            <v>1.7720384865512162</v>
          </cell>
          <cell r="T45">
            <v>1.8279044368600683</v>
          </cell>
          <cell r="V45">
            <v>4.4382437838659037</v>
          </cell>
        </row>
        <row r="46">
          <cell r="A46" t="str">
            <v xml:space="preserve">EBITDA/Interest </v>
          </cell>
          <cell r="B46">
            <v>13.967535545023697</v>
          </cell>
          <cell r="D46">
            <v>39.806610169491528</v>
          </cell>
          <cell r="F46">
            <v>1.9145125865855719</v>
          </cell>
          <cell r="H46">
            <v>95.370203160270862</v>
          </cell>
          <cell r="J46" t="e">
            <v>#DIV/0!</v>
          </cell>
          <cell r="L46">
            <v>37.138888888888886</v>
          </cell>
          <cell r="N46">
            <v>2.0909441530391852</v>
          </cell>
          <cell r="P46">
            <v>11.149029258955428</v>
          </cell>
          <cell r="R46">
            <v>37.593645764199607</v>
          </cell>
          <cell r="T46">
            <v>5.4894877109860838</v>
          </cell>
          <cell r="V46">
            <v>245.22661870503595</v>
          </cell>
        </row>
        <row r="48">
          <cell r="A48" t="str">
            <v>Book Leverage</v>
          </cell>
        </row>
        <row r="49">
          <cell r="A49" t="str">
            <v>Total B.S. Debt/Capital</v>
          </cell>
          <cell r="B49">
            <v>0.39339242290188764</v>
          </cell>
          <cell r="D49">
            <v>0.20909460082388837</v>
          </cell>
          <cell r="F49">
            <v>0.67730200214086256</v>
          </cell>
          <cell r="H49">
            <v>4.1687501644866697E-2</v>
          </cell>
          <cell r="J49" t="e">
            <v>#DIV/0!</v>
          </cell>
          <cell r="L49">
            <v>0.21534188858575004</v>
          </cell>
          <cell r="N49">
            <v>0.80585505483536168</v>
          </cell>
          <cell r="P49">
            <v>0.67311335950595985</v>
          </cell>
          <cell r="R49">
            <v>1.2057067414290469E-2</v>
          </cell>
          <cell r="T49">
            <v>0.52543971450420601</v>
          </cell>
          <cell r="V49">
            <v>2.9215550954681389E-2</v>
          </cell>
        </row>
        <row r="50">
          <cell r="A50" t="str">
            <v>Adjusted Debt/Adjusted Capital</v>
          </cell>
          <cell r="B50">
            <v>0.73419120292879747</v>
          </cell>
          <cell r="D50">
            <v>0.61610026148607544</v>
          </cell>
          <cell r="F50">
            <v>0.77293130630023321</v>
          </cell>
          <cell r="H50">
            <v>0.82001828831277956</v>
          </cell>
          <cell r="J50" t="e">
            <v>#DIV/0!</v>
          </cell>
          <cell r="L50">
            <v>0.6182161389854397</v>
          </cell>
          <cell r="N50">
            <v>0.8738276802783923</v>
          </cell>
          <cell r="P50">
            <v>0.84128747309148366</v>
          </cell>
          <cell r="R50">
            <v>0.83709401267266004</v>
          </cell>
          <cell r="T50">
            <v>0.79654496922274109</v>
          </cell>
          <cell r="V50">
            <v>0.56931392320316143</v>
          </cell>
        </row>
        <row r="51">
          <cell r="A51" t="str">
            <v>Total B.S. Debt/Equity</v>
          </cell>
          <cell r="B51">
            <v>0.64851221408047222</v>
          </cell>
          <cell r="D51">
            <v>0.26437371781973268</v>
          </cell>
          <cell r="F51">
            <v>2.0988726506958852</v>
          </cell>
          <cell r="H51">
            <v>4.3500947463817864E-2</v>
          </cell>
          <cell r="J51" t="e">
            <v>#DIV/0!</v>
          </cell>
          <cell r="L51">
            <v>0.27444040334665337</v>
          </cell>
          <cell r="N51">
            <v>4.1507908132863438</v>
          </cell>
          <cell r="P51">
            <v>2.0591644812668082</v>
          </cell>
          <cell r="R51">
            <v>1.2204214450660542E-2</v>
          </cell>
          <cell r="T51">
            <v>1.1072138368158135</v>
          </cell>
          <cell r="V51">
            <v>3.0094786729857818E-2</v>
          </cell>
        </row>
        <row r="52">
          <cell r="A52" t="str">
            <v>Adjusted Debt/Equity</v>
          </cell>
          <cell r="B52">
            <v>2.7621027257879986</v>
          </cell>
          <cell r="D52">
            <v>1.6048467859629159</v>
          </cell>
          <cell r="F52">
            <v>3.4039536393432241</v>
          </cell>
          <cell r="H52">
            <v>4.5561200670090347</v>
          </cell>
          <cell r="J52" t="e">
            <v>#DIV/0!</v>
          </cell>
          <cell r="L52">
            <v>1.6192830606893109</v>
          </cell>
          <cell r="N52">
            <v>6.9256686585967957</v>
          </cell>
          <cell r="P52">
            <v>5.3006998847445175</v>
          </cell>
          <cell r="R52">
            <v>5.1385098019179649</v>
          </cell>
          <cell r="T52">
            <v>3.9150910458183383</v>
          </cell>
          <cell r="V52">
            <v>1.321876777251185</v>
          </cell>
        </row>
        <row r="54">
          <cell r="A54" t="str">
            <v>Cash Flow Leverage</v>
          </cell>
        </row>
        <row r="55">
          <cell r="A55" t="str">
            <v>Total B.S. Debt/EBITDA</v>
          </cell>
          <cell r="B55">
            <v>1.2597594286005125</v>
          </cell>
          <cell r="D55">
            <v>0.48670478883074525</v>
          </cell>
          <cell r="F55">
            <v>7.7984762913283934</v>
          </cell>
          <cell r="H55">
            <v>0.11247603493573813</v>
          </cell>
          <cell r="J55" t="e">
            <v>#DIV/0!</v>
          </cell>
          <cell r="L55">
            <v>0.79697876294734937</v>
          </cell>
          <cell r="N55">
            <v>4.4970856236396513</v>
          </cell>
          <cell r="P55">
            <v>1.5117727852447758</v>
          </cell>
          <cell r="R55">
            <v>2.0568141505296397E-2</v>
          </cell>
          <cell r="T55">
            <v>2.223864494551731</v>
          </cell>
          <cell r="V55">
            <v>4.6572690067915444E-2</v>
          </cell>
        </row>
        <row r="56">
          <cell r="A56" t="str">
            <v>Adjusted Debt/EBITDAR</v>
          </cell>
          <cell r="B56">
            <v>3.3818959525209866</v>
          </cell>
          <cell r="D56">
            <v>2.1843944392676353</v>
          </cell>
          <cell r="F56">
            <v>7.4717095888506595</v>
          </cell>
          <cell r="H56">
            <v>4.4173389780866419</v>
          </cell>
          <cell r="J56" t="e">
            <v>#DIV/0!</v>
          </cell>
          <cell r="L56">
            <v>3.0183962058280116</v>
          </cell>
          <cell r="N56">
            <v>5.249077395545692</v>
          </cell>
          <cell r="P56">
            <v>2.9042345813466097</v>
          </cell>
          <cell r="R56">
            <v>3.8761178799619356</v>
          </cell>
          <cell r="T56">
            <v>4.3549225506744138</v>
          </cell>
          <cell r="V56">
            <v>1.5912233860477858</v>
          </cell>
        </row>
        <row r="57">
          <cell r="A57" t="str">
            <v>Adjusted Net Debt/EBITDAR</v>
          </cell>
          <cell r="B57">
            <v>2.7801743035876609</v>
          </cell>
          <cell r="D57">
            <v>1.6460636663560579</v>
          </cell>
          <cell r="F57">
            <v>6.3330205400896684</v>
          </cell>
          <cell r="H57">
            <v>3.6793318600172182</v>
          </cell>
          <cell r="J57" t="e">
            <v>#DIV/0!</v>
          </cell>
          <cell r="L57">
            <v>1.8413227228421376</v>
          </cell>
          <cell r="N57">
            <v>4.8031820176004549</v>
          </cell>
          <cell r="P57">
            <v>2.3333440105429819</v>
          </cell>
          <cell r="R57">
            <v>3.0045662214518756</v>
          </cell>
          <cell r="T57">
            <v>3.7889823293052709</v>
          </cell>
          <cell r="V57">
            <v>1.5199561853905665</v>
          </cell>
        </row>
        <row r="59">
          <cell r="A59" t="str">
            <v>Liquidity</v>
          </cell>
        </row>
        <row r="60">
          <cell r="A60" t="str">
            <v>Cash/Total Revenues</v>
          </cell>
          <cell r="B60">
            <v>0.18455897064177454</v>
          </cell>
          <cell r="D60">
            <v>0.22403513207937731</v>
          </cell>
          <cell r="F60">
            <v>0.19594750172691686</v>
          </cell>
          <cell r="H60">
            <v>0.25064430464833776</v>
          </cell>
          <cell r="J60" t="e">
            <v>#DIV/0!</v>
          </cell>
          <cell r="L60">
            <v>0.41638233159901811</v>
          </cell>
          <cell r="N60">
            <v>7.4371716536924343E-2</v>
          </cell>
          <cell r="P60">
            <v>0.12888685944752593</v>
          </cell>
          <cell r="R60">
            <v>0.23248993428198858</v>
          </cell>
          <cell r="T60">
            <v>0.17548540091892692</v>
          </cell>
          <cell r="V60">
            <v>1.5640689833050787E-2</v>
          </cell>
        </row>
        <row r="62">
          <cell r="A62" t="str">
            <v>Equity Multiples</v>
          </cell>
        </row>
        <row r="63">
          <cell r="A63" t="str">
            <v>Total Market Capitalization</v>
          </cell>
          <cell r="B63">
            <v>419.52950000000004</v>
          </cell>
          <cell r="D63">
            <v>2257.1280000000002</v>
          </cell>
          <cell r="F63">
            <v>220.04641649999999</v>
          </cell>
          <cell r="H63">
            <v>736.09743749999996</v>
          </cell>
          <cell r="J63">
            <v>479.09399999999999</v>
          </cell>
          <cell r="L63">
            <v>1299.0035</v>
          </cell>
          <cell r="N63">
            <v>422.03761600000001</v>
          </cell>
          <cell r="P63">
            <v>262.15444712499999</v>
          </cell>
          <cell r="R63">
            <v>248.79814575</v>
          </cell>
          <cell r="T63">
            <v>71.235742599999995</v>
          </cell>
          <cell r="V63">
            <v>457.81280299999997</v>
          </cell>
        </row>
        <row r="64">
          <cell r="A64" t="str">
            <v>Total Market Cap/Revenue</v>
          </cell>
          <cell r="B64">
            <v>1.3760073338165695</v>
          </cell>
          <cell r="D64">
            <v>2.9571002409303921</v>
          </cell>
          <cell r="F64">
            <v>0.65801189703687968</v>
          </cell>
          <cell r="H64">
            <v>2.2188116987638393</v>
          </cell>
          <cell r="J64" t="e">
            <v>#DIV/0!</v>
          </cell>
          <cell r="L64">
            <v>3.3425542809796567</v>
          </cell>
          <cell r="N64">
            <v>0.90831293972309679</v>
          </cell>
          <cell r="P64">
            <v>0.27082826393401471</v>
          </cell>
          <cell r="R64">
            <v>1.1277853604935204</v>
          </cell>
          <cell r="T64">
            <v>0.32994174540536531</v>
          </cell>
          <cell r="V64">
            <v>1.146414994127855</v>
          </cell>
        </row>
        <row r="65">
          <cell r="A65" t="str">
            <v>Total Market Cap/EBITDAR</v>
          </cell>
          <cell r="B65">
            <v>4.4862268085333916</v>
          </cell>
          <cell r="D65">
            <v>7.1055733246027151</v>
          </cell>
          <cell r="F65">
            <v>3.823835131894485</v>
          </cell>
          <cell r="H65">
            <v>6.5331579332747554</v>
          </cell>
          <cell r="J65" t="e">
            <v>#DIV/0!</v>
          </cell>
          <cell r="L65">
            <v>9.4490849178753802</v>
          </cell>
          <cell r="N65">
            <v>5.4457871945082461</v>
          </cell>
          <cell r="P65">
            <v>1.1996048538213733</v>
          </cell>
          <cell r="R65">
            <v>4.227809708911094</v>
          </cell>
          <cell r="T65">
            <v>1.0640617593021344</v>
          </cell>
          <cell r="V65">
            <v>5.2236690513680655</v>
          </cell>
        </row>
        <row r="66">
          <cell r="A66" t="str">
            <v>Total Market Cap/EBITDA</v>
          </cell>
          <cell r="B66">
            <v>7.1175457645521973</v>
          </cell>
          <cell r="D66">
            <v>9.6105663398038832</v>
          </cell>
          <cell r="F66">
            <v>6.4727149223438056</v>
          </cell>
          <cell r="H66">
            <v>17.422836931051624</v>
          </cell>
          <cell r="J66" t="e">
            <v>#DIV/0!</v>
          </cell>
          <cell r="L66">
            <v>14.72092087668004</v>
          </cell>
          <cell r="N66">
            <v>7.7846610838528809</v>
          </cell>
          <cell r="P66">
            <v>1.6074416702945649</v>
          </cell>
          <cell r="R66">
            <v>9.4458461107577776</v>
          </cell>
          <cell r="T66">
            <v>1.921343796526054</v>
          </cell>
          <cell r="V66">
            <v>6.7154563096827182</v>
          </cell>
        </row>
        <row r="67">
          <cell r="A67" t="str">
            <v>Total Market Cap/EBIT</v>
          </cell>
          <cell r="B67">
            <v>7.9921037090659741</v>
          </cell>
          <cell r="D67">
            <v>11.059527951040968</v>
          </cell>
          <cell r="F67">
            <v>15.146366774504413</v>
          </cell>
          <cell r="H67">
            <v>22.844560781453669</v>
          </cell>
          <cell r="J67" t="e">
            <v>#DIV/0!</v>
          </cell>
          <cell r="L67">
            <v>19.983132066764096</v>
          </cell>
          <cell r="N67">
            <v>19.539683133478412</v>
          </cell>
          <cell r="P67">
            <v>3.2395542321095365</v>
          </cell>
          <cell r="R67">
            <v>10.080964187796637</v>
          </cell>
          <cell r="T67">
            <v>2.3567704161979748</v>
          </cell>
          <cell r="V67">
            <v>7.959608515743172</v>
          </cell>
        </row>
        <row r="68">
          <cell r="A68" t="str">
            <v>Total Market Cap/Net Income</v>
          </cell>
          <cell r="B68">
            <v>12.868213606527206</v>
          </cell>
          <cell r="D68">
            <v>16.979185316131947</v>
          </cell>
          <cell r="F68">
            <v>29.793823864709577</v>
          </cell>
          <cell r="H68">
            <v>33.351340560010868</v>
          </cell>
          <cell r="J68" t="e">
            <v>#DIV/0!</v>
          </cell>
          <cell r="L68">
            <v>29.792895487396034</v>
          </cell>
          <cell r="N68" t="str">
            <v>NM</v>
          </cell>
          <cell r="P68">
            <v>5.9281454281805432</v>
          </cell>
          <cell r="R68">
            <v>8.1396864937777398</v>
          </cell>
          <cell r="T68">
            <v>3.8564174209614555</v>
          </cell>
          <cell r="V68">
            <v>12.409541445299793</v>
          </cell>
        </row>
        <row r="69">
          <cell r="A69" t="str">
            <v>Total Market Cap/1999E Net Income (I/B/E/S)</v>
          </cell>
          <cell r="B69">
            <v>3.0647359676374957</v>
          </cell>
          <cell r="D69">
            <v>2.203348708782999</v>
          </cell>
          <cell r="F69">
            <v>0.22224227687178613</v>
          </cell>
          <cell r="H69">
            <v>1.5286172378535869</v>
          </cell>
          <cell r="J69">
            <v>0.92158947031890748</v>
          </cell>
          <cell r="L69">
            <v>40.753356181413579</v>
          </cell>
          <cell r="N69" t="e">
            <v>#REF!</v>
          </cell>
          <cell r="P69" t="e">
            <v>#REF!</v>
          </cell>
          <cell r="R69" t="e">
            <v>#REF!</v>
          </cell>
          <cell r="T69">
            <v>1.5335633772823234</v>
          </cell>
          <cell r="V69" t="e">
            <v>#REF!</v>
          </cell>
        </row>
        <row r="70">
          <cell r="A70" t="str">
            <v>Total Market Cap/2000E Net Income (I/B/E/S)</v>
          </cell>
          <cell r="B70">
            <v>3.0414299906972859</v>
          </cell>
          <cell r="D70">
            <v>1.9469842363774297</v>
          </cell>
          <cell r="F70">
            <v>0.22224227687178613</v>
          </cell>
          <cell r="H70">
            <v>1.3844080644711731</v>
          </cell>
          <cell r="J70">
            <v>0.9869988924707791</v>
          </cell>
          <cell r="L70">
            <v>28.043556969906334</v>
          </cell>
          <cell r="N70" t="e">
            <v>#REF!</v>
          </cell>
          <cell r="P70" t="e">
            <v>#REF!</v>
          </cell>
          <cell r="R70" t="e">
            <v>#REF!</v>
          </cell>
          <cell r="T70">
            <v>1.0552890845685203</v>
          </cell>
          <cell r="V70" t="e">
            <v>#REF!</v>
          </cell>
        </row>
        <row r="72">
          <cell r="A72" t="str">
            <v>Total Enterprise Value</v>
          </cell>
          <cell r="B72">
            <v>437.51350000000002</v>
          </cell>
          <cell r="D72">
            <v>2200.431</v>
          </cell>
          <cell r="F72">
            <v>419.63641650000005</v>
          </cell>
          <cell r="H72">
            <v>657.69743749999986</v>
          </cell>
          <cell r="J72">
            <v>479.09399999999999</v>
          </cell>
          <cell r="L72">
            <v>1207.5135</v>
          </cell>
          <cell r="N72">
            <v>631.28661599999998</v>
          </cell>
          <cell r="P72">
            <v>383.94744712499994</v>
          </cell>
          <cell r="R72">
            <v>198.05082675</v>
          </cell>
          <cell r="T72">
            <v>115.79974259999997</v>
          </cell>
          <cell r="V72">
            <v>454.741803</v>
          </cell>
        </row>
        <row r="73">
          <cell r="A73" t="str">
            <v>Total Adjusted Enterprise Value</v>
          </cell>
          <cell r="B73">
            <v>679.51750000000015</v>
          </cell>
          <cell r="D73">
            <v>2780.01</v>
          </cell>
          <cell r="F73">
            <v>584.4864164999999</v>
          </cell>
          <cell r="H73">
            <v>1150.6514374999999</v>
          </cell>
          <cell r="J73">
            <v>479.09399999999999</v>
          </cell>
          <cell r="L73">
            <v>1552.1375</v>
          </cell>
          <cell r="N73">
            <v>794.27461599999992</v>
          </cell>
          <cell r="P73">
            <v>772.0694471249999</v>
          </cell>
          <cell r="R73">
            <v>425.61085874999998</v>
          </cell>
          <cell r="T73">
            <v>324.89674259999998</v>
          </cell>
          <cell r="V73">
            <v>591.02480300000002</v>
          </cell>
        </row>
        <row r="74">
          <cell r="A74" t="str">
            <v>Total Enterprise Value/Revenue</v>
          </cell>
          <cell r="B74">
            <v>1.4349927350609566</v>
          </cell>
          <cell r="D74">
            <v>2.8828205756389109</v>
          </cell>
          <cell r="F74">
            <v>1.2548523119753836</v>
          </cell>
          <cell r="H74">
            <v>1.9824913037711789</v>
          </cell>
          <cell r="J74" t="e">
            <v>#DIV/0!</v>
          </cell>
          <cell r="L74">
            <v>3.1071351376387581</v>
          </cell>
          <cell r="N74">
            <v>1.3586604137836038</v>
          </cell>
          <cell r="P74">
            <v>0.39665098832818679</v>
          </cell>
          <cell r="R74">
            <v>0.8977511563399122</v>
          </cell>
          <cell r="T74">
            <v>0.53634829646509552</v>
          </cell>
          <cell r="V74">
            <v>1.1387248630876214</v>
          </cell>
        </row>
        <row r="75">
          <cell r="A75" t="str">
            <v>Total Adjusted Enterprise Value/EBITDAR</v>
          </cell>
          <cell r="B75">
            <v>7.266401112121053</v>
          </cell>
          <cell r="D75">
            <v>8.7516369909587741</v>
          </cell>
          <cell r="F75">
            <v>10.156855671984152</v>
          </cell>
          <cell r="H75">
            <v>10.212489793291974</v>
          </cell>
          <cell r="J75" t="e">
            <v>#DIV/0!</v>
          </cell>
          <cell r="L75">
            <v>11.290407640717518</v>
          </cell>
          <cell r="N75">
            <v>10.248969212108699</v>
          </cell>
          <cell r="P75">
            <v>3.532948864364355</v>
          </cell>
          <cell r="R75">
            <v>7.2323759303629709</v>
          </cell>
          <cell r="T75">
            <v>4.8530440886074055</v>
          </cell>
          <cell r="V75">
            <v>6.743625236758632</v>
          </cell>
        </row>
        <row r="76">
          <cell r="A76" t="str">
            <v>Total Enterprise Value/EBITDA</v>
          </cell>
          <cell r="B76">
            <v>7.422654089544138</v>
          </cell>
          <cell r="D76">
            <v>9.3691576648116524</v>
          </cell>
          <cell r="F76">
            <v>12.343699744087543</v>
          </cell>
          <cell r="H76">
            <v>15.567171708206111</v>
          </cell>
          <cell r="J76" t="e">
            <v>#DIV/0!</v>
          </cell>
          <cell r="L76">
            <v>13.684113007411439</v>
          </cell>
          <cell r="N76">
            <v>11.644346773896043</v>
          </cell>
          <cell r="P76">
            <v>2.3542348126471597</v>
          </cell>
          <cell r="R76">
            <v>7.5191783521917577</v>
          </cell>
          <cell r="T76">
            <v>3.1233073308879047</v>
          </cell>
          <cell r="V76">
            <v>6.6704091502500988</v>
          </cell>
        </row>
        <row r="77">
          <cell r="A77" t="str">
            <v>Total Enterprise Value/EBIT</v>
          </cell>
          <cell r="B77">
            <v>8.3347017697597803</v>
          </cell>
          <cell r="D77">
            <v>10.781722679811258</v>
          </cell>
          <cell r="F77">
            <v>28.884665232654207</v>
          </cell>
          <cell r="H77">
            <v>20.411440553038297</v>
          </cell>
          <cell r="J77" t="e">
            <v>#DIV/0!</v>
          </cell>
          <cell r="L77">
            <v>18.575701869086995</v>
          </cell>
          <cell r="N77">
            <v>29.22758535117368</v>
          </cell>
          <cell r="P77">
            <v>4.7446022407103046</v>
          </cell>
          <cell r="R77">
            <v>8.0247514940744527</v>
          </cell>
          <cell r="T77">
            <v>3.8311302388671988</v>
          </cell>
          <cell r="V77">
            <v>7.9062156058208881</v>
          </cell>
        </row>
        <row r="78">
          <cell r="A78" t="str">
            <v>Total Enterprise Value/Net Income</v>
          </cell>
          <cell r="B78">
            <v>13.419836206367707</v>
          </cell>
          <cell r="D78">
            <v>16.552683642381616</v>
          </cell>
          <cell r="F78">
            <v>56.817891785203912</v>
          </cell>
          <cell r="H78">
            <v>29.799168025916352</v>
          </cell>
          <cell r="J78" t="e">
            <v>#DIV/0!</v>
          </cell>
          <cell r="L78">
            <v>27.694554714532941</v>
          </cell>
          <cell r="N78" t="str">
            <v>NM</v>
          </cell>
          <cell r="P78">
            <v>8.6822723333408689</v>
          </cell>
          <cell r="R78">
            <v>6.479435908651622</v>
          </cell>
          <cell r="T78">
            <v>6.2689336617583367</v>
          </cell>
          <cell r="V78">
            <v>12.326298465792041</v>
          </cell>
        </row>
        <row r="79">
          <cell r="A79" t="str">
            <v>Total Enterprise Value/1999E Net Income (I/B/E/S)</v>
          </cell>
          <cell r="B79">
            <v>3.1961122156534105</v>
          </cell>
          <cell r="D79">
            <v>2.148002595606489</v>
          </cell>
          <cell r="F79">
            <v>0.42382400106605317</v>
          </cell>
          <cell r="H79">
            <v>1.3658078252101402</v>
          </cell>
          <cell r="J79">
            <v>0.92158947031890748</v>
          </cell>
          <cell r="L79">
            <v>37.883060176023655</v>
          </cell>
          <cell r="N79" t="e">
            <v>#REF!</v>
          </cell>
          <cell r="P79" t="e">
            <v>#REF!</v>
          </cell>
          <cell r="R79" t="e">
            <v>#REF!</v>
          </cell>
          <cell r="T79">
            <v>2.4929373635824175</v>
          </cell>
          <cell r="V79" t="e">
            <v>#REF!</v>
          </cell>
        </row>
        <row r="80">
          <cell r="A80" t="str">
            <v>Total Enterprise Value/2000E Net Income (I/B/E/S)</v>
          </cell>
          <cell r="B80">
            <v>3.1718071797929275</v>
          </cell>
          <cell r="D80">
            <v>1.8980777653000731</v>
          </cell>
          <cell r="F80">
            <v>0.42382400106605317</v>
          </cell>
          <cell r="H80">
            <v>1.2369580303789947</v>
          </cell>
          <cell r="J80">
            <v>0.9869988924707791</v>
          </cell>
          <cell r="L80">
            <v>26.068423702615885</v>
          </cell>
          <cell r="N80" t="e">
            <v>#REF!</v>
          </cell>
          <cell r="P80" t="e">
            <v>#REF!</v>
          </cell>
          <cell r="R80" t="e">
            <v>#REF!</v>
          </cell>
          <cell r="T80">
            <v>1.7154619282599333</v>
          </cell>
          <cell r="V80" t="e">
            <v>#REF!</v>
          </cell>
        </row>
        <row r="82">
          <cell r="A82" t="str">
            <v>Ratings Info.</v>
          </cell>
        </row>
        <row r="83">
          <cell r="A83" t="str">
            <v>Issuer Credit Rating</v>
          </cell>
          <cell r="D83" t="str">
            <v>B+</v>
          </cell>
        </row>
        <row r="84">
          <cell r="A84" t="str">
            <v>Outlook</v>
          </cell>
          <cell r="D84" t="str">
            <v>positive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_Sheet1"/>
      <sheetName val="BneLog"/>
      <sheetName val="Sheet1"/>
      <sheetName val="COMPS"/>
    </sheetNames>
    <sheetDataSet>
      <sheetData sheetId="0" refreshError="1">
        <row r="1">
          <cell r="B1" t="str">
            <v>No</v>
          </cell>
        </row>
        <row r="2">
          <cell r="B2" t="str">
            <v>Yes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_and_CL_2002_proj_opn(2001-0)"/>
      <sheetName val="Sheet1"/>
      <sheetName val="CF-2002-03"/>
      <sheetName val="Details 01-02"/>
      <sheetName val="changes_working_20th_jun"/>
      <sheetName val="Sheet2"/>
      <sheetName val="CF (Prev year regroup)-FINAL"/>
      <sheetName val="Details 99-00 &amp; 00-01"/>
      <sheetName val="Inventory(2001-02)"/>
      <sheetName val="tbc-00-01"/>
      <sheetName val="profit_on_sale"/>
      <sheetName val="PopCache_Sheet1"/>
      <sheetName val="COMPS"/>
      <sheetName val="tbc"/>
      <sheetName val="Net"/>
      <sheetName val="RMC"/>
      <sheetName val="P &amp; L"/>
      <sheetName val="Details_01-02"/>
      <sheetName val="CF_(Prev_year_regroup)-FINAL"/>
      <sheetName val="Details_99-00_&amp;_00-01"/>
      <sheetName val="Ctr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portunities"/>
      <sheetName val="Performance"/>
      <sheetName val="Comparative"/>
      <sheetName val="Overdues-d"/>
      <sheetName val="Overdues -o"/>
      <sheetName val="Estimated"/>
      <sheetName val="DF"/>
      <sheetName val="OL"/>
      <sheetName val="Gaps"/>
      <sheetName val="rest-proposal"/>
      <sheetName val="Sheet1"/>
      <sheetName val="JVSL"/>
      <sheetName val="Sheet2"/>
      <sheetName val="proposallinked"/>
      <sheetName val="physical perfor"/>
      <sheetName val="Performance (2)"/>
      <sheetName val="Estimated (2)"/>
      <sheetName val="CA_and_CL_2002_proj_opn(2001-0)"/>
      <sheetName val="Int - Cum02"/>
      <sheetName val="Sep 03"/>
      <sheetName val="Overdues_-o"/>
      <sheetName val="physical_perfor"/>
      <sheetName val="Performance_(2)"/>
      <sheetName val="Estimated_(2)"/>
      <sheetName val="Int_-_Cum02"/>
      <sheetName val="Sep_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diff between flash &amp; audited tb"/>
      <sheetName val="Expense Break-up"/>
      <sheetName val="diff between flash &amp; revised tb"/>
      <sheetName val="basic"/>
      <sheetName val="Trial Balance - Summary 1_05020"/>
      <sheetName val="proposallink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Account</v>
          </cell>
          <cell r="B5" t="str">
            <v>Description</v>
          </cell>
          <cell r="C5" t="str">
            <v>Beginning Balance</v>
          </cell>
          <cell r="D5" t="str">
            <v>Debits</v>
          </cell>
          <cell r="E5" t="str">
            <v>Credits</v>
          </cell>
          <cell r="F5" t="str">
            <v>Ending Balance</v>
          </cell>
        </row>
        <row r="6">
          <cell r="A6">
            <v>161051</v>
          </cell>
          <cell r="B6" t="str">
            <v>Subscribed Equity Shares</v>
          </cell>
          <cell r="C6">
            <v>0</v>
          </cell>
          <cell r="D6">
            <v>76</v>
          </cell>
          <cell r="E6">
            <v>76</v>
          </cell>
          <cell r="F6">
            <v>0</v>
          </cell>
        </row>
        <row r="7">
          <cell r="A7">
            <v>161401</v>
          </cell>
          <cell r="B7" t="str">
            <v>Profit And Loss Account Brought Forward</v>
          </cell>
          <cell r="C7">
            <v>-443405564.70999998</v>
          </cell>
          <cell r="D7">
            <v>0</v>
          </cell>
          <cell r="E7">
            <v>0</v>
          </cell>
          <cell r="F7">
            <v>-443405564.70999998</v>
          </cell>
        </row>
        <row r="8">
          <cell r="A8">
            <v>162501</v>
          </cell>
          <cell r="B8" t="str">
            <v>Shop Security Deposits</v>
          </cell>
          <cell r="C8">
            <v>-302500</v>
          </cell>
          <cell r="D8">
            <v>0</v>
          </cell>
          <cell r="E8">
            <v>0</v>
          </cell>
          <cell r="F8">
            <v>-302500</v>
          </cell>
        </row>
        <row r="9">
          <cell r="A9">
            <v>162701</v>
          </cell>
          <cell r="B9" t="str">
            <v>Sundry Creditors For Liabilities</v>
          </cell>
          <cell r="C9">
            <v>-8584006.4700000007</v>
          </cell>
          <cell r="D9">
            <v>122421583.42</v>
          </cell>
          <cell r="E9">
            <v>122545970.86</v>
          </cell>
          <cell r="F9">
            <v>-8708393.9100000001</v>
          </cell>
        </row>
        <row r="10">
          <cell r="A10">
            <v>162751</v>
          </cell>
          <cell r="B10" t="str">
            <v>O/S Liabilities - Year End</v>
          </cell>
          <cell r="C10">
            <v>-4116850.46</v>
          </cell>
          <cell r="D10">
            <v>714477</v>
          </cell>
          <cell r="E10">
            <v>20902616.899999999</v>
          </cell>
          <cell r="F10">
            <v>-24304990.359999999</v>
          </cell>
        </row>
        <row r="11">
          <cell r="A11">
            <v>162753</v>
          </cell>
          <cell r="B11" t="str">
            <v>A P Accrual (PO)</v>
          </cell>
          <cell r="C11">
            <v>-1414299.92</v>
          </cell>
          <cell r="D11">
            <v>8102699.3799999999</v>
          </cell>
          <cell r="E11">
            <v>7165099.9900000002</v>
          </cell>
          <cell r="F11">
            <v>-476700.53</v>
          </cell>
        </row>
        <row r="12">
          <cell r="A12">
            <v>162754</v>
          </cell>
          <cell r="B12" t="str">
            <v>A P Accrual (Inventory)</v>
          </cell>
          <cell r="C12">
            <v>-11995943.6</v>
          </cell>
          <cell r="D12">
            <v>10774812.970000001</v>
          </cell>
          <cell r="E12">
            <v>13722211.18</v>
          </cell>
          <cell r="F12">
            <v>-14943341.810000001</v>
          </cell>
        </row>
        <row r="13">
          <cell r="A13">
            <v>162854</v>
          </cell>
          <cell r="B13" t="str">
            <v>Operating Fee Payable - Associate</v>
          </cell>
          <cell r="C13">
            <v>0</v>
          </cell>
          <cell r="D13">
            <v>1010678</v>
          </cell>
          <cell r="E13">
            <v>32582011</v>
          </cell>
          <cell r="F13">
            <v>-31571333</v>
          </cell>
        </row>
        <row r="14">
          <cell r="A14">
            <v>163051</v>
          </cell>
          <cell r="B14" t="str">
            <v>Staff Recoveries Clearing</v>
          </cell>
          <cell r="C14">
            <v>-26933.4</v>
          </cell>
          <cell r="D14">
            <v>697918.75</v>
          </cell>
          <cell r="E14">
            <v>671486.1</v>
          </cell>
          <cell r="F14">
            <v>-500.75</v>
          </cell>
        </row>
        <row r="15">
          <cell r="A15">
            <v>163052</v>
          </cell>
          <cell r="B15" t="str">
            <v>Staff Recoveries Clearing - Statutory D</v>
          </cell>
          <cell r="C15">
            <v>0</v>
          </cell>
          <cell r="D15">
            <v>1049448</v>
          </cell>
          <cell r="E15">
            <v>1049448</v>
          </cell>
          <cell r="F15">
            <v>0</v>
          </cell>
        </row>
        <row r="16">
          <cell r="A16">
            <v>163053</v>
          </cell>
          <cell r="B16" t="str">
            <v>PF Clearing</v>
          </cell>
          <cell r="C16">
            <v>12849</v>
          </cell>
          <cell r="D16">
            <v>290307</v>
          </cell>
          <cell r="E16">
            <v>300291</v>
          </cell>
          <cell r="F16">
            <v>2865</v>
          </cell>
        </row>
        <row r="17">
          <cell r="A17">
            <v>163054</v>
          </cell>
          <cell r="B17" t="str">
            <v>EPS Clearing</v>
          </cell>
          <cell r="C17">
            <v>0</v>
          </cell>
          <cell r="D17">
            <v>189586</v>
          </cell>
          <cell r="E17">
            <v>189586</v>
          </cell>
          <cell r="F17">
            <v>0</v>
          </cell>
        </row>
        <row r="18">
          <cell r="A18">
            <v>163057</v>
          </cell>
          <cell r="B18" t="str">
            <v>Salary Payable</v>
          </cell>
          <cell r="C18">
            <v>0</v>
          </cell>
          <cell r="D18">
            <v>3704730</v>
          </cell>
          <cell r="E18">
            <v>3704730</v>
          </cell>
          <cell r="F18">
            <v>0</v>
          </cell>
        </row>
        <row r="19">
          <cell r="A19">
            <v>163058</v>
          </cell>
          <cell r="B19" t="str">
            <v>Gratuity Trust Payable</v>
          </cell>
          <cell r="C19">
            <v>-1778965.15</v>
          </cell>
          <cell r="D19">
            <v>3557930.3</v>
          </cell>
          <cell r="E19">
            <v>1778965.15</v>
          </cell>
          <cell r="F19">
            <v>0</v>
          </cell>
        </row>
        <row r="20">
          <cell r="A20">
            <v>163060</v>
          </cell>
          <cell r="B20" t="str">
            <v>Provident Fund Payable</v>
          </cell>
          <cell r="C20">
            <v>-1372166</v>
          </cell>
          <cell r="D20">
            <v>1452784</v>
          </cell>
          <cell r="E20">
            <v>1013772</v>
          </cell>
          <cell r="F20">
            <v>-933154</v>
          </cell>
        </row>
        <row r="21">
          <cell r="A21">
            <v>163061</v>
          </cell>
          <cell r="B21" t="str">
            <v>Family Pension Scheme Payable</v>
          </cell>
          <cell r="C21">
            <v>-146353</v>
          </cell>
          <cell r="D21">
            <v>146353</v>
          </cell>
          <cell r="E21">
            <v>145862</v>
          </cell>
          <cell r="F21">
            <v>-145862</v>
          </cell>
        </row>
        <row r="22">
          <cell r="A22">
            <v>163062</v>
          </cell>
          <cell r="B22" t="str">
            <v>ESIS Payable</v>
          </cell>
          <cell r="C22">
            <v>-45094</v>
          </cell>
          <cell r="D22">
            <v>46032</v>
          </cell>
          <cell r="E22">
            <v>54110</v>
          </cell>
          <cell r="F22">
            <v>-53172</v>
          </cell>
        </row>
        <row r="23">
          <cell r="A23">
            <v>163066</v>
          </cell>
          <cell r="B23" t="str">
            <v>Loose Change Suspense Account</v>
          </cell>
          <cell r="C23">
            <v>-24.53</v>
          </cell>
          <cell r="D23">
            <v>137.31</v>
          </cell>
          <cell r="E23">
            <v>135.21</v>
          </cell>
          <cell r="F23">
            <v>-22.43</v>
          </cell>
        </row>
        <row r="24">
          <cell r="A24">
            <v>163068</v>
          </cell>
          <cell r="B24" t="str">
            <v>Staff Recoveries - Professional Tax</v>
          </cell>
          <cell r="C24">
            <v>-69530</v>
          </cell>
          <cell r="D24">
            <v>69530</v>
          </cell>
          <cell r="E24">
            <v>66760</v>
          </cell>
          <cell r="F24">
            <v>-66760</v>
          </cell>
        </row>
        <row r="25">
          <cell r="A25">
            <v>163070</v>
          </cell>
          <cell r="B25" t="str">
            <v>Staff Recoveries - Employee Union</v>
          </cell>
          <cell r="C25">
            <v>-123801</v>
          </cell>
          <cell r="D25">
            <v>210304</v>
          </cell>
          <cell r="E25">
            <v>90828</v>
          </cell>
          <cell r="F25">
            <v>-4325</v>
          </cell>
        </row>
        <row r="26">
          <cell r="A26">
            <v>163071</v>
          </cell>
          <cell r="B26" t="str">
            <v>Staff Recoveries - Welfare Fund</v>
          </cell>
          <cell r="C26">
            <v>-118524.25</v>
          </cell>
          <cell r="D26">
            <v>0</v>
          </cell>
          <cell r="E26">
            <v>15408</v>
          </cell>
          <cell r="F26">
            <v>-133932.25</v>
          </cell>
        </row>
        <row r="27">
          <cell r="A27">
            <v>163073</v>
          </cell>
          <cell r="B27" t="str">
            <v>Staff Recoveries - Credit Society</v>
          </cell>
          <cell r="C27">
            <v>-195868</v>
          </cell>
          <cell r="D27">
            <v>195868</v>
          </cell>
          <cell r="E27">
            <v>205055</v>
          </cell>
          <cell r="F27">
            <v>-205055</v>
          </cell>
        </row>
        <row r="28">
          <cell r="A28">
            <v>163075</v>
          </cell>
          <cell r="B28" t="str">
            <v>Staff Recoveries - Housing Loan</v>
          </cell>
          <cell r="C28">
            <v>-114937</v>
          </cell>
          <cell r="D28">
            <v>114937</v>
          </cell>
          <cell r="E28">
            <v>115565</v>
          </cell>
          <cell r="F28">
            <v>-115565</v>
          </cell>
        </row>
        <row r="29">
          <cell r="A29">
            <v>163077</v>
          </cell>
          <cell r="B29" t="str">
            <v>Staff Recoveries - Insurance Premium</v>
          </cell>
          <cell r="C29">
            <v>-200886.9</v>
          </cell>
          <cell r="D29">
            <v>200886.9</v>
          </cell>
          <cell r="E29">
            <v>202703.1</v>
          </cell>
          <cell r="F29">
            <v>-202703.1</v>
          </cell>
        </row>
        <row r="30">
          <cell r="A30">
            <v>163079</v>
          </cell>
          <cell r="B30" t="str">
            <v>Labour Welfare Fund Clearing</v>
          </cell>
          <cell r="C30">
            <v>0</v>
          </cell>
          <cell r="D30">
            <v>504</v>
          </cell>
          <cell r="E30">
            <v>504</v>
          </cell>
          <cell r="F30">
            <v>0</v>
          </cell>
        </row>
        <row r="31">
          <cell r="A31">
            <v>163080</v>
          </cell>
          <cell r="B31" t="str">
            <v>Salary Payable Clearing</v>
          </cell>
          <cell r="C31">
            <v>0</v>
          </cell>
          <cell r="D31">
            <v>3491042</v>
          </cell>
          <cell r="E31">
            <v>3491042</v>
          </cell>
          <cell r="F31">
            <v>0</v>
          </cell>
        </row>
        <row r="32">
          <cell r="A32">
            <v>163102</v>
          </cell>
          <cell r="B32" t="str">
            <v>Luxury Tax Payable</v>
          </cell>
          <cell r="C32">
            <v>-4263779</v>
          </cell>
          <cell r="D32">
            <v>4263779</v>
          </cell>
          <cell r="E32">
            <v>4919064</v>
          </cell>
          <cell r="F32">
            <v>-4919064</v>
          </cell>
        </row>
        <row r="33">
          <cell r="A33">
            <v>163103</v>
          </cell>
          <cell r="B33" t="str">
            <v>Luxury Tax Payable Clearing</v>
          </cell>
          <cell r="C33">
            <v>0</v>
          </cell>
          <cell r="D33">
            <v>5011216</v>
          </cell>
          <cell r="E33">
            <v>5011216</v>
          </cell>
          <cell r="F33">
            <v>0</v>
          </cell>
        </row>
        <row r="34">
          <cell r="A34">
            <v>163109</v>
          </cell>
          <cell r="B34" t="str">
            <v>VAT Adjustment</v>
          </cell>
          <cell r="C34">
            <v>0</v>
          </cell>
          <cell r="D34">
            <v>75542.240000000005</v>
          </cell>
          <cell r="E34">
            <v>107676.9</v>
          </cell>
          <cell r="F34">
            <v>-32134.66</v>
          </cell>
        </row>
        <row r="35">
          <cell r="A35">
            <v>163110</v>
          </cell>
          <cell r="B35" t="str">
            <v>Entertainment Tax Payable</v>
          </cell>
          <cell r="C35">
            <v>0</v>
          </cell>
          <cell r="D35">
            <v>216428</v>
          </cell>
          <cell r="E35">
            <v>216428</v>
          </cell>
          <cell r="F35">
            <v>0</v>
          </cell>
        </row>
        <row r="36">
          <cell r="A36">
            <v>163112</v>
          </cell>
          <cell r="B36" t="str">
            <v>Service Tax Payable</v>
          </cell>
          <cell r="C36">
            <v>-755634</v>
          </cell>
          <cell r="D36">
            <v>1511268</v>
          </cell>
          <cell r="E36">
            <v>1712952</v>
          </cell>
          <cell r="F36">
            <v>-957318</v>
          </cell>
        </row>
        <row r="37">
          <cell r="A37">
            <v>163113</v>
          </cell>
          <cell r="B37" t="str">
            <v>Service Tax Payable Clearing</v>
          </cell>
          <cell r="C37">
            <v>0</v>
          </cell>
          <cell r="D37">
            <v>1095334</v>
          </cell>
          <cell r="E37">
            <v>1095334</v>
          </cell>
          <cell r="F37">
            <v>0</v>
          </cell>
        </row>
        <row r="38">
          <cell r="A38">
            <v>163116</v>
          </cell>
          <cell r="B38" t="str">
            <v>Excise Duty Payable</v>
          </cell>
          <cell r="C38">
            <v>-35789</v>
          </cell>
          <cell r="D38">
            <v>35789</v>
          </cell>
          <cell r="E38">
            <v>40121</v>
          </cell>
          <cell r="F38">
            <v>-40121</v>
          </cell>
        </row>
        <row r="39">
          <cell r="A39">
            <v>163125</v>
          </cell>
          <cell r="B39" t="str">
            <v>VAT - Liability Account</v>
          </cell>
          <cell r="C39">
            <v>-3127757.62</v>
          </cell>
          <cell r="D39">
            <v>3127770</v>
          </cell>
          <cell r="E39">
            <v>4237719</v>
          </cell>
          <cell r="F39">
            <v>-4237706.62</v>
          </cell>
        </row>
        <row r="40">
          <cell r="A40">
            <v>163126</v>
          </cell>
          <cell r="B40" t="str">
            <v>VAT - Liability Clearing Account</v>
          </cell>
          <cell r="C40">
            <v>0</v>
          </cell>
          <cell r="D40">
            <v>4318205</v>
          </cell>
          <cell r="E40">
            <v>4318205</v>
          </cell>
          <cell r="F40">
            <v>0</v>
          </cell>
        </row>
        <row r="41">
          <cell r="A41">
            <v>163127</v>
          </cell>
          <cell r="B41" t="str">
            <v>VAT - Payable</v>
          </cell>
          <cell r="C41">
            <v>0</v>
          </cell>
          <cell r="D41">
            <v>2833985.94</v>
          </cell>
          <cell r="E41">
            <v>2833985.94</v>
          </cell>
          <cell r="F41">
            <v>0</v>
          </cell>
        </row>
        <row r="42">
          <cell r="A42">
            <v>163151</v>
          </cell>
          <cell r="B42" t="str">
            <v>Tax Deducted At Source - Clearing</v>
          </cell>
          <cell r="C42">
            <v>836</v>
          </cell>
          <cell r="D42">
            <v>1097532</v>
          </cell>
          <cell r="E42">
            <v>984517</v>
          </cell>
          <cell r="F42">
            <v>113851</v>
          </cell>
        </row>
        <row r="43">
          <cell r="A43">
            <v>163152</v>
          </cell>
          <cell r="B43" t="str">
            <v>Tax Deducted At Source - Travel Agent C</v>
          </cell>
          <cell r="C43">
            <v>-9545</v>
          </cell>
          <cell r="D43">
            <v>9734</v>
          </cell>
          <cell r="E43">
            <v>18018</v>
          </cell>
          <cell r="F43">
            <v>-17829</v>
          </cell>
        </row>
        <row r="44">
          <cell r="A44">
            <v>163153</v>
          </cell>
          <cell r="B44" t="str">
            <v>Tax Deducted At Source - Salaries</v>
          </cell>
          <cell r="C44">
            <v>-484356</v>
          </cell>
          <cell r="D44">
            <v>484356</v>
          </cell>
          <cell r="E44">
            <v>415467</v>
          </cell>
          <cell r="F44">
            <v>-415467</v>
          </cell>
        </row>
        <row r="45">
          <cell r="A45">
            <v>163154</v>
          </cell>
          <cell r="B45" t="str">
            <v>Tax Deducted At Source - Payment To Con</v>
          </cell>
          <cell r="C45">
            <v>-87219</v>
          </cell>
          <cell r="D45">
            <v>177111</v>
          </cell>
          <cell r="E45">
            <v>340533</v>
          </cell>
          <cell r="F45">
            <v>-250641</v>
          </cell>
        </row>
        <row r="46">
          <cell r="A46">
            <v>163155</v>
          </cell>
          <cell r="B46" t="str">
            <v>Tax Deducted At Source - Professional F</v>
          </cell>
          <cell r="C46">
            <v>-65896</v>
          </cell>
          <cell r="D46">
            <v>65896</v>
          </cell>
          <cell r="E46">
            <v>635746</v>
          </cell>
          <cell r="F46">
            <v>-635746</v>
          </cell>
        </row>
        <row r="47">
          <cell r="A47">
            <v>163156</v>
          </cell>
          <cell r="B47" t="str">
            <v>Tax Deducted At Source - Rent</v>
          </cell>
          <cell r="C47">
            <v>-9761</v>
          </cell>
          <cell r="D47">
            <v>9761</v>
          </cell>
          <cell r="E47">
            <v>23484</v>
          </cell>
          <cell r="F47">
            <v>-23484</v>
          </cell>
        </row>
        <row r="48">
          <cell r="A48">
            <v>163163</v>
          </cell>
          <cell r="B48" t="str">
            <v>Work Contract Tax Payable</v>
          </cell>
          <cell r="C48">
            <v>-27063</v>
          </cell>
          <cell r="D48">
            <v>106152</v>
          </cell>
          <cell r="E48">
            <v>104050</v>
          </cell>
          <cell r="F48">
            <v>-24961</v>
          </cell>
        </row>
        <row r="49">
          <cell r="A49">
            <v>163164</v>
          </cell>
          <cell r="B49" t="str">
            <v>Work Contract Tax Payable Clearing</v>
          </cell>
          <cell r="C49">
            <v>-35</v>
          </cell>
          <cell r="D49">
            <v>178037</v>
          </cell>
          <cell r="E49">
            <v>178044</v>
          </cell>
          <cell r="F49">
            <v>-42</v>
          </cell>
        </row>
        <row r="50">
          <cell r="A50">
            <v>163166</v>
          </cell>
          <cell r="B50" t="str">
            <v>ESIS Clearing</v>
          </cell>
          <cell r="C50">
            <v>1292</v>
          </cell>
          <cell r="D50">
            <v>40337</v>
          </cell>
          <cell r="E50">
            <v>40835</v>
          </cell>
          <cell r="F50">
            <v>794</v>
          </cell>
        </row>
        <row r="51">
          <cell r="A51">
            <v>163167</v>
          </cell>
          <cell r="B51" t="str">
            <v>Tax Collected at Source - Clearing</v>
          </cell>
          <cell r="C51">
            <v>-3146</v>
          </cell>
          <cell r="D51">
            <v>893</v>
          </cell>
          <cell r="E51">
            <v>394</v>
          </cell>
          <cell r="F51">
            <v>-2647</v>
          </cell>
        </row>
        <row r="52">
          <cell r="A52">
            <v>163168</v>
          </cell>
          <cell r="B52" t="str">
            <v>Tax Collected at Source - Payable</v>
          </cell>
          <cell r="C52">
            <v>1118</v>
          </cell>
          <cell r="D52">
            <v>0</v>
          </cell>
          <cell r="E52">
            <v>0</v>
          </cell>
          <cell r="F52">
            <v>1118</v>
          </cell>
        </row>
        <row r="53">
          <cell r="A53">
            <v>163201</v>
          </cell>
          <cell r="B53" t="str">
            <v>Paid Outs - General</v>
          </cell>
          <cell r="C53">
            <v>0</v>
          </cell>
          <cell r="D53">
            <v>292993</v>
          </cell>
          <cell r="E53">
            <v>292993</v>
          </cell>
          <cell r="F53">
            <v>0</v>
          </cell>
        </row>
        <row r="54">
          <cell r="A54">
            <v>163202</v>
          </cell>
          <cell r="B54" t="str">
            <v>Paid Out - Taj Trade And Transport</v>
          </cell>
          <cell r="C54">
            <v>-345001</v>
          </cell>
          <cell r="D54">
            <v>336051</v>
          </cell>
          <cell r="E54">
            <v>492745</v>
          </cell>
          <cell r="F54">
            <v>-501695</v>
          </cell>
        </row>
        <row r="55">
          <cell r="A55">
            <v>163203</v>
          </cell>
          <cell r="B55" t="str">
            <v>Paid Out - For Liabilities</v>
          </cell>
          <cell r="C55">
            <v>-1424252</v>
          </cell>
          <cell r="D55">
            <v>2331942</v>
          </cell>
          <cell r="E55">
            <v>1533329</v>
          </cell>
          <cell r="F55">
            <v>-625639</v>
          </cell>
        </row>
        <row r="56">
          <cell r="A56">
            <v>163204</v>
          </cell>
          <cell r="B56" t="str">
            <v>Paid Outs - Tips</v>
          </cell>
          <cell r="C56">
            <v>-89878</v>
          </cell>
          <cell r="D56">
            <v>472530</v>
          </cell>
          <cell r="E56">
            <v>446389</v>
          </cell>
          <cell r="F56">
            <v>-63737</v>
          </cell>
        </row>
        <row r="57">
          <cell r="A57">
            <v>163551</v>
          </cell>
          <cell r="B57" t="str">
            <v>Unclaimed Salaries</v>
          </cell>
          <cell r="C57">
            <v>-144686</v>
          </cell>
          <cell r="D57">
            <v>0</v>
          </cell>
          <cell r="E57">
            <v>0</v>
          </cell>
          <cell r="F57">
            <v>-144686</v>
          </cell>
        </row>
        <row r="58">
          <cell r="A58">
            <v>163552</v>
          </cell>
          <cell r="B58" t="str">
            <v>Unclaimed Bonus</v>
          </cell>
          <cell r="C58">
            <v>-44791</v>
          </cell>
          <cell r="D58">
            <v>0</v>
          </cell>
          <cell r="E58">
            <v>0</v>
          </cell>
          <cell r="F58">
            <v>-44791</v>
          </cell>
        </row>
        <row r="59">
          <cell r="A59">
            <v>163601</v>
          </cell>
          <cell r="B59" t="str">
            <v>Unpresented Cheques</v>
          </cell>
          <cell r="C59">
            <v>-658447.38</v>
          </cell>
          <cell r="D59">
            <v>27113</v>
          </cell>
          <cell r="E59">
            <v>86406.75</v>
          </cell>
          <cell r="F59">
            <v>-717741.13</v>
          </cell>
        </row>
        <row r="60">
          <cell r="A60">
            <v>163602</v>
          </cell>
          <cell r="B60" t="str">
            <v>Sundry Liabilities</v>
          </cell>
          <cell r="C60">
            <v>-59100</v>
          </cell>
          <cell r="D60">
            <v>0</v>
          </cell>
          <cell r="E60">
            <v>0</v>
          </cell>
          <cell r="F60">
            <v>-59100</v>
          </cell>
        </row>
        <row r="61">
          <cell r="A61">
            <v>163701</v>
          </cell>
          <cell r="B61" t="str">
            <v>Travel Agent Commission Payable Control</v>
          </cell>
          <cell r="C61">
            <v>-1447.3</v>
          </cell>
          <cell r="D61">
            <v>17001.599999999999</v>
          </cell>
          <cell r="E61">
            <v>21927.599999999999</v>
          </cell>
          <cell r="F61">
            <v>-6373.3</v>
          </cell>
        </row>
        <row r="62">
          <cell r="A62">
            <v>163702</v>
          </cell>
          <cell r="B62" t="str">
            <v>Sundry Creditors for Staff Liabilities</v>
          </cell>
          <cell r="C62">
            <v>-10109</v>
          </cell>
          <cell r="D62">
            <v>1050959.5</v>
          </cell>
          <cell r="E62">
            <v>1040541.5</v>
          </cell>
          <cell r="F62">
            <v>309</v>
          </cell>
        </row>
        <row r="63">
          <cell r="A63">
            <v>163703</v>
          </cell>
          <cell r="B63" t="str">
            <v>Sales, TA Commission Clearing Balances</v>
          </cell>
          <cell r="C63">
            <v>133201.4</v>
          </cell>
          <cell r="D63">
            <v>115191873.06</v>
          </cell>
          <cell r="E63">
            <v>115009870</v>
          </cell>
          <cell r="F63">
            <v>315204.46000000002</v>
          </cell>
        </row>
        <row r="64">
          <cell r="A64">
            <v>163704</v>
          </cell>
          <cell r="B64" t="str">
            <v>DM RR Accrual Clearing</v>
          </cell>
          <cell r="C64">
            <v>-75015.16</v>
          </cell>
          <cell r="D64">
            <v>0</v>
          </cell>
          <cell r="E64">
            <v>0</v>
          </cell>
          <cell r="F64">
            <v>-75015.16</v>
          </cell>
        </row>
        <row r="65">
          <cell r="A65">
            <v>163752</v>
          </cell>
          <cell r="B65" t="str">
            <v>Inter Unit/Company Receivables/Payables</v>
          </cell>
          <cell r="C65">
            <v>0</v>
          </cell>
          <cell r="D65">
            <v>16506</v>
          </cell>
          <cell r="E65">
            <v>16506</v>
          </cell>
          <cell r="F65">
            <v>0</v>
          </cell>
        </row>
        <row r="66">
          <cell r="A66">
            <v>163852</v>
          </cell>
          <cell r="B66" t="str">
            <v>Advance from Customers</v>
          </cell>
          <cell r="C66">
            <v>-9088537.5999999996</v>
          </cell>
          <cell r="D66">
            <v>13258051.25</v>
          </cell>
          <cell r="E66">
            <v>8866922</v>
          </cell>
          <cell r="F66">
            <v>-4697408.3499999996</v>
          </cell>
        </row>
        <row r="67">
          <cell r="A67">
            <v>164351</v>
          </cell>
          <cell r="B67" t="str">
            <v>Provision For Leave Encashment</v>
          </cell>
          <cell r="C67">
            <v>-5398000</v>
          </cell>
          <cell r="D67">
            <v>0</v>
          </cell>
          <cell r="E67">
            <v>0</v>
          </cell>
          <cell r="F67">
            <v>-5398000</v>
          </cell>
        </row>
        <row r="68">
          <cell r="A68">
            <v>164353</v>
          </cell>
          <cell r="B68" t="str">
            <v>Provision for VRS - EMI</v>
          </cell>
          <cell r="C68">
            <v>-16921542</v>
          </cell>
          <cell r="D68">
            <v>376940</v>
          </cell>
          <cell r="E68">
            <v>0</v>
          </cell>
          <cell r="F68">
            <v>-16544602</v>
          </cell>
        </row>
        <row r="69">
          <cell r="A69">
            <v>169001</v>
          </cell>
          <cell r="B69" t="str">
            <v>Bank Of Baroda - Cuffe Parade - 10006</v>
          </cell>
          <cell r="C69">
            <v>5491530.7000000002</v>
          </cell>
          <cell r="D69">
            <v>117893180.48</v>
          </cell>
          <cell r="E69">
            <v>118371780.26000001</v>
          </cell>
          <cell r="F69">
            <v>5012930.92</v>
          </cell>
        </row>
        <row r="70">
          <cell r="A70">
            <v>261101</v>
          </cell>
          <cell r="B70" t="str">
            <v>Owned Building - Hotel</v>
          </cell>
          <cell r="C70">
            <v>93956645.930000007</v>
          </cell>
          <cell r="D70">
            <v>0</v>
          </cell>
          <cell r="E70">
            <v>0</v>
          </cell>
          <cell r="F70">
            <v>93956645.930000007</v>
          </cell>
        </row>
        <row r="71">
          <cell r="A71">
            <v>261105</v>
          </cell>
          <cell r="B71" t="str">
            <v>Temporary Structures</v>
          </cell>
          <cell r="C71">
            <v>137530</v>
          </cell>
          <cell r="D71">
            <v>0</v>
          </cell>
          <cell r="E71">
            <v>0</v>
          </cell>
          <cell r="F71">
            <v>137530</v>
          </cell>
        </row>
        <row r="72">
          <cell r="A72">
            <v>261201</v>
          </cell>
          <cell r="B72" t="str">
            <v>Plant and Machinery - General</v>
          </cell>
          <cell r="C72">
            <v>21695167.199999999</v>
          </cell>
          <cell r="D72">
            <v>0</v>
          </cell>
          <cell r="E72">
            <v>0</v>
          </cell>
          <cell r="F72">
            <v>21695167.199999999</v>
          </cell>
        </row>
        <row r="73">
          <cell r="A73">
            <v>261202</v>
          </cell>
          <cell r="B73" t="str">
            <v>Plant and Machinery - Lower than Rs 500</v>
          </cell>
          <cell r="C73">
            <v>2052615.08</v>
          </cell>
          <cell r="D73">
            <v>0</v>
          </cell>
          <cell r="E73">
            <v>0</v>
          </cell>
          <cell r="F73">
            <v>2052615.08</v>
          </cell>
        </row>
        <row r="74">
          <cell r="A74">
            <v>261203</v>
          </cell>
          <cell r="B74" t="str">
            <v>Plant and Machinery - Heat, Ventillatio</v>
          </cell>
          <cell r="C74">
            <v>32900295.760000002</v>
          </cell>
          <cell r="D74">
            <v>0</v>
          </cell>
          <cell r="E74">
            <v>0</v>
          </cell>
          <cell r="F74">
            <v>32900295.760000002</v>
          </cell>
        </row>
        <row r="75">
          <cell r="A75">
            <v>261206</v>
          </cell>
          <cell r="B75" t="str">
            <v>Plant and Machinery - Sanitary and Plum</v>
          </cell>
          <cell r="C75">
            <v>3448188.82</v>
          </cell>
          <cell r="D75">
            <v>36741</v>
          </cell>
          <cell r="E75">
            <v>0</v>
          </cell>
          <cell r="F75">
            <v>3484929.82</v>
          </cell>
        </row>
        <row r="76">
          <cell r="A76">
            <v>261207</v>
          </cell>
          <cell r="B76" t="str">
            <v>Plant and Machinery - Elevators and Esc</v>
          </cell>
          <cell r="C76">
            <v>13132760.949999999</v>
          </cell>
          <cell r="D76">
            <v>0</v>
          </cell>
          <cell r="E76">
            <v>0</v>
          </cell>
          <cell r="F76">
            <v>13132760.949999999</v>
          </cell>
        </row>
        <row r="77">
          <cell r="A77">
            <v>261208</v>
          </cell>
          <cell r="B77" t="str">
            <v>Plant and Machinery - Fire Fighting</v>
          </cell>
          <cell r="C77">
            <v>5988127.21</v>
          </cell>
          <cell r="D77">
            <v>0</v>
          </cell>
          <cell r="E77">
            <v>0</v>
          </cell>
          <cell r="F77">
            <v>5988127.21</v>
          </cell>
        </row>
        <row r="78">
          <cell r="A78">
            <v>261209</v>
          </cell>
          <cell r="B78" t="str">
            <v>Plant and Machinery - Audio Video Equip</v>
          </cell>
          <cell r="C78">
            <v>10729273.83</v>
          </cell>
          <cell r="D78">
            <v>0</v>
          </cell>
          <cell r="E78">
            <v>0</v>
          </cell>
          <cell r="F78">
            <v>10729273.83</v>
          </cell>
        </row>
        <row r="79">
          <cell r="A79">
            <v>261210</v>
          </cell>
          <cell r="B79" t="str">
            <v>Plant and Machinery - Generators and Bo</v>
          </cell>
          <cell r="C79">
            <v>469965.25</v>
          </cell>
          <cell r="D79">
            <v>0</v>
          </cell>
          <cell r="E79">
            <v>0</v>
          </cell>
          <cell r="F79">
            <v>469965.25</v>
          </cell>
        </row>
        <row r="80">
          <cell r="A80">
            <v>261212</v>
          </cell>
          <cell r="B80" t="str">
            <v>Plant and Machinery - EDP and Computers</v>
          </cell>
          <cell r="C80">
            <v>24916063.48</v>
          </cell>
          <cell r="D80">
            <v>0</v>
          </cell>
          <cell r="E80">
            <v>0</v>
          </cell>
          <cell r="F80">
            <v>24916063.48</v>
          </cell>
        </row>
        <row r="81">
          <cell r="A81">
            <v>261213</v>
          </cell>
          <cell r="B81" t="str">
            <v>Plant and Machinery - Communication Equ</v>
          </cell>
          <cell r="C81">
            <v>20483926.539999999</v>
          </cell>
          <cell r="D81">
            <v>0</v>
          </cell>
          <cell r="E81">
            <v>0</v>
          </cell>
          <cell r="F81">
            <v>20483926.539999999</v>
          </cell>
        </row>
        <row r="82">
          <cell r="A82">
            <v>261214</v>
          </cell>
          <cell r="B82" t="str">
            <v>Plant and Machinery - Kitchen Equipment</v>
          </cell>
          <cell r="C82">
            <v>43108882.299999997</v>
          </cell>
          <cell r="D82">
            <v>0</v>
          </cell>
          <cell r="E82">
            <v>0</v>
          </cell>
          <cell r="F82">
            <v>43108882.299999997</v>
          </cell>
        </row>
        <row r="83">
          <cell r="A83">
            <v>261215</v>
          </cell>
          <cell r="B83" t="str">
            <v>Plant and Machinery - Laundry Equipment</v>
          </cell>
          <cell r="C83">
            <v>40713.050000000003</v>
          </cell>
          <cell r="D83">
            <v>0</v>
          </cell>
          <cell r="E83">
            <v>0</v>
          </cell>
          <cell r="F83">
            <v>40713.050000000003</v>
          </cell>
        </row>
        <row r="84">
          <cell r="A84">
            <v>261216</v>
          </cell>
          <cell r="B84" t="str">
            <v>Plant and Machinery - Housekeeping Equi</v>
          </cell>
          <cell r="C84">
            <v>4756781.0999999996</v>
          </cell>
          <cell r="D84">
            <v>0</v>
          </cell>
          <cell r="E84">
            <v>0</v>
          </cell>
          <cell r="F84">
            <v>4756781.0999999996</v>
          </cell>
        </row>
        <row r="85">
          <cell r="A85">
            <v>261217</v>
          </cell>
          <cell r="B85" t="str">
            <v>Plant and Machinery - Special Equipment</v>
          </cell>
          <cell r="C85">
            <v>26490422.899999999</v>
          </cell>
          <cell r="D85">
            <v>0</v>
          </cell>
          <cell r="E85">
            <v>0</v>
          </cell>
          <cell r="F85">
            <v>26490422.899999999</v>
          </cell>
        </row>
        <row r="86">
          <cell r="A86">
            <v>261218</v>
          </cell>
          <cell r="B86" t="str">
            <v>Plant and Machinery - Garden Equipment</v>
          </cell>
          <cell r="C86">
            <v>91921.14</v>
          </cell>
          <cell r="D86">
            <v>0</v>
          </cell>
          <cell r="E86">
            <v>0</v>
          </cell>
          <cell r="F86">
            <v>91921.14</v>
          </cell>
        </row>
        <row r="87">
          <cell r="A87">
            <v>261219</v>
          </cell>
          <cell r="B87" t="str">
            <v>Plant and Machinery - Sports and Fitnes</v>
          </cell>
          <cell r="C87">
            <v>2903860.77</v>
          </cell>
          <cell r="D87">
            <v>0</v>
          </cell>
          <cell r="E87">
            <v>0</v>
          </cell>
          <cell r="F87">
            <v>2903860.77</v>
          </cell>
        </row>
        <row r="88">
          <cell r="A88">
            <v>261301</v>
          </cell>
          <cell r="B88" t="str">
            <v>Electrical Fittings and Installations</v>
          </cell>
          <cell r="C88">
            <v>26064862.870000001</v>
          </cell>
          <cell r="D88">
            <v>0</v>
          </cell>
          <cell r="E88">
            <v>0</v>
          </cell>
          <cell r="F88">
            <v>26064862.870000001</v>
          </cell>
        </row>
        <row r="89">
          <cell r="A89">
            <v>261351</v>
          </cell>
          <cell r="B89" t="str">
            <v>Furniture and Fixtures - Hotels</v>
          </cell>
          <cell r="C89">
            <v>80208330.230000004</v>
          </cell>
          <cell r="D89">
            <v>0</v>
          </cell>
          <cell r="E89">
            <v>0</v>
          </cell>
          <cell r="F89">
            <v>80208330.230000004</v>
          </cell>
        </row>
        <row r="90">
          <cell r="A90">
            <v>261353</v>
          </cell>
          <cell r="B90" t="str">
            <v>Furniture and Fixtures - Hotel Carpets</v>
          </cell>
          <cell r="C90">
            <v>3187299.66</v>
          </cell>
          <cell r="D90">
            <v>0</v>
          </cell>
          <cell r="E90">
            <v>0</v>
          </cell>
          <cell r="F90">
            <v>3187299.66</v>
          </cell>
        </row>
        <row r="91">
          <cell r="A91">
            <v>261354</v>
          </cell>
          <cell r="B91" t="str">
            <v>Furniture and Fixtures - Offices</v>
          </cell>
          <cell r="C91">
            <v>151048</v>
          </cell>
          <cell r="D91">
            <v>0</v>
          </cell>
          <cell r="E91">
            <v>0</v>
          </cell>
          <cell r="F91">
            <v>151048</v>
          </cell>
        </row>
        <row r="92">
          <cell r="A92">
            <v>261355</v>
          </cell>
          <cell r="B92" t="str">
            <v>Furniture and Fixtures - Lower than Rs</v>
          </cell>
          <cell r="C92">
            <v>2044443.1</v>
          </cell>
          <cell r="D92">
            <v>0</v>
          </cell>
          <cell r="E92">
            <v>0</v>
          </cell>
          <cell r="F92">
            <v>2044443.1</v>
          </cell>
        </row>
        <row r="93">
          <cell r="A93">
            <v>261451</v>
          </cell>
          <cell r="B93" t="str">
            <v>Office Equipment</v>
          </cell>
          <cell r="C93">
            <v>1834833.11</v>
          </cell>
          <cell r="D93">
            <v>0</v>
          </cell>
          <cell r="E93">
            <v>0</v>
          </cell>
          <cell r="F93">
            <v>1834833.11</v>
          </cell>
        </row>
        <row r="94">
          <cell r="A94">
            <v>261551</v>
          </cell>
          <cell r="B94" t="str">
            <v>Motor Cars and Motor Cycles</v>
          </cell>
          <cell r="C94">
            <v>912247</v>
          </cell>
          <cell r="D94">
            <v>0</v>
          </cell>
          <cell r="E94">
            <v>0</v>
          </cell>
          <cell r="F94">
            <v>912247</v>
          </cell>
        </row>
        <row r="95">
          <cell r="A95">
            <v>261556</v>
          </cell>
          <cell r="B95" t="str">
            <v>Motor cars - Executives</v>
          </cell>
          <cell r="C95">
            <v>2357656</v>
          </cell>
          <cell r="D95">
            <v>0</v>
          </cell>
          <cell r="E95">
            <v>0</v>
          </cell>
          <cell r="F95">
            <v>2357656</v>
          </cell>
        </row>
        <row r="96">
          <cell r="A96">
            <v>261651</v>
          </cell>
          <cell r="B96" t="str">
            <v>Asset Clearing</v>
          </cell>
          <cell r="C96">
            <v>1071319.46</v>
          </cell>
          <cell r="D96">
            <v>0</v>
          </cell>
          <cell r="E96">
            <v>0</v>
          </cell>
          <cell r="F96">
            <v>1071319.46</v>
          </cell>
        </row>
        <row r="97">
          <cell r="A97">
            <v>261652</v>
          </cell>
          <cell r="B97" t="str">
            <v>Sale Proceeds Clearing</v>
          </cell>
          <cell r="C97">
            <v>0</v>
          </cell>
          <cell r="D97">
            <v>0</v>
          </cell>
          <cell r="E97">
            <v>31111</v>
          </cell>
          <cell r="F97">
            <v>-31111</v>
          </cell>
        </row>
        <row r="98">
          <cell r="A98">
            <v>262001</v>
          </cell>
          <cell r="B98" t="str">
            <v>CWIP Clearing</v>
          </cell>
          <cell r="C98">
            <v>48904763.68</v>
          </cell>
          <cell r="D98">
            <v>13389404.24</v>
          </cell>
          <cell r="E98">
            <v>2726571.32</v>
          </cell>
          <cell r="F98">
            <v>59567596.600000001</v>
          </cell>
        </row>
        <row r="99">
          <cell r="A99">
            <v>262053</v>
          </cell>
          <cell r="B99" t="str">
            <v>Accumulated Depreciation - Buildings</v>
          </cell>
          <cell r="C99">
            <v>-12690978.9</v>
          </cell>
          <cell r="D99">
            <v>0</v>
          </cell>
          <cell r="E99">
            <v>0</v>
          </cell>
          <cell r="F99">
            <v>-12690978.9</v>
          </cell>
        </row>
        <row r="100">
          <cell r="A100">
            <v>262054</v>
          </cell>
          <cell r="B100" t="str">
            <v>Accumulated Depreciation - Plant and Ma</v>
          </cell>
          <cell r="C100">
            <v>-134141281.52</v>
          </cell>
          <cell r="D100">
            <v>0</v>
          </cell>
          <cell r="E100">
            <v>0</v>
          </cell>
          <cell r="F100">
            <v>-134141281.52</v>
          </cell>
        </row>
        <row r="101">
          <cell r="A101">
            <v>262055</v>
          </cell>
          <cell r="B101" t="str">
            <v>Accumulated Depreciation - Electrical I</v>
          </cell>
          <cell r="C101">
            <v>-5764840.5700000003</v>
          </cell>
          <cell r="D101">
            <v>0</v>
          </cell>
          <cell r="E101">
            <v>0</v>
          </cell>
          <cell r="F101">
            <v>-5764840.5700000003</v>
          </cell>
        </row>
        <row r="102">
          <cell r="A102">
            <v>262056</v>
          </cell>
          <cell r="B102" t="str">
            <v>Accumulated Depreciation - Furniture an</v>
          </cell>
          <cell r="C102">
            <v>-54763687.700000003</v>
          </cell>
          <cell r="D102">
            <v>0</v>
          </cell>
          <cell r="E102">
            <v>0</v>
          </cell>
          <cell r="F102">
            <v>-54763687.700000003</v>
          </cell>
        </row>
        <row r="103">
          <cell r="A103">
            <v>262057</v>
          </cell>
          <cell r="B103" t="str">
            <v>Accumulated Depreciation - Office Equip</v>
          </cell>
          <cell r="C103">
            <v>-686661.21</v>
          </cell>
          <cell r="D103">
            <v>0</v>
          </cell>
          <cell r="E103">
            <v>0</v>
          </cell>
          <cell r="F103">
            <v>-686661.21</v>
          </cell>
        </row>
        <row r="104">
          <cell r="A104">
            <v>262058</v>
          </cell>
          <cell r="B104" t="str">
            <v>Accumulated Depreciation - Vehicles</v>
          </cell>
          <cell r="C104">
            <v>-942549.4</v>
          </cell>
          <cell r="D104">
            <v>0</v>
          </cell>
          <cell r="E104">
            <v>0</v>
          </cell>
          <cell r="F104">
            <v>-942549.4</v>
          </cell>
        </row>
        <row r="105">
          <cell r="A105">
            <v>262751</v>
          </cell>
          <cell r="B105" t="str">
            <v>Stock - Chinaware and Crokery</v>
          </cell>
          <cell r="C105">
            <v>3657850.51</v>
          </cell>
          <cell r="D105">
            <v>231614.13</v>
          </cell>
          <cell r="E105">
            <v>1259777.68</v>
          </cell>
          <cell r="F105">
            <v>2629686.96</v>
          </cell>
        </row>
        <row r="106">
          <cell r="A106">
            <v>262752</v>
          </cell>
          <cell r="B106" t="str">
            <v>Stock - Cutlery</v>
          </cell>
          <cell r="C106">
            <v>642053.64</v>
          </cell>
          <cell r="D106">
            <v>50142.720000000001</v>
          </cell>
          <cell r="E106">
            <v>371535.79</v>
          </cell>
          <cell r="F106">
            <v>320660.57</v>
          </cell>
        </row>
        <row r="107">
          <cell r="A107">
            <v>262753</v>
          </cell>
          <cell r="B107" t="str">
            <v>Stock - Tableware, Silverware and Hollo</v>
          </cell>
          <cell r="C107">
            <v>673324</v>
          </cell>
          <cell r="D107">
            <v>0</v>
          </cell>
          <cell r="E107">
            <v>237386.58</v>
          </cell>
          <cell r="F107">
            <v>435937.42</v>
          </cell>
        </row>
        <row r="108">
          <cell r="A108">
            <v>262754</v>
          </cell>
          <cell r="B108" t="str">
            <v>Stock - Glassware</v>
          </cell>
          <cell r="C108">
            <v>791778.3</v>
          </cell>
          <cell r="D108">
            <v>180703.87</v>
          </cell>
          <cell r="E108">
            <v>308375.2</v>
          </cell>
          <cell r="F108">
            <v>664106.97</v>
          </cell>
        </row>
        <row r="109">
          <cell r="A109">
            <v>262801</v>
          </cell>
          <cell r="B109" t="str">
            <v>Stock - Linen</v>
          </cell>
          <cell r="C109">
            <v>2756387.78</v>
          </cell>
          <cell r="D109">
            <v>325323.98</v>
          </cell>
          <cell r="E109">
            <v>2098178.63</v>
          </cell>
          <cell r="F109">
            <v>983533.13</v>
          </cell>
        </row>
        <row r="110">
          <cell r="A110">
            <v>262802</v>
          </cell>
          <cell r="B110" t="str">
            <v>Stock - Guest Room Supplies</v>
          </cell>
          <cell r="C110">
            <v>178782.52</v>
          </cell>
          <cell r="D110">
            <v>396479.06</v>
          </cell>
          <cell r="E110">
            <v>369665.71</v>
          </cell>
          <cell r="F110">
            <v>205595.87</v>
          </cell>
        </row>
        <row r="111">
          <cell r="A111">
            <v>262803</v>
          </cell>
          <cell r="B111" t="str">
            <v>Stock - Cleaning Supplies</v>
          </cell>
          <cell r="C111">
            <v>126316.73</v>
          </cell>
          <cell r="D111">
            <v>125494.22</v>
          </cell>
          <cell r="E111">
            <v>251810.95</v>
          </cell>
          <cell r="F111">
            <v>0</v>
          </cell>
        </row>
        <row r="112">
          <cell r="A112">
            <v>262804</v>
          </cell>
          <cell r="B112" t="str">
            <v>Stock - Curtain Materials and Upholstry</v>
          </cell>
          <cell r="C112">
            <v>566951.15</v>
          </cell>
          <cell r="D112">
            <v>585</v>
          </cell>
          <cell r="E112">
            <v>585</v>
          </cell>
          <cell r="F112">
            <v>566951.15</v>
          </cell>
        </row>
        <row r="113">
          <cell r="A113">
            <v>262806</v>
          </cell>
          <cell r="B113" t="str">
            <v>Stock - Laundry Supplies</v>
          </cell>
          <cell r="C113">
            <v>25835</v>
          </cell>
          <cell r="D113">
            <v>71402.5</v>
          </cell>
          <cell r="E113">
            <v>97237.5</v>
          </cell>
          <cell r="F113">
            <v>0</v>
          </cell>
        </row>
        <row r="114">
          <cell r="A114">
            <v>262851</v>
          </cell>
          <cell r="B114" t="str">
            <v>Stock - Stationery</v>
          </cell>
          <cell r="C114">
            <v>841407.95</v>
          </cell>
          <cell r="D114">
            <v>212916.85</v>
          </cell>
          <cell r="E114">
            <v>1054324.8</v>
          </cell>
          <cell r="F114">
            <v>0</v>
          </cell>
        </row>
        <row r="115">
          <cell r="A115">
            <v>262901</v>
          </cell>
          <cell r="B115" t="str">
            <v>Stock - Engineering Stores</v>
          </cell>
          <cell r="C115">
            <v>2166932.13</v>
          </cell>
          <cell r="D115">
            <v>476751.15</v>
          </cell>
          <cell r="E115">
            <v>379800.89</v>
          </cell>
          <cell r="F115">
            <v>2263882.39</v>
          </cell>
        </row>
        <row r="116">
          <cell r="A116">
            <v>262951</v>
          </cell>
          <cell r="B116" t="str">
            <v>Stock - Fuel - General</v>
          </cell>
          <cell r="C116">
            <v>2271.1999999999998</v>
          </cell>
          <cell r="D116">
            <v>32487.5</v>
          </cell>
          <cell r="E116">
            <v>32890</v>
          </cell>
          <cell r="F116">
            <v>1868.7</v>
          </cell>
        </row>
        <row r="117">
          <cell r="A117">
            <v>263002</v>
          </cell>
          <cell r="B117" t="str">
            <v>Stock - Other Supplies</v>
          </cell>
          <cell r="C117">
            <v>149063.72</v>
          </cell>
          <cell r="D117">
            <v>117603.28</v>
          </cell>
          <cell r="E117">
            <v>266667</v>
          </cell>
          <cell r="F117">
            <v>0</v>
          </cell>
        </row>
        <row r="118">
          <cell r="A118">
            <v>263003</v>
          </cell>
          <cell r="B118" t="str">
            <v>Stock - Kitchen Requisites</v>
          </cell>
          <cell r="C118">
            <v>78580.63</v>
          </cell>
          <cell r="D118">
            <v>105999.72</v>
          </cell>
          <cell r="E118">
            <v>184580.35</v>
          </cell>
          <cell r="F118">
            <v>0</v>
          </cell>
        </row>
        <row r="119">
          <cell r="A119">
            <v>263004</v>
          </cell>
          <cell r="B119" t="str">
            <v>Stock - Packing Material</v>
          </cell>
          <cell r="C119">
            <v>161186.84</v>
          </cell>
          <cell r="D119">
            <v>74826</v>
          </cell>
          <cell r="E119">
            <v>236012.84</v>
          </cell>
          <cell r="F119">
            <v>0</v>
          </cell>
        </row>
        <row r="120">
          <cell r="A120">
            <v>263005</v>
          </cell>
          <cell r="B120" t="str">
            <v>Stock - Catering Supplies</v>
          </cell>
          <cell r="C120">
            <v>473104.59</v>
          </cell>
          <cell r="D120">
            <v>342089.12</v>
          </cell>
          <cell r="E120">
            <v>815193.71</v>
          </cell>
          <cell r="F120">
            <v>0</v>
          </cell>
        </row>
        <row r="121">
          <cell r="A121">
            <v>263007</v>
          </cell>
          <cell r="B121" t="str">
            <v>Stock - Health Club Supplies</v>
          </cell>
          <cell r="C121">
            <v>0</v>
          </cell>
          <cell r="D121">
            <v>5281.8</v>
          </cell>
          <cell r="E121">
            <v>5281.8</v>
          </cell>
          <cell r="F121">
            <v>0</v>
          </cell>
        </row>
        <row r="122">
          <cell r="A122">
            <v>263051</v>
          </cell>
          <cell r="B122" t="str">
            <v>Stock - Food</v>
          </cell>
          <cell r="C122">
            <v>1749512.8</v>
          </cell>
          <cell r="D122">
            <v>8120550.8300000001</v>
          </cell>
          <cell r="E122">
            <v>6882157.9100000001</v>
          </cell>
          <cell r="F122">
            <v>2987905.72</v>
          </cell>
        </row>
        <row r="123">
          <cell r="A123">
            <v>263101</v>
          </cell>
          <cell r="B123" t="str">
            <v>Stock - Beverages</v>
          </cell>
          <cell r="C123">
            <v>20606.41</v>
          </cell>
          <cell r="D123">
            <v>28354.48</v>
          </cell>
          <cell r="E123">
            <v>28803.24</v>
          </cell>
          <cell r="F123">
            <v>20157.650000000001</v>
          </cell>
        </row>
        <row r="124">
          <cell r="A124">
            <v>263102</v>
          </cell>
          <cell r="B124" t="str">
            <v>Stock - Soft Drinks</v>
          </cell>
          <cell r="C124">
            <v>21623.46</v>
          </cell>
          <cell r="D124">
            <v>196180.58</v>
          </cell>
          <cell r="E124">
            <v>165091.84</v>
          </cell>
          <cell r="F124">
            <v>52712.2</v>
          </cell>
        </row>
        <row r="125">
          <cell r="A125">
            <v>263103</v>
          </cell>
          <cell r="B125" t="str">
            <v>Stock - Mineral Water</v>
          </cell>
          <cell r="C125">
            <v>67336.86</v>
          </cell>
          <cell r="D125">
            <v>215998.9</v>
          </cell>
          <cell r="E125">
            <v>205248.81</v>
          </cell>
          <cell r="F125">
            <v>78086.95</v>
          </cell>
        </row>
        <row r="126">
          <cell r="A126">
            <v>263104</v>
          </cell>
          <cell r="B126" t="str">
            <v>Stock - Beer Indian</v>
          </cell>
          <cell r="C126">
            <v>82975.360000000001</v>
          </cell>
          <cell r="D126">
            <v>199086.07999999999</v>
          </cell>
          <cell r="E126">
            <v>201025.42</v>
          </cell>
          <cell r="F126">
            <v>81036.02</v>
          </cell>
        </row>
        <row r="127">
          <cell r="A127">
            <v>263105</v>
          </cell>
          <cell r="B127" t="str">
            <v>Stock - Beer Imported</v>
          </cell>
          <cell r="C127">
            <v>84976.58</v>
          </cell>
          <cell r="D127">
            <v>79885.119999999995</v>
          </cell>
          <cell r="E127">
            <v>57908.98</v>
          </cell>
          <cell r="F127">
            <v>106952.72</v>
          </cell>
        </row>
        <row r="128">
          <cell r="A128">
            <v>263106</v>
          </cell>
          <cell r="B128" t="str">
            <v>Stock - Wine Indian</v>
          </cell>
          <cell r="C128">
            <v>261896.31</v>
          </cell>
          <cell r="D128">
            <v>514455.65</v>
          </cell>
          <cell r="E128">
            <v>426086.84</v>
          </cell>
          <cell r="F128">
            <v>350265.12</v>
          </cell>
        </row>
        <row r="129">
          <cell r="A129">
            <v>263107</v>
          </cell>
          <cell r="B129" t="str">
            <v>Stock - Wine Imported</v>
          </cell>
          <cell r="C129">
            <v>2463738.2599999998</v>
          </cell>
          <cell r="D129">
            <v>598414.52</v>
          </cell>
          <cell r="E129">
            <v>395415.05</v>
          </cell>
          <cell r="F129">
            <v>2666737.73</v>
          </cell>
        </row>
        <row r="130">
          <cell r="A130">
            <v>263108</v>
          </cell>
          <cell r="B130" t="str">
            <v>Stock - Spirits Indian</v>
          </cell>
          <cell r="C130">
            <v>218084.24</v>
          </cell>
          <cell r="D130">
            <v>229667</v>
          </cell>
          <cell r="E130">
            <v>138182.42000000001</v>
          </cell>
          <cell r="F130">
            <v>309568.82</v>
          </cell>
        </row>
        <row r="131">
          <cell r="A131">
            <v>263109</v>
          </cell>
          <cell r="B131" t="str">
            <v>Stock - Spirits Imported</v>
          </cell>
          <cell r="C131">
            <v>3031459.97</v>
          </cell>
          <cell r="D131">
            <v>777299.35</v>
          </cell>
          <cell r="E131">
            <v>471626.63</v>
          </cell>
          <cell r="F131">
            <v>3337132.69</v>
          </cell>
        </row>
        <row r="132">
          <cell r="A132">
            <v>263110</v>
          </cell>
          <cell r="B132" t="str">
            <v>Stock - Smokes</v>
          </cell>
          <cell r="C132">
            <v>55959.97</v>
          </cell>
          <cell r="D132">
            <v>47656</v>
          </cell>
          <cell r="E132">
            <v>45747.23</v>
          </cell>
          <cell r="F132">
            <v>57868.74</v>
          </cell>
        </row>
        <row r="133">
          <cell r="A133">
            <v>263151</v>
          </cell>
          <cell r="B133" t="str">
            <v>Receiving Inspection</v>
          </cell>
          <cell r="C133">
            <v>29191.16</v>
          </cell>
          <cell r="D133">
            <v>20226867.579999998</v>
          </cell>
          <cell r="E133">
            <v>20206975.809999999</v>
          </cell>
          <cell r="F133">
            <v>49082.93</v>
          </cell>
        </row>
        <row r="134">
          <cell r="A134">
            <v>263155</v>
          </cell>
          <cell r="B134" t="str">
            <v>Circulating Stock</v>
          </cell>
          <cell r="C134">
            <v>-2862599.78</v>
          </cell>
          <cell r="D134">
            <v>3653106.09</v>
          </cell>
          <cell r="E134">
            <v>790506.31</v>
          </cell>
          <cell r="F134">
            <v>0</v>
          </cell>
        </row>
        <row r="135">
          <cell r="A135">
            <v>263201</v>
          </cell>
          <cell r="B135" t="str">
            <v>Trade Debtors Control Account</v>
          </cell>
          <cell r="C135">
            <v>70648632.450000003</v>
          </cell>
          <cell r="D135">
            <v>324630111.25</v>
          </cell>
          <cell r="E135">
            <v>327968553.94999999</v>
          </cell>
          <cell r="F135">
            <v>67310189.75</v>
          </cell>
        </row>
        <row r="136">
          <cell r="A136">
            <v>263202</v>
          </cell>
          <cell r="B136" t="str">
            <v>Unapplied Receipts</v>
          </cell>
          <cell r="C136">
            <v>-7589258.9400000004</v>
          </cell>
          <cell r="D136">
            <v>206599294.52000001</v>
          </cell>
          <cell r="E136">
            <v>206746075.19</v>
          </cell>
          <cell r="F136">
            <v>-7736039.6100000003</v>
          </cell>
        </row>
        <row r="137">
          <cell r="A137">
            <v>263205</v>
          </cell>
          <cell r="B137" t="str">
            <v>A R Rentals - Offices, Shops and Showca</v>
          </cell>
          <cell r="C137">
            <v>550135</v>
          </cell>
          <cell r="D137">
            <v>287500</v>
          </cell>
          <cell r="E137">
            <v>584140</v>
          </cell>
          <cell r="F137">
            <v>253495</v>
          </cell>
        </row>
        <row r="138">
          <cell r="A138">
            <v>263401</v>
          </cell>
          <cell r="B138" t="str">
            <v>Provision for Doubtful Debts</v>
          </cell>
          <cell r="C138">
            <v>-3654001</v>
          </cell>
          <cell r="D138">
            <v>5878</v>
          </cell>
          <cell r="E138">
            <v>0</v>
          </cell>
          <cell r="F138">
            <v>-3648123</v>
          </cell>
        </row>
        <row r="139">
          <cell r="A139">
            <v>263501</v>
          </cell>
          <cell r="B139" t="str">
            <v>Main Cash</v>
          </cell>
          <cell r="C139">
            <v>308955.5</v>
          </cell>
          <cell r="D139">
            <v>1698425.5</v>
          </cell>
          <cell r="E139">
            <v>1657381</v>
          </cell>
          <cell r="F139">
            <v>350000</v>
          </cell>
        </row>
        <row r="140">
          <cell r="A140">
            <v>263505</v>
          </cell>
          <cell r="B140" t="str">
            <v>FOREX Cash Clearing</v>
          </cell>
          <cell r="C140">
            <v>0</v>
          </cell>
          <cell r="D140">
            <v>5717711</v>
          </cell>
          <cell r="E140">
            <v>5717711</v>
          </cell>
          <cell r="F140">
            <v>0</v>
          </cell>
        </row>
        <row r="141">
          <cell r="A141">
            <v>263551</v>
          </cell>
          <cell r="B141" t="str">
            <v>Float Cash - General</v>
          </cell>
          <cell r="C141">
            <v>1000</v>
          </cell>
          <cell r="D141">
            <v>5000</v>
          </cell>
          <cell r="E141">
            <v>0</v>
          </cell>
          <cell r="F141">
            <v>6000</v>
          </cell>
        </row>
        <row r="142">
          <cell r="A142">
            <v>263553</v>
          </cell>
          <cell r="B142" t="str">
            <v>Float Cash - Front Office</v>
          </cell>
          <cell r="C142">
            <v>301500</v>
          </cell>
          <cell r="D142">
            <v>0</v>
          </cell>
          <cell r="E142">
            <v>0</v>
          </cell>
          <cell r="F142">
            <v>301500</v>
          </cell>
        </row>
        <row r="143">
          <cell r="A143">
            <v>263554</v>
          </cell>
          <cell r="B143" t="str">
            <v>Float Cash - Concierge</v>
          </cell>
          <cell r="C143">
            <v>1000</v>
          </cell>
          <cell r="D143">
            <v>0</v>
          </cell>
          <cell r="E143">
            <v>0</v>
          </cell>
          <cell r="F143">
            <v>1000</v>
          </cell>
        </row>
        <row r="144">
          <cell r="A144">
            <v>263556</v>
          </cell>
          <cell r="B144" t="str">
            <v>Float Cash - Restaurants</v>
          </cell>
          <cell r="C144">
            <v>8200</v>
          </cell>
          <cell r="D144">
            <v>0</v>
          </cell>
          <cell r="E144">
            <v>0</v>
          </cell>
          <cell r="F144">
            <v>8200</v>
          </cell>
        </row>
        <row r="145">
          <cell r="A145">
            <v>263561</v>
          </cell>
          <cell r="B145" t="str">
            <v>Float Cash - Purchase Department</v>
          </cell>
          <cell r="C145">
            <v>20000</v>
          </cell>
          <cell r="D145">
            <v>0</v>
          </cell>
          <cell r="E145">
            <v>0</v>
          </cell>
          <cell r="F145">
            <v>20000</v>
          </cell>
        </row>
        <row r="146">
          <cell r="A146">
            <v>263701</v>
          </cell>
          <cell r="B146" t="str">
            <v>Margin Money Deposit</v>
          </cell>
          <cell r="C146">
            <v>4337815</v>
          </cell>
          <cell r="D146">
            <v>0</v>
          </cell>
          <cell r="E146">
            <v>0</v>
          </cell>
          <cell r="F146">
            <v>4337815</v>
          </cell>
        </row>
        <row r="147">
          <cell r="A147">
            <v>263802</v>
          </cell>
          <cell r="B147" t="str">
            <v>Bank Clearing</v>
          </cell>
          <cell r="C147">
            <v>41794.5</v>
          </cell>
          <cell r="D147">
            <v>5657381</v>
          </cell>
          <cell r="E147">
            <v>5698425.5</v>
          </cell>
          <cell r="F147">
            <v>750</v>
          </cell>
        </row>
        <row r="148">
          <cell r="A148">
            <v>263803</v>
          </cell>
          <cell r="B148" t="str">
            <v>Group Collection Clearing</v>
          </cell>
          <cell r="C148">
            <v>0</v>
          </cell>
          <cell r="D148">
            <v>1179726</v>
          </cell>
          <cell r="E148">
            <v>1179726</v>
          </cell>
          <cell r="F148">
            <v>0</v>
          </cell>
        </row>
        <row r="149">
          <cell r="A149">
            <v>263851</v>
          </cell>
          <cell r="B149" t="str">
            <v>Deposits - Hotel and Factory Licenses</v>
          </cell>
          <cell r="C149">
            <v>38895</v>
          </cell>
          <cell r="D149">
            <v>0</v>
          </cell>
          <cell r="E149">
            <v>0</v>
          </cell>
          <cell r="F149">
            <v>38895</v>
          </cell>
        </row>
        <row r="150">
          <cell r="A150">
            <v>263853</v>
          </cell>
          <cell r="B150" t="str">
            <v>Deposits - Electricity</v>
          </cell>
          <cell r="C150">
            <v>6266764</v>
          </cell>
          <cell r="D150">
            <v>0</v>
          </cell>
          <cell r="E150">
            <v>0</v>
          </cell>
          <cell r="F150">
            <v>6266764</v>
          </cell>
        </row>
        <row r="151">
          <cell r="A151">
            <v>263854</v>
          </cell>
          <cell r="B151" t="str">
            <v>Deposits - Fuel Oils</v>
          </cell>
          <cell r="C151">
            <v>87000</v>
          </cell>
          <cell r="D151">
            <v>0</v>
          </cell>
          <cell r="E151">
            <v>0</v>
          </cell>
          <cell r="F151">
            <v>87000</v>
          </cell>
        </row>
        <row r="152">
          <cell r="A152">
            <v>263855</v>
          </cell>
          <cell r="B152" t="str">
            <v>Deposits - LPG</v>
          </cell>
          <cell r="C152">
            <v>5800</v>
          </cell>
          <cell r="D152">
            <v>0</v>
          </cell>
          <cell r="E152">
            <v>0</v>
          </cell>
          <cell r="F152">
            <v>5800</v>
          </cell>
        </row>
        <row r="153">
          <cell r="A153">
            <v>263857</v>
          </cell>
          <cell r="B153" t="str">
            <v>Deposits - Residential Premises</v>
          </cell>
          <cell r="C153">
            <v>709000</v>
          </cell>
          <cell r="D153">
            <v>0</v>
          </cell>
          <cell r="E153">
            <v>0</v>
          </cell>
          <cell r="F153">
            <v>709000</v>
          </cell>
        </row>
        <row r="154">
          <cell r="A154">
            <v>263861</v>
          </cell>
          <cell r="B154" t="str">
            <v>Deposits - Others</v>
          </cell>
          <cell r="C154">
            <v>404421.67</v>
          </cell>
          <cell r="D154">
            <v>0</v>
          </cell>
          <cell r="E154">
            <v>0</v>
          </cell>
          <cell r="F154">
            <v>404421.67</v>
          </cell>
        </row>
        <row r="155">
          <cell r="A155">
            <v>263901</v>
          </cell>
          <cell r="B155" t="str">
            <v>Staff Salary Advance</v>
          </cell>
          <cell r="C155">
            <v>71422</v>
          </cell>
          <cell r="D155">
            <v>36338</v>
          </cell>
          <cell r="E155">
            <v>75408</v>
          </cell>
          <cell r="F155">
            <v>32352</v>
          </cell>
        </row>
        <row r="156">
          <cell r="A156">
            <v>263902</v>
          </cell>
          <cell r="B156" t="str">
            <v>Staff Personal Loan</v>
          </cell>
          <cell r="C156">
            <v>1547631</v>
          </cell>
          <cell r="D156">
            <v>228000</v>
          </cell>
          <cell r="E156">
            <v>105134</v>
          </cell>
          <cell r="F156">
            <v>1670497</v>
          </cell>
        </row>
        <row r="157">
          <cell r="A157">
            <v>263905</v>
          </cell>
          <cell r="B157" t="str">
            <v>Staff Other Loan</v>
          </cell>
          <cell r="C157">
            <v>65000</v>
          </cell>
          <cell r="D157">
            <v>0</v>
          </cell>
          <cell r="E157">
            <v>0</v>
          </cell>
          <cell r="F157">
            <v>65000</v>
          </cell>
        </row>
        <row r="158">
          <cell r="A158">
            <v>263906</v>
          </cell>
          <cell r="B158" t="str">
            <v>Travel Advance</v>
          </cell>
          <cell r="C158">
            <v>32500</v>
          </cell>
          <cell r="D158">
            <v>6000</v>
          </cell>
          <cell r="E158">
            <v>17000</v>
          </cell>
          <cell r="F158">
            <v>21500</v>
          </cell>
        </row>
        <row r="159">
          <cell r="A159">
            <v>264004</v>
          </cell>
          <cell r="B159" t="str">
            <v>TDS Certificate Receivable</v>
          </cell>
          <cell r="C159">
            <v>2957946.35</v>
          </cell>
          <cell r="D159">
            <v>327092.36</v>
          </cell>
          <cell r="E159">
            <v>331251</v>
          </cell>
          <cell r="F159">
            <v>2953787.71</v>
          </cell>
        </row>
        <row r="160">
          <cell r="A160">
            <v>264007</v>
          </cell>
          <cell r="B160" t="str">
            <v>TDS on Income FY-2001 - 2002</v>
          </cell>
          <cell r="C160">
            <v>14309</v>
          </cell>
          <cell r="D160">
            <v>0</v>
          </cell>
          <cell r="E160">
            <v>0</v>
          </cell>
          <cell r="F160">
            <v>14309</v>
          </cell>
        </row>
        <row r="161">
          <cell r="A161">
            <v>264008</v>
          </cell>
          <cell r="B161" t="str">
            <v>TDS on Income FY-2002 - 2003</v>
          </cell>
          <cell r="C161">
            <v>16101</v>
          </cell>
          <cell r="D161">
            <v>0</v>
          </cell>
          <cell r="E161">
            <v>0</v>
          </cell>
          <cell r="F161">
            <v>16101</v>
          </cell>
        </row>
        <row r="162">
          <cell r="A162">
            <v>264009</v>
          </cell>
          <cell r="B162" t="str">
            <v>TDS on Income FY-2003 - 2004</v>
          </cell>
          <cell r="C162">
            <v>17269</v>
          </cell>
          <cell r="D162">
            <v>0</v>
          </cell>
          <cell r="E162">
            <v>0</v>
          </cell>
          <cell r="F162">
            <v>17269</v>
          </cell>
        </row>
        <row r="163">
          <cell r="A163">
            <v>264010</v>
          </cell>
          <cell r="B163" t="str">
            <v>TCS on Purchases</v>
          </cell>
          <cell r="C163">
            <v>67276</v>
          </cell>
          <cell r="D163">
            <v>16032</v>
          </cell>
          <cell r="E163">
            <v>403</v>
          </cell>
          <cell r="F163">
            <v>82905</v>
          </cell>
        </row>
        <row r="164">
          <cell r="A164">
            <v>264011</v>
          </cell>
          <cell r="B164" t="str">
            <v>TDS on Income FY-2004 - 2005</v>
          </cell>
          <cell r="C164">
            <v>1857321.75</v>
          </cell>
          <cell r="D164">
            <v>91887</v>
          </cell>
          <cell r="E164">
            <v>0</v>
          </cell>
          <cell r="F164">
            <v>1949208.75</v>
          </cell>
        </row>
        <row r="165">
          <cell r="A165">
            <v>264012</v>
          </cell>
          <cell r="B165" t="str">
            <v>TDS on Income FY-2005 - 2006</v>
          </cell>
          <cell r="C165">
            <v>347627.25</v>
          </cell>
          <cell r="D165">
            <v>211889</v>
          </cell>
          <cell r="E165">
            <v>0</v>
          </cell>
          <cell r="F165">
            <v>559516.25</v>
          </cell>
        </row>
        <row r="166">
          <cell r="A166">
            <v>264051</v>
          </cell>
          <cell r="B166" t="str">
            <v>Prepaid Expenses - General</v>
          </cell>
          <cell r="C166">
            <v>105745</v>
          </cell>
          <cell r="D166">
            <v>190525</v>
          </cell>
          <cell r="E166">
            <v>0</v>
          </cell>
          <cell r="F166">
            <v>296270</v>
          </cell>
        </row>
        <row r="167">
          <cell r="A167">
            <v>264052</v>
          </cell>
          <cell r="B167" t="str">
            <v>Prepaid AMCs</v>
          </cell>
          <cell r="C167">
            <v>4192</v>
          </cell>
          <cell r="D167">
            <v>518069.5</v>
          </cell>
          <cell r="E167">
            <v>0</v>
          </cell>
          <cell r="F167">
            <v>522261.5</v>
          </cell>
        </row>
        <row r="168">
          <cell r="A168">
            <v>264053</v>
          </cell>
          <cell r="B168" t="str">
            <v>Prepaid Insurance</v>
          </cell>
          <cell r="C168">
            <v>117251</v>
          </cell>
          <cell r="D168">
            <v>1458974.25</v>
          </cell>
          <cell r="E168">
            <v>481098</v>
          </cell>
          <cell r="F168">
            <v>1095127.25</v>
          </cell>
        </row>
        <row r="169">
          <cell r="A169">
            <v>264054</v>
          </cell>
          <cell r="B169" t="str">
            <v>Prepaid License Fee</v>
          </cell>
          <cell r="C169">
            <v>118716</v>
          </cell>
          <cell r="D169">
            <v>1834742.5</v>
          </cell>
          <cell r="E169">
            <v>0</v>
          </cell>
          <cell r="F169">
            <v>1953458.5</v>
          </cell>
        </row>
        <row r="170">
          <cell r="A170">
            <v>264057</v>
          </cell>
          <cell r="B170" t="str">
            <v>Prepaid Rent</v>
          </cell>
          <cell r="C170">
            <v>294810</v>
          </cell>
          <cell r="D170">
            <v>514299</v>
          </cell>
          <cell r="E170">
            <v>2584</v>
          </cell>
          <cell r="F170">
            <v>806525</v>
          </cell>
        </row>
        <row r="171">
          <cell r="A171">
            <v>264058</v>
          </cell>
          <cell r="B171" t="str">
            <v>Prepaid Subscription</v>
          </cell>
          <cell r="C171">
            <v>32142</v>
          </cell>
          <cell r="D171">
            <v>587976</v>
          </cell>
          <cell r="E171">
            <v>0</v>
          </cell>
          <cell r="F171">
            <v>620118</v>
          </cell>
        </row>
        <row r="172">
          <cell r="A172">
            <v>264151</v>
          </cell>
          <cell r="B172" t="str">
            <v>Interest Receivable - External</v>
          </cell>
          <cell r="C172">
            <v>1815829</v>
          </cell>
          <cell r="D172">
            <v>164500</v>
          </cell>
          <cell r="E172">
            <v>0</v>
          </cell>
          <cell r="F172">
            <v>1980329</v>
          </cell>
        </row>
        <row r="173">
          <cell r="A173">
            <v>264203</v>
          </cell>
          <cell r="B173" t="str">
            <v>Sales Tax Set Off</v>
          </cell>
          <cell r="C173">
            <v>123936.08</v>
          </cell>
          <cell r="D173">
            <v>522.76</v>
          </cell>
          <cell r="E173">
            <v>0</v>
          </cell>
          <cell r="F173">
            <v>124458.84</v>
          </cell>
        </row>
        <row r="174">
          <cell r="A174">
            <v>264204</v>
          </cell>
          <cell r="B174" t="str">
            <v>Service Tax Receivable 20%</v>
          </cell>
          <cell r="C174">
            <v>787339</v>
          </cell>
          <cell r="D174">
            <v>1173227</v>
          </cell>
          <cell r="E174">
            <v>1128296</v>
          </cell>
          <cell r="F174">
            <v>832270</v>
          </cell>
        </row>
        <row r="175">
          <cell r="A175">
            <v>264213</v>
          </cell>
          <cell r="B175" t="str">
            <v>VAT - Interim Recovery Account</v>
          </cell>
          <cell r="C175">
            <v>539652.44999999995</v>
          </cell>
          <cell r="D175">
            <v>827367</v>
          </cell>
          <cell r="E175">
            <v>89839.5</v>
          </cell>
          <cell r="F175">
            <v>1277179.95</v>
          </cell>
        </row>
        <row r="176">
          <cell r="A176">
            <v>264214</v>
          </cell>
          <cell r="B176" t="str">
            <v>VAT - Recovery Account</v>
          </cell>
          <cell r="C176">
            <v>293772.15000000002</v>
          </cell>
          <cell r="D176">
            <v>167083.9</v>
          </cell>
          <cell r="E176">
            <v>293992.53000000003</v>
          </cell>
          <cell r="F176">
            <v>166863.51999999999</v>
          </cell>
        </row>
        <row r="177">
          <cell r="A177">
            <v>264215</v>
          </cell>
          <cell r="B177" t="str">
            <v>Service Tax Receivable 100%</v>
          </cell>
          <cell r="C177">
            <v>0</v>
          </cell>
          <cell r="D177">
            <v>1456941</v>
          </cell>
          <cell r="E177">
            <v>0</v>
          </cell>
          <cell r="F177">
            <v>1456941</v>
          </cell>
        </row>
        <row r="178">
          <cell r="A178">
            <v>264252</v>
          </cell>
          <cell r="B178" t="str">
            <v>Advances to Suppliers</v>
          </cell>
          <cell r="C178">
            <v>5530166.8899999997</v>
          </cell>
          <cell r="D178">
            <v>3601197</v>
          </cell>
          <cell r="E178">
            <v>4343973</v>
          </cell>
          <cell r="F178">
            <v>4787390.8899999997</v>
          </cell>
        </row>
        <row r="179">
          <cell r="A179">
            <v>264253</v>
          </cell>
          <cell r="B179" t="str">
            <v>Recoverable From Group Companies</v>
          </cell>
          <cell r="C179">
            <v>0</v>
          </cell>
          <cell r="D179">
            <v>20</v>
          </cell>
          <cell r="E179">
            <v>0</v>
          </cell>
          <cell r="F179">
            <v>20</v>
          </cell>
        </row>
        <row r="180">
          <cell r="A180">
            <v>264255</v>
          </cell>
          <cell r="B180" t="str">
            <v>Claims Receivable</v>
          </cell>
          <cell r="C180">
            <v>6500</v>
          </cell>
          <cell r="D180">
            <v>0</v>
          </cell>
          <cell r="E180">
            <v>7700</v>
          </cell>
          <cell r="F180">
            <v>-1200</v>
          </cell>
        </row>
        <row r="181">
          <cell r="A181">
            <v>264353</v>
          </cell>
          <cell r="B181" t="str">
            <v>Refund Clearing</v>
          </cell>
          <cell r="C181">
            <v>-148465</v>
          </cell>
          <cell r="D181">
            <v>0</v>
          </cell>
          <cell r="E181">
            <v>0</v>
          </cell>
          <cell r="F181">
            <v>-148465</v>
          </cell>
        </row>
        <row r="182">
          <cell r="A182">
            <v>264354</v>
          </cell>
          <cell r="B182" t="str">
            <v>Payables-Receivables Clearing</v>
          </cell>
          <cell r="C182">
            <v>3803873.67</v>
          </cell>
          <cell r="D182">
            <v>10756142.039999999</v>
          </cell>
          <cell r="E182">
            <v>3198438.18</v>
          </cell>
          <cell r="F182">
            <v>11361577.529999999</v>
          </cell>
        </row>
        <row r="183">
          <cell r="A183">
            <v>264361</v>
          </cell>
          <cell r="B183" t="str">
            <v>Cross Currency Clearing</v>
          </cell>
          <cell r="C183">
            <v>0</v>
          </cell>
          <cell r="D183">
            <v>117577.67</v>
          </cell>
          <cell r="E183">
            <v>117577.67</v>
          </cell>
          <cell r="F183">
            <v>0</v>
          </cell>
        </row>
        <row r="184">
          <cell r="A184">
            <v>264426</v>
          </cell>
          <cell r="B184" t="str">
            <v>Advance Fringe Benefits Tax</v>
          </cell>
          <cell r="C184">
            <v>496000</v>
          </cell>
          <cell r="D184">
            <v>0</v>
          </cell>
          <cell r="E184">
            <v>0</v>
          </cell>
          <cell r="F184">
            <v>496000</v>
          </cell>
        </row>
        <row r="185">
          <cell r="A185">
            <v>264451</v>
          </cell>
          <cell r="B185" t="str">
            <v>IHCL Corporate Office</v>
          </cell>
          <cell r="C185">
            <v>7721213.4199999999</v>
          </cell>
          <cell r="D185">
            <v>3828390.14</v>
          </cell>
          <cell r="E185">
            <v>19334396.030000001</v>
          </cell>
          <cell r="F185">
            <v>-7784792.4699999997</v>
          </cell>
        </row>
        <row r="186">
          <cell r="A186">
            <v>264452</v>
          </cell>
          <cell r="B186" t="str">
            <v>Taj Mahal Palace &amp; Tower, Mumbai</v>
          </cell>
          <cell r="C186">
            <v>-7661303.5499999998</v>
          </cell>
          <cell r="D186">
            <v>830743</v>
          </cell>
          <cell r="E186">
            <v>2639522.35</v>
          </cell>
          <cell r="F186">
            <v>-9470082.9000000004</v>
          </cell>
        </row>
        <row r="187">
          <cell r="A187">
            <v>264453</v>
          </cell>
          <cell r="B187" t="str">
            <v>Taj Palace Hotel, Delhi</v>
          </cell>
          <cell r="C187">
            <v>2946087.52</v>
          </cell>
          <cell r="D187">
            <v>1356752</v>
          </cell>
          <cell r="E187">
            <v>0</v>
          </cell>
          <cell r="F187">
            <v>4302839.5199999996</v>
          </cell>
        </row>
        <row r="188">
          <cell r="A188">
            <v>264454</v>
          </cell>
          <cell r="B188" t="str">
            <v>Taj Mahal Hotel, Delhi</v>
          </cell>
          <cell r="C188">
            <v>-264127</v>
          </cell>
          <cell r="D188">
            <v>345372</v>
          </cell>
          <cell r="E188">
            <v>85599</v>
          </cell>
          <cell r="F188">
            <v>-4354</v>
          </cell>
        </row>
        <row r="189">
          <cell r="A189">
            <v>264455</v>
          </cell>
          <cell r="B189" t="str">
            <v>Taj Lands End, Mumbai</v>
          </cell>
          <cell r="C189">
            <v>356762.08</v>
          </cell>
          <cell r="D189">
            <v>105927.55</v>
          </cell>
          <cell r="E189">
            <v>193199.75</v>
          </cell>
          <cell r="F189">
            <v>269489.88</v>
          </cell>
        </row>
        <row r="190">
          <cell r="A190">
            <v>264456</v>
          </cell>
          <cell r="B190" t="str">
            <v>Taj Bengal, Kolkata</v>
          </cell>
          <cell r="C190">
            <v>-604726.39</v>
          </cell>
          <cell r="D190">
            <v>0</v>
          </cell>
          <cell r="E190">
            <v>12225</v>
          </cell>
          <cell r="F190">
            <v>-616951.39</v>
          </cell>
        </row>
        <row r="191">
          <cell r="A191">
            <v>264457</v>
          </cell>
          <cell r="B191" t="str">
            <v>Taj West End, Bangalore</v>
          </cell>
          <cell r="C191">
            <v>63565.21</v>
          </cell>
          <cell r="D191">
            <v>30334</v>
          </cell>
          <cell r="E191">
            <v>117422</v>
          </cell>
          <cell r="F191">
            <v>-23522.79</v>
          </cell>
        </row>
        <row r="192">
          <cell r="A192">
            <v>264458</v>
          </cell>
          <cell r="B192" t="str">
            <v>Taj Connemara, Chennai</v>
          </cell>
          <cell r="C192">
            <v>424813.5</v>
          </cell>
          <cell r="D192">
            <v>73370</v>
          </cell>
          <cell r="E192">
            <v>49497</v>
          </cell>
          <cell r="F192">
            <v>448686.5</v>
          </cell>
        </row>
        <row r="193">
          <cell r="A193">
            <v>264459</v>
          </cell>
          <cell r="B193" t="str">
            <v>Lake Palace, Udaipur</v>
          </cell>
          <cell r="C193">
            <v>-12646</v>
          </cell>
          <cell r="D193">
            <v>12646</v>
          </cell>
          <cell r="E193">
            <v>0</v>
          </cell>
          <cell r="F193">
            <v>0</v>
          </cell>
        </row>
        <row r="194">
          <cell r="A194">
            <v>264460</v>
          </cell>
          <cell r="B194" t="str">
            <v>Taj Holiday Village, Goa</v>
          </cell>
          <cell r="C194">
            <v>-218400.88</v>
          </cell>
          <cell r="D194">
            <v>220164.88</v>
          </cell>
          <cell r="E194">
            <v>53948</v>
          </cell>
          <cell r="F194">
            <v>-52184</v>
          </cell>
        </row>
        <row r="195">
          <cell r="A195">
            <v>264461</v>
          </cell>
          <cell r="B195" t="str">
            <v>Jai Mahal Palace, Jaipur</v>
          </cell>
          <cell r="C195">
            <v>-163976</v>
          </cell>
          <cell r="D195">
            <v>71375</v>
          </cell>
          <cell r="E195">
            <v>0</v>
          </cell>
          <cell r="F195">
            <v>-92601</v>
          </cell>
        </row>
        <row r="196">
          <cell r="A196">
            <v>264462</v>
          </cell>
          <cell r="B196" t="str">
            <v>ITPL Project, Bangalore</v>
          </cell>
          <cell r="C196">
            <v>193</v>
          </cell>
          <cell r="D196">
            <v>0</v>
          </cell>
          <cell r="E196">
            <v>0</v>
          </cell>
          <cell r="F196">
            <v>193</v>
          </cell>
        </row>
        <row r="197">
          <cell r="A197">
            <v>264464</v>
          </cell>
          <cell r="B197" t="str">
            <v>Hari Mahal, Jodhpur</v>
          </cell>
          <cell r="C197">
            <v>291915.65000000002</v>
          </cell>
          <cell r="D197">
            <v>100</v>
          </cell>
          <cell r="E197">
            <v>67798</v>
          </cell>
          <cell r="F197">
            <v>224217.65</v>
          </cell>
        </row>
        <row r="198">
          <cell r="A198">
            <v>264465</v>
          </cell>
          <cell r="B198" t="str">
            <v>Taj Residency, Calicut</v>
          </cell>
          <cell r="C198">
            <v>138357.5</v>
          </cell>
          <cell r="D198">
            <v>1019</v>
          </cell>
          <cell r="E198">
            <v>4945</v>
          </cell>
          <cell r="F198">
            <v>134431.5</v>
          </cell>
        </row>
        <row r="199">
          <cell r="A199">
            <v>264467</v>
          </cell>
          <cell r="B199" t="str">
            <v>Usha Kiran, Gwalior</v>
          </cell>
          <cell r="C199">
            <v>1000</v>
          </cell>
          <cell r="D199">
            <v>0</v>
          </cell>
          <cell r="E199">
            <v>0</v>
          </cell>
          <cell r="F199">
            <v>1000</v>
          </cell>
        </row>
        <row r="200">
          <cell r="A200">
            <v>264469</v>
          </cell>
          <cell r="B200" t="str">
            <v>Taj Residency, Aurangabad</v>
          </cell>
          <cell r="C200">
            <v>1045285.31</v>
          </cell>
          <cell r="D200">
            <v>51259</v>
          </cell>
          <cell r="E200">
            <v>0</v>
          </cell>
          <cell r="F200">
            <v>1096544.31</v>
          </cell>
        </row>
        <row r="201">
          <cell r="A201">
            <v>264475</v>
          </cell>
          <cell r="B201" t="str">
            <v>Taj Residency, Hyderabad (IHCL)</v>
          </cell>
          <cell r="C201">
            <v>0</v>
          </cell>
          <cell r="D201">
            <v>1019</v>
          </cell>
          <cell r="E201">
            <v>0</v>
          </cell>
          <cell r="F201">
            <v>1019</v>
          </cell>
        </row>
        <row r="202">
          <cell r="A202">
            <v>264477</v>
          </cell>
          <cell r="B202" t="str">
            <v>Wellington Mews, Mumbai</v>
          </cell>
          <cell r="C202">
            <v>874802</v>
          </cell>
          <cell r="D202">
            <v>196335.5</v>
          </cell>
          <cell r="E202">
            <v>4047</v>
          </cell>
          <cell r="F202">
            <v>1067090.5</v>
          </cell>
        </row>
        <row r="203">
          <cell r="A203">
            <v>264501</v>
          </cell>
          <cell r="B203" t="str">
            <v>PIEM Corporate Office</v>
          </cell>
          <cell r="C203">
            <v>139290496.97999999</v>
          </cell>
          <cell r="D203">
            <v>73626643.140000001</v>
          </cell>
          <cell r="E203">
            <v>67910046.859999999</v>
          </cell>
          <cell r="F203">
            <v>145007093.25999999</v>
          </cell>
        </row>
        <row r="204">
          <cell r="A204">
            <v>264502</v>
          </cell>
          <cell r="B204" t="str">
            <v>Taj President, Mumbai</v>
          </cell>
          <cell r="C204">
            <v>0</v>
          </cell>
          <cell r="D204">
            <v>675000</v>
          </cell>
          <cell r="E204">
            <v>675000</v>
          </cell>
          <cell r="F204">
            <v>0</v>
          </cell>
        </row>
        <row r="205">
          <cell r="A205">
            <v>264503</v>
          </cell>
          <cell r="B205" t="str">
            <v>Taj Residency, Bangalore</v>
          </cell>
          <cell r="C205">
            <v>87606324.319999993</v>
          </cell>
          <cell r="D205">
            <v>11985319.380000001</v>
          </cell>
          <cell r="E205">
            <v>675812</v>
          </cell>
          <cell r="F205">
            <v>98915831.700000003</v>
          </cell>
        </row>
        <row r="206">
          <cell r="A206">
            <v>264504</v>
          </cell>
          <cell r="B206" t="str">
            <v>Hotel Blue Diamond, Pune</v>
          </cell>
          <cell r="C206">
            <v>41828129.890000001</v>
          </cell>
          <cell r="D206">
            <v>4712605</v>
          </cell>
          <cell r="E206">
            <v>111868</v>
          </cell>
          <cell r="F206">
            <v>46428866.890000001</v>
          </cell>
        </row>
        <row r="207">
          <cell r="A207">
            <v>264505</v>
          </cell>
          <cell r="B207" t="str">
            <v>Taj Residency, Nashik</v>
          </cell>
          <cell r="C207">
            <v>10435782.1</v>
          </cell>
          <cell r="D207">
            <v>1587519</v>
          </cell>
          <cell r="E207">
            <v>159268</v>
          </cell>
          <cell r="F207">
            <v>11864033.1</v>
          </cell>
        </row>
        <row r="208">
          <cell r="A208">
            <v>264506</v>
          </cell>
          <cell r="B208" t="str">
            <v>Taj View, Agra</v>
          </cell>
          <cell r="C208">
            <v>4599293.74</v>
          </cell>
          <cell r="D208">
            <v>2793660</v>
          </cell>
          <cell r="E208">
            <v>138</v>
          </cell>
          <cell r="F208">
            <v>7392815.7400000002</v>
          </cell>
        </row>
        <row r="209">
          <cell r="A209">
            <v>264508</v>
          </cell>
          <cell r="B209" t="str">
            <v>Taj Residency, Lucknow</v>
          </cell>
          <cell r="C209">
            <v>23595545.629999999</v>
          </cell>
          <cell r="D209">
            <v>3077208</v>
          </cell>
          <cell r="E209">
            <v>43318</v>
          </cell>
          <cell r="F209">
            <v>26629435.629999999</v>
          </cell>
        </row>
        <row r="210">
          <cell r="A210">
            <v>264552</v>
          </cell>
          <cell r="B210" t="str">
            <v>Taj Coromandal Hotel</v>
          </cell>
          <cell r="C210">
            <v>382716.48</v>
          </cell>
          <cell r="D210">
            <v>18006.21</v>
          </cell>
          <cell r="E210">
            <v>398966.69</v>
          </cell>
          <cell r="F210">
            <v>1756</v>
          </cell>
        </row>
        <row r="211">
          <cell r="A211">
            <v>264554</v>
          </cell>
          <cell r="B211" t="str">
            <v>Taj Malabar Hotel, Cochin</v>
          </cell>
          <cell r="C211">
            <v>-11897.25</v>
          </cell>
          <cell r="D211">
            <v>22737.22</v>
          </cell>
          <cell r="E211">
            <v>10839.97</v>
          </cell>
          <cell r="F211">
            <v>0</v>
          </cell>
        </row>
        <row r="212">
          <cell r="A212">
            <v>264555</v>
          </cell>
          <cell r="B212" t="str">
            <v>Taj Residency,Vizag</v>
          </cell>
          <cell r="C212">
            <v>219242.26</v>
          </cell>
          <cell r="D212">
            <v>1019</v>
          </cell>
          <cell r="E212">
            <v>0</v>
          </cell>
          <cell r="F212">
            <v>220261.26</v>
          </cell>
        </row>
        <row r="213">
          <cell r="A213">
            <v>264556</v>
          </cell>
          <cell r="B213" t="str">
            <v>Taj Garden Retreat,Madurai</v>
          </cell>
          <cell r="C213">
            <v>5664</v>
          </cell>
          <cell r="D213">
            <v>0</v>
          </cell>
          <cell r="E213">
            <v>0</v>
          </cell>
          <cell r="F213">
            <v>5664</v>
          </cell>
        </row>
        <row r="214">
          <cell r="A214">
            <v>264557</v>
          </cell>
          <cell r="B214" t="str">
            <v>Manjarun Hotel, Mangalore</v>
          </cell>
          <cell r="C214">
            <v>2733164.5</v>
          </cell>
          <cell r="D214">
            <v>70969</v>
          </cell>
          <cell r="E214">
            <v>2699691.5</v>
          </cell>
          <cell r="F214">
            <v>104442</v>
          </cell>
        </row>
        <row r="215">
          <cell r="A215">
            <v>264558</v>
          </cell>
          <cell r="B215" t="str">
            <v>Taj Garden Retreat, Coonoor</v>
          </cell>
          <cell r="C215">
            <v>-16506</v>
          </cell>
          <cell r="D215">
            <v>16506</v>
          </cell>
          <cell r="E215">
            <v>0</v>
          </cell>
          <cell r="F215">
            <v>0</v>
          </cell>
        </row>
        <row r="216">
          <cell r="A216">
            <v>264602</v>
          </cell>
          <cell r="B216" t="str">
            <v>Taj Krishna, Hyderabad</v>
          </cell>
          <cell r="C216">
            <v>250655.91</v>
          </cell>
          <cell r="D216">
            <v>0</v>
          </cell>
          <cell r="E216">
            <v>0</v>
          </cell>
          <cell r="F216">
            <v>250655.91</v>
          </cell>
        </row>
        <row r="217">
          <cell r="A217">
            <v>264603</v>
          </cell>
          <cell r="B217" t="str">
            <v>Taj Residency, Hyderabad</v>
          </cell>
          <cell r="C217">
            <v>362487.49</v>
          </cell>
          <cell r="D217">
            <v>45714</v>
          </cell>
          <cell r="E217">
            <v>8287</v>
          </cell>
          <cell r="F217">
            <v>399914.49</v>
          </cell>
        </row>
        <row r="218">
          <cell r="A218">
            <v>264604</v>
          </cell>
          <cell r="B218" t="str">
            <v>Taj Banjara, Hyderabad</v>
          </cell>
          <cell r="C218">
            <v>-29282.5</v>
          </cell>
          <cell r="D218">
            <v>1019</v>
          </cell>
          <cell r="E218">
            <v>0</v>
          </cell>
          <cell r="F218">
            <v>-28263.5</v>
          </cell>
        </row>
        <row r="219">
          <cell r="A219">
            <v>264605</v>
          </cell>
          <cell r="B219" t="str">
            <v>Taj Residency - Chandigarh</v>
          </cell>
          <cell r="C219">
            <v>1240127.5</v>
          </cell>
          <cell r="D219">
            <v>48491</v>
          </cell>
          <cell r="E219">
            <v>1000000</v>
          </cell>
          <cell r="F219">
            <v>288618.5</v>
          </cell>
        </row>
        <row r="220">
          <cell r="A220">
            <v>264651</v>
          </cell>
          <cell r="B220" t="str">
            <v>Taj Exotica, Goa</v>
          </cell>
          <cell r="C220">
            <v>36943</v>
          </cell>
          <cell r="D220">
            <v>15004</v>
          </cell>
          <cell r="E220">
            <v>36943</v>
          </cell>
          <cell r="F220">
            <v>15004</v>
          </cell>
        </row>
        <row r="221">
          <cell r="A221">
            <v>264701</v>
          </cell>
          <cell r="B221" t="str">
            <v>Fort Aguada Beach Resorts, Goa</v>
          </cell>
          <cell r="C221">
            <v>0</v>
          </cell>
          <cell r="D221">
            <v>1365</v>
          </cell>
          <cell r="E221">
            <v>42808</v>
          </cell>
          <cell r="F221">
            <v>-41443</v>
          </cell>
        </row>
        <row r="222">
          <cell r="A222">
            <v>264751</v>
          </cell>
          <cell r="B222" t="str">
            <v>The Ambassador Hotel, New Delhi</v>
          </cell>
          <cell r="C222">
            <v>0</v>
          </cell>
          <cell r="D222">
            <v>41594</v>
          </cell>
          <cell r="E222">
            <v>65376</v>
          </cell>
          <cell r="F222">
            <v>-23782</v>
          </cell>
        </row>
        <row r="223">
          <cell r="A223">
            <v>264801</v>
          </cell>
          <cell r="B223" t="str">
            <v>Gateway Hotel, Bangalore</v>
          </cell>
          <cell r="C223">
            <v>-10432</v>
          </cell>
          <cell r="D223">
            <v>20376</v>
          </cell>
          <cell r="E223">
            <v>0</v>
          </cell>
          <cell r="F223">
            <v>9944</v>
          </cell>
        </row>
        <row r="224">
          <cell r="A224">
            <v>264852</v>
          </cell>
          <cell r="B224" t="str">
            <v>Taj Residency, Ernakulam</v>
          </cell>
          <cell r="C224">
            <v>129858.14</v>
          </cell>
          <cell r="D224">
            <v>1051</v>
          </cell>
          <cell r="E224">
            <v>50000</v>
          </cell>
          <cell r="F224">
            <v>80909.14</v>
          </cell>
        </row>
        <row r="225">
          <cell r="A225">
            <v>264853</v>
          </cell>
          <cell r="B225" t="str">
            <v>Taj Garden Retreat, Kumarakom</v>
          </cell>
          <cell r="C225">
            <v>113</v>
          </cell>
          <cell r="D225">
            <v>0</v>
          </cell>
          <cell r="E225">
            <v>0</v>
          </cell>
          <cell r="F225">
            <v>113</v>
          </cell>
        </row>
        <row r="226">
          <cell r="A226">
            <v>264854</v>
          </cell>
          <cell r="B226" t="str">
            <v>Taj Garden Retreat, Thekkady</v>
          </cell>
          <cell r="C226">
            <v>204184</v>
          </cell>
          <cell r="D226">
            <v>0</v>
          </cell>
          <cell r="E226">
            <v>0</v>
          </cell>
          <cell r="F226">
            <v>204184</v>
          </cell>
        </row>
        <row r="227">
          <cell r="A227">
            <v>264855</v>
          </cell>
          <cell r="B227" t="str">
            <v>Taj Garden Retreat, Varkhala</v>
          </cell>
          <cell r="C227">
            <v>9198</v>
          </cell>
          <cell r="D227">
            <v>0</v>
          </cell>
          <cell r="E227">
            <v>0</v>
          </cell>
          <cell r="F227">
            <v>9198</v>
          </cell>
        </row>
        <row r="228">
          <cell r="A228">
            <v>264901</v>
          </cell>
          <cell r="B228" t="str">
            <v>Taj Ganges, Varanasi</v>
          </cell>
          <cell r="C228">
            <v>-33193</v>
          </cell>
          <cell r="D228">
            <v>33193</v>
          </cell>
          <cell r="E228">
            <v>0</v>
          </cell>
          <cell r="F228">
            <v>0</v>
          </cell>
        </row>
        <row r="229">
          <cell r="A229">
            <v>265051</v>
          </cell>
          <cell r="B229" t="str">
            <v>Taj Samudra, Colombo</v>
          </cell>
          <cell r="C229">
            <v>13722.5</v>
          </cell>
          <cell r="D229">
            <v>1019</v>
          </cell>
          <cell r="E229">
            <v>15960.5</v>
          </cell>
          <cell r="F229">
            <v>-1219</v>
          </cell>
        </row>
        <row r="230">
          <cell r="A230">
            <v>265151</v>
          </cell>
          <cell r="B230" t="str">
            <v>Taj Madras Flight Kitchen</v>
          </cell>
          <cell r="C230">
            <v>452</v>
          </cell>
          <cell r="D230">
            <v>0</v>
          </cell>
          <cell r="E230">
            <v>0</v>
          </cell>
          <cell r="F230">
            <v>452</v>
          </cell>
        </row>
        <row r="231">
          <cell r="A231">
            <v>265201</v>
          </cell>
          <cell r="B231" t="str">
            <v>Taj Coral Reef Resort, Maldives</v>
          </cell>
          <cell r="C231">
            <v>193</v>
          </cell>
          <cell r="D231">
            <v>0</v>
          </cell>
          <cell r="E231">
            <v>0</v>
          </cell>
          <cell r="F231">
            <v>193</v>
          </cell>
        </row>
        <row r="232">
          <cell r="A232">
            <v>265202</v>
          </cell>
          <cell r="B232" t="str">
            <v>Taj Exotica, Maldives</v>
          </cell>
          <cell r="C232">
            <v>37143</v>
          </cell>
          <cell r="D232">
            <v>0</v>
          </cell>
          <cell r="E232">
            <v>37143</v>
          </cell>
          <cell r="F232">
            <v>0</v>
          </cell>
        </row>
        <row r="233">
          <cell r="A233">
            <v>265301</v>
          </cell>
          <cell r="B233" t="str">
            <v>Taj SATS Corporate Office</v>
          </cell>
          <cell r="C233">
            <v>193</v>
          </cell>
          <cell r="D233">
            <v>0</v>
          </cell>
          <cell r="E233">
            <v>0</v>
          </cell>
          <cell r="F233">
            <v>193</v>
          </cell>
        </row>
        <row r="234">
          <cell r="A234">
            <v>265302</v>
          </cell>
          <cell r="B234" t="str">
            <v>TAC, Mumbai</v>
          </cell>
          <cell r="C234">
            <v>31912.85</v>
          </cell>
          <cell r="D234">
            <v>0</v>
          </cell>
          <cell r="E234">
            <v>0</v>
          </cell>
          <cell r="F234">
            <v>31912.85</v>
          </cell>
        </row>
        <row r="235">
          <cell r="A235">
            <v>265326</v>
          </cell>
          <cell r="B235" t="str">
            <v>Taj Green Cove Resort - Kovalam</v>
          </cell>
          <cell r="C235">
            <v>34644</v>
          </cell>
          <cell r="D235">
            <v>0</v>
          </cell>
          <cell r="E235">
            <v>0</v>
          </cell>
          <cell r="F235">
            <v>34644</v>
          </cell>
        </row>
        <row r="236">
          <cell r="A236">
            <v>265401</v>
          </cell>
          <cell r="B236" t="str">
            <v>Rambagh Palace, Jaipur</v>
          </cell>
          <cell r="C236">
            <v>23797</v>
          </cell>
          <cell r="D236">
            <v>22447</v>
          </cell>
          <cell r="E236">
            <v>5941</v>
          </cell>
          <cell r="F236">
            <v>40303</v>
          </cell>
        </row>
        <row r="237">
          <cell r="A237">
            <v>265403</v>
          </cell>
          <cell r="B237" t="str">
            <v>Sawai Madhopur lodge</v>
          </cell>
          <cell r="C237">
            <v>-54594</v>
          </cell>
          <cell r="D237">
            <v>0</v>
          </cell>
          <cell r="E237">
            <v>0</v>
          </cell>
          <cell r="F237">
            <v>-54594</v>
          </cell>
        </row>
        <row r="238">
          <cell r="A238">
            <v>265404</v>
          </cell>
          <cell r="B238" t="str">
            <v>Taj Ummed, Ahmedabad</v>
          </cell>
          <cell r="C238">
            <v>252285.2</v>
          </cell>
          <cell r="D238">
            <v>42974</v>
          </cell>
          <cell r="E238">
            <v>214960</v>
          </cell>
          <cell r="F238">
            <v>80299.199999999997</v>
          </cell>
        </row>
        <row r="239">
          <cell r="A239">
            <v>265405</v>
          </cell>
          <cell r="B239" t="str">
            <v>Taj Residency, Vadodra</v>
          </cell>
          <cell r="C239">
            <v>480034</v>
          </cell>
          <cell r="D239">
            <v>43389</v>
          </cell>
          <cell r="E239">
            <v>415311</v>
          </cell>
          <cell r="F239">
            <v>108112</v>
          </cell>
        </row>
        <row r="240">
          <cell r="A240">
            <v>265406</v>
          </cell>
          <cell r="B240" t="str">
            <v>Airport Garden, Colombo</v>
          </cell>
          <cell r="C240">
            <v>11382.5</v>
          </cell>
          <cell r="D240">
            <v>1019</v>
          </cell>
          <cell r="E240">
            <v>11382.5</v>
          </cell>
          <cell r="F240">
            <v>1019</v>
          </cell>
        </row>
        <row r="241">
          <cell r="A241">
            <v>265407</v>
          </cell>
          <cell r="B241" t="str">
            <v>Pamodzi, Zambia</v>
          </cell>
          <cell r="C241">
            <v>69030.5</v>
          </cell>
          <cell r="D241">
            <v>9039</v>
          </cell>
          <cell r="E241">
            <v>0</v>
          </cell>
          <cell r="F241">
            <v>78069.5</v>
          </cell>
        </row>
        <row r="242">
          <cell r="A242">
            <v>265409</v>
          </cell>
          <cell r="B242" t="str">
            <v>Taj Palace, Dubai</v>
          </cell>
          <cell r="C242">
            <v>14465.5</v>
          </cell>
          <cell r="D242">
            <v>1019</v>
          </cell>
          <cell r="E242">
            <v>556</v>
          </cell>
          <cell r="F242">
            <v>14928.5</v>
          </cell>
        </row>
        <row r="243">
          <cell r="A243">
            <v>265410</v>
          </cell>
          <cell r="B243" t="str">
            <v>Taj Sheba, Sanna</v>
          </cell>
          <cell r="C243">
            <v>0</v>
          </cell>
          <cell r="D243">
            <v>1019</v>
          </cell>
          <cell r="E243">
            <v>0</v>
          </cell>
          <cell r="F243">
            <v>1019</v>
          </cell>
        </row>
        <row r="244">
          <cell r="A244">
            <v>265415</v>
          </cell>
          <cell r="B244" t="str">
            <v>Umaid Bhavan Palace, Jodhpur</v>
          </cell>
          <cell r="C244">
            <v>193</v>
          </cell>
          <cell r="D244">
            <v>0</v>
          </cell>
          <cell r="E244">
            <v>0</v>
          </cell>
          <cell r="F244">
            <v>193</v>
          </cell>
        </row>
        <row r="245">
          <cell r="A245">
            <v>265467</v>
          </cell>
          <cell r="B245" t="str">
            <v>Taj Trade and Transport Company Limited</v>
          </cell>
          <cell r="C245">
            <v>36612</v>
          </cell>
          <cell r="D245">
            <v>1526</v>
          </cell>
          <cell r="E245">
            <v>0</v>
          </cell>
          <cell r="F245">
            <v>38138</v>
          </cell>
        </row>
        <row r="246">
          <cell r="A246">
            <v>265468</v>
          </cell>
          <cell r="B246" t="str">
            <v>Inditravel Private Limited</v>
          </cell>
          <cell r="C246">
            <v>345412</v>
          </cell>
          <cell r="D246">
            <v>0</v>
          </cell>
          <cell r="E246">
            <v>345412</v>
          </cell>
          <cell r="F246">
            <v>0</v>
          </cell>
        </row>
        <row r="247">
          <cell r="A247">
            <v>265481</v>
          </cell>
          <cell r="B247" t="str">
            <v>Indian Institute of Hotel Management</v>
          </cell>
          <cell r="C247">
            <v>50640.38</v>
          </cell>
          <cell r="D247">
            <v>15390</v>
          </cell>
          <cell r="E247">
            <v>0</v>
          </cell>
          <cell r="F247">
            <v>66030.38</v>
          </cell>
        </row>
        <row r="248">
          <cell r="A248">
            <v>265504</v>
          </cell>
          <cell r="B248" t="str">
            <v>Tata Coffee Limited</v>
          </cell>
          <cell r="C248">
            <v>0</v>
          </cell>
          <cell r="D248">
            <v>290</v>
          </cell>
          <cell r="E248">
            <v>0</v>
          </cell>
          <cell r="F248">
            <v>290</v>
          </cell>
        </row>
        <row r="249">
          <cell r="A249">
            <v>265751</v>
          </cell>
          <cell r="B249" t="str">
            <v>Deferred Financial costs</v>
          </cell>
          <cell r="C249">
            <v>0</v>
          </cell>
          <cell r="D249">
            <v>290</v>
          </cell>
          <cell r="E249">
            <v>0</v>
          </cell>
          <cell r="F249">
            <v>290</v>
          </cell>
        </row>
        <row r="250">
          <cell r="A250">
            <v>265753</v>
          </cell>
          <cell r="B250" t="str">
            <v>Deferred Revenue Expenses</v>
          </cell>
          <cell r="C250">
            <v>18240832</v>
          </cell>
          <cell r="D250">
            <v>0</v>
          </cell>
          <cell r="E250">
            <v>0</v>
          </cell>
          <cell r="F250">
            <v>18240832</v>
          </cell>
        </row>
        <row r="251">
          <cell r="A251">
            <v>265801</v>
          </cell>
          <cell r="B251" t="str">
            <v>Profit and Loss Account (Debit Balance)</v>
          </cell>
          <cell r="C251">
            <v>0</v>
          </cell>
          <cell r="D251">
            <v>290</v>
          </cell>
          <cell r="E251">
            <v>0</v>
          </cell>
          <cell r="F251">
            <v>290</v>
          </cell>
        </row>
        <row r="252">
          <cell r="A252">
            <v>269003</v>
          </cell>
          <cell r="B252" t="str">
            <v>Standard Chartered Bank - USD EEFC - M.</v>
          </cell>
          <cell r="C252">
            <v>3147574.41</v>
          </cell>
          <cell r="D252">
            <v>217550.66</v>
          </cell>
          <cell r="E252">
            <v>586420.67000000004</v>
          </cell>
          <cell r="F252">
            <v>2778704.4</v>
          </cell>
        </row>
        <row r="253">
          <cell r="A253">
            <v>269004</v>
          </cell>
          <cell r="B253" t="str">
            <v>Standard Chartered Bank - GBP EEFC - M.</v>
          </cell>
          <cell r="C253">
            <v>21906.71</v>
          </cell>
          <cell r="D253">
            <v>0</v>
          </cell>
          <cell r="E253">
            <v>1313.95</v>
          </cell>
          <cell r="F253">
            <v>20592.759999999998</v>
          </cell>
        </row>
        <row r="254">
          <cell r="A254">
            <v>269005</v>
          </cell>
          <cell r="B254" t="str">
            <v>Standard Chartered Bank - EURO EEFC - M</v>
          </cell>
          <cell r="C254">
            <v>7086.15</v>
          </cell>
          <cell r="D254">
            <v>0</v>
          </cell>
          <cell r="E254">
            <v>156.26</v>
          </cell>
          <cell r="F254">
            <v>6929.89</v>
          </cell>
        </row>
        <row r="255">
          <cell r="A255">
            <v>269006</v>
          </cell>
          <cell r="B255" t="str">
            <v>HDFC Bank Ltd. - Fort - 0600301004829</v>
          </cell>
          <cell r="C255">
            <v>-28049040.84</v>
          </cell>
          <cell r="D255">
            <v>34502933.32</v>
          </cell>
          <cell r="E255">
            <v>6610336</v>
          </cell>
          <cell r="F255">
            <v>-156443.51999999999</v>
          </cell>
        </row>
        <row r="256">
          <cell r="A256">
            <v>269021</v>
          </cell>
          <cell r="B256" t="str">
            <v>Bank for Zero Payment</v>
          </cell>
          <cell r="C256">
            <v>20720.54</v>
          </cell>
          <cell r="D256">
            <v>0</v>
          </cell>
          <cell r="E256">
            <v>0</v>
          </cell>
          <cell r="F256">
            <v>20720.54</v>
          </cell>
        </row>
        <row r="257">
          <cell r="A257">
            <v>361001</v>
          </cell>
          <cell r="B257" t="str">
            <v>Room Sales</v>
          </cell>
          <cell r="C257">
            <v>-231769328.56</v>
          </cell>
          <cell r="D257">
            <v>875639.97</v>
          </cell>
          <cell r="E257">
            <v>50111732</v>
          </cell>
          <cell r="F257">
            <v>-281005420.58999997</v>
          </cell>
        </row>
        <row r="258">
          <cell r="A258">
            <v>361051</v>
          </cell>
          <cell r="B258" t="str">
            <v>Food Sales</v>
          </cell>
          <cell r="C258">
            <v>-132047263</v>
          </cell>
          <cell r="D258">
            <v>641393</v>
          </cell>
          <cell r="E258">
            <v>28434939</v>
          </cell>
          <cell r="F258">
            <v>-159840809</v>
          </cell>
        </row>
        <row r="259">
          <cell r="A259">
            <v>361052</v>
          </cell>
          <cell r="B259" t="str">
            <v>Juice Sales</v>
          </cell>
          <cell r="C259">
            <v>0</v>
          </cell>
          <cell r="D259">
            <v>101</v>
          </cell>
          <cell r="E259">
            <v>101</v>
          </cell>
          <cell r="F259">
            <v>0</v>
          </cell>
        </row>
        <row r="260">
          <cell r="A260">
            <v>361053</v>
          </cell>
          <cell r="B260" t="str">
            <v>Food Sales - Local Tax Exempt</v>
          </cell>
          <cell r="C260">
            <v>0</v>
          </cell>
          <cell r="D260">
            <v>21100</v>
          </cell>
          <cell r="E260">
            <v>21100</v>
          </cell>
          <cell r="F260">
            <v>0</v>
          </cell>
        </row>
        <row r="261">
          <cell r="A261">
            <v>361101</v>
          </cell>
          <cell r="B261" t="str">
            <v>Soft Drinks Sales</v>
          </cell>
          <cell r="C261">
            <v>-8542987</v>
          </cell>
          <cell r="D261">
            <v>3525</v>
          </cell>
          <cell r="E261">
            <v>1245014</v>
          </cell>
          <cell r="F261">
            <v>-9784476</v>
          </cell>
        </row>
        <row r="262">
          <cell r="A262">
            <v>361103</v>
          </cell>
          <cell r="B262" t="str">
            <v>Smokes Sales</v>
          </cell>
          <cell r="C262">
            <v>-475685</v>
          </cell>
          <cell r="D262">
            <v>810</v>
          </cell>
          <cell r="E262">
            <v>79295</v>
          </cell>
          <cell r="F262">
            <v>-554170</v>
          </cell>
        </row>
        <row r="263">
          <cell r="A263">
            <v>361151</v>
          </cell>
          <cell r="B263" t="str">
            <v>Beer Sales - Indian/Local</v>
          </cell>
          <cell r="C263">
            <v>-4565398</v>
          </cell>
          <cell r="D263">
            <v>3245</v>
          </cell>
          <cell r="E263">
            <v>573792</v>
          </cell>
          <cell r="F263">
            <v>-5135945</v>
          </cell>
        </row>
        <row r="264">
          <cell r="A264">
            <v>361152</v>
          </cell>
          <cell r="B264" t="str">
            <v>Beer Sales - Imported</v>
          </cell>
          <cell r="C264">
            <v>-382844</v>
          </cell>
          <cell r="D264">
            <v>4325</v>
          </cell>
          <cell r="E264">
            <v>97905</v>
          </cell>
          <cell r="F264">
            <v>-476424</v>
          </cell>
        </row>
        <row r="265">
          <cell r="A265">
            <v>361153</v>
          </cell>
          <cell r="B265" t="str">
            <v>Spirits Sales - Indian/Local</v>
          </cell>
          <cell r="C265">
            <v>-2918602</v>
          </cell>
          <cell r="D265">
            <v>20038</v>
          </cell>
          <cell r="E265">
            <v>443254</v>
          </cell>
          <cell r="F265">
            <v>-3341818</v>
          </cell>
        </row>
        <row r="266">
          <cell r="A266">
            <v>361154</v>
          </cell>
          <cell r="B266" t="str">
            <v>Spirits Sales - Imported</v>
          </cell>
          <cell r="C266">
            <v>-7949123</v>
          </cell>
          <cell r="D266">
            <v>0</v>
          </cell>
          <cell r="E266">
            <v>960095</v>
          </cell>
          <cell r="F266">
            <v>-8909218</v>
          </cell>
        </row>
        <row r="267">
          <cell r="A267">
            <v>361155</v>
          </cell>
          <cell r="B267" t="str">
            <v>Wine Sales - Indian/Local</v>
          </cell>
          <cell r="C267">
            <v>-2469895</v>
          </cell>
          <cell r="D267">
            <v>5490</v>
          </cell>
          <cell r="E267">
            <v>395785</v>
          </cell>
          <cell r="F267">
            <v>-2860190</v>
          </cell>
        </row>
        <row r="268">
          <cell r="A268">
            <v>361156</v>
          </cell>
          <cell r="B268" t="str">
            <v>Wine Sales - Imported</v>
          </cell>
          <cell r="C268">
            <v>-3745558</v>
          </cell>
          <cell r="D268">
            <v>0</v>
          </cell>
          <cell r="E268">
            <v>611470</v>
          </cell>
          <cell r="F268">
            <v>-4357028</v>
          </cell>
        </row>
        <row r="269">
          <cell r="A269">
            <v>361201</v>
          </cell>
          <cell r="B269" t="str">
            <v>Telephone Income</v>
          </cell>
          <cell r="C269">
            <v>-3867140</v>
          </cell>
          <cell r="D269">
            <v>65727</v>
          </cell>
          <cell r="E269">
            <v>569890</v>
          </cell>
          <cell r="F269">
            <v>-4371303</v>
          </cell>
        </row>
        <row r="270">
          <cell r="A270">
            <v>361202</v>
          </cell>
          <cell r="B270" t="str">
            <v>Telefax Income</v>
          </cell>
          <cell r="C270">
            <v>-1156538</v>
          </cell>
          <cell r="D270">
            <v>2786</v>
          </cell>
          <cell r="E270">
            <v>111475</v>
          </cell>
          <cell r="F270">
            <v>-1265227</v>
          </cell>
        </row>
        <row r="271">
          <cell r="A271">
            <v>361203</v>
          </cell>
          <cell r="B271" t="str">
            <v>Internet Income</v>
          </cell>
          <cell r="C271">
            <v>-2793939</v>
          </cell>
          <cell r="D271">
            <v>54527</v>
          </cell>
          <cell r="E271">
            <v>471818</v>
          </cell>
          <cell r="F271">
            <v>-3211230</v>
          </cell>
        </row>
        <row r="272">
          <cell r="A272">
            <v>361251</v>
          </cell>
          <cell r="B272" t="str">
            <v>Banquet Hall Hire Income</v>
          </cell>
          <cell r="C272">
            <v>140000</v>
          </cell>
          <cell r="D272">
            <v>23863</v>
          </cell>
          <cell r="E272">
            <v>0</v>
          </cell>
          <cell r="F272">
            <v>163863</v>
          </cell>
        </row>
        <row r="273">
          <cell r="A273">
            <v>361253</v>
          </cell>
          <cell r="B273" t="str">
            <v>Banquet Miscellaneous Income</v>
          </cell>
          <cell r="C273">
            <v>-7572093.9199999999</v>
          </cell>
          <cell r="D273">
            <v>21100</v>
          </cell>
          <cell r="E273">
            <v>1102535</v>
          </cell>
          <cell r="F273">
            <v>-8653528.9199999999</v>
          </cell>
        </row>
        <row r="274">
          <cell r="A274">
            <v>361302</v>
          </cell>
          <cell r="B274" t="str">
            <v>Business Centre Other Services</v>
          </cell>
          <cell r="C274">
            <v>-2468979</v>
          </cell>
          <cell r="D274">
            <v>9819</v>
          </cell>
          <cell r="E274">
            <v>312269</v>
          </cell>
          <cell r="F274">
            <v>-2771429</v>
          </cell>
        </row>
        <row r="275">
          <cell r="A275">
            <v>361355</v>
          </cell>
          <cell r="B275" t="str">
            <v>Health Club and Fitness Centre Fee</v>
          </cell>
          <cell r="C275">
            <v>-443030</v>
          </cell>
          <cell r="D275">
            <v>0</v>
          </cell>
          <cell r="E275">
            <v>126821</v>
          </cell>
          <cell r="F275">
            <v>-569851</v>
          </cell>
        </row>
        <row r="276">
          <cell r="A276">
            <v>361452</v>
          </cell>
          <cell r="B276" t="str">
            <v>Laundry Income</v>
          </cell>
          <cell r="C276">
            <v>-3730160</v>
          </cell>
          <cell r="D276">
            <v>20946</v>
          </cell>
          <cell r="E276">
            <v>668184</v>
          </cell>
          <cell r="F276">
            <v>-4377398</v>
          </cell>
        </row>
        <row r="277">
          <cell r="A277">
            <v>361455</v>
          </cell>
          <cell r="B277" t="str">
            <v>Beauty Salon Income</v>
          </cell>
          <cell r="C277">
            <v>625</v>
          </cell>
          <cell r="D277">
            <v>250</v>
          </cell>
          <cell r="E277">
            <v>0</v>
          </cell>
          <cell r="F277">
            <v>875</v>
          </cell>
        </row>
        <row r="278">
          <cell r="A278">
            <v>361504</v>
          </cell>
          <cell r="B278" t="str">
            <v>Shops - Rent</v>
          </cell>
          <cell r="C278">
            <v>-1907120</v>
          </cell>
          <cell r="D278">
            <v>0</v>
          </cell>
          <cell r="E278">
            <v>252000</v>
          </cell>
          <cell r="F278">
            <v>-2159120</v>
          </cell>
        </row>
        <row r="279">
          <cell r="A279">
            <v>361551</v>
          </cell>
          <cell r="B279" t="str">
            <v>Miscelleneous Operating Income</v>
          </cell>
          <cell r="C279">
            <v>-11273.25</v>
          </cell>
          <cell r="D279">
            <v>0</v>
          </cell>
          <cell r="E279">
            <v>0</v>
          </cell>
          <cell r="F279">
            <v>-11273.25</v>
          </cell>
        </row>
        <row r="280">
          <cell r="A280">
            <v>361553</v>
          </cell>
          <cell r="B280" t="str">
            <v>Scrap Sales</v>
          </cell>
          <cell r="C280">
            <v>-439848</v>
          </cell>
          <cell r="D280">
            <v>0</v>
          </cell>
          <cell r="E280">
            <v>31205</v>
          </cell>
          <cell r="F280">
            <v>-471053</v>
          </cell>
        </row>
        <row r="281">
          <cell r="A281">
            <v>361554</v>
          </cell>
          <cell r="B281" t="str">
            <v>Sales</v>
          </cell>
          <cell r="C281">
            <v>1153</v>
          </cell>
          <cell r="D281">
            <v>0</v>
          </cell>
          <cell r="E281">
            <v>0</v>
          </cell>
          <cell r="F281">
            <v>1153</v>
          </cell>
        </row>
        <row r="282">
          <cell r="A282">
            <v>362101</v>
          </cell>
          <cell r="B282" t="str">
            <v>Disposal G/(L) on Fixed Assets - Others</v>
          </cell>
          <cell r="C282">
            <v>773001.23</v>
          </cell>
          <cell r="D282">
            <v>0</v>
          </cell>
          <cell r="E282">
            <v>0</v>
          </cell>
          <cell r="F282">
            <v>773001.23</v>
          </cell>
        </row>
        <row r="283">
          <cell r="A283">
            <v>362401</v>
          </cell>
          <cell r="B283" t="str">
            <v>Realised Forex Gain or Loss</v>
          </cell>
          <cell r="C283">
            <v>-9264.7000000000007</v>
          </cell>
          <cell r="D283">
            <v>46109.63</v>
          </cell>
          <cell r="E283">
            <v>116106.3</v>
          </cell>
          <cell r="F283">
            <v>-79261.37</v>
          </cell>
        </row>
        <row r="284">
          <cell r="A284">
            <v>362451</v>
          </cell>
          <cell r="B284" t="str">
            <v>Unrealised Forex Gain / (Loss)</v>
          </cell>
          <cell r="C284">
            <v>0</v>
          </cell>
          <cell r="D284">
            <v>0</v>
          </cell>
          <cell r="E284">
            <v>205.57</v>
          </cell>
          <cell r="F284">
            <v>-205.57</v>
          </cell>
        </row>
        <row r="285">
          <cell r="A285">
            <v>362452</v>
          </cell>
          <cell r="B285" t="str">
            <v>Unrealised Forex Gain / (Loss) - Foreig</v>
          </cell>
          <cell r="C285">
            <v>0</v>
          </cell>
          <cell r="D285">
            <v>170.43</v>
          </cell>
          <cell r="E285">
            <v>0</v>
          </cell>
          <cell r="F285">
            <v>170.43</v>
          </cell>
        </row>
        <row r="286">
          <cell r="A286">
            <v>362503</v>
          </cell>
          <cell r="B286" t="str">
            <v>Miscellaneous Credits Written Back</v>
          </cell>
          <cell r="C286">
            <v>-19423</v>
          </cell>
          <cell r="D286">
            <v>0</v>
          </cell>
          <cell r="E286">
            <v>5878</v>
          </cell>
          <cell r="F286">
            <v>-25301</v>
          </cell>
        </row>
        <row r="287">
          <cell r="A287">
            <v>362851</v>
          </cell>
          <cell r="B287" t="str">
            <v>Interest Income - Long Term - External</v>
          </cell>
          <cell r="C287">
            <v>-277040</v>
          </cell>
          <cell r="D287">
            <v>0</v>
          </cell>
          <cell r="E287">
            <v>0</v>
          </cell>
          <cell r="F287">
            <v>-277040</v>
          </cell>
        </row>
        <row r="288">
          <cell r="A288">
            <v>362852</v>
          </cell>
          <cell r="B288" t="str">
            <v>Interest Income - Long Term - Hotel Dep</v>
          </cell>
          <cell r="C288">
            <v>0</v>
          </cell>
          <cell r="D288">
            <v>0</v>
          </cell>
          <cell r="E288">
            <v>164500</v>
          </cell>
          <cell r="F288">
            <v>-164500</v>
          </cell>
        </row>
        <row r="289">
          <cell r="A289">
            <v>363005</v>
          </cell>
          <cell r="B289" t="str">
            <v>Miscellaneous Income</v>
          </cell>
          <cell r="C289">
            <v>-146691.64000000001</v>
          </cell>
          <cell r="D289">
            <v>102534.1</v>
          </cell>
          <cell r="E289">
            <v>1021625.82</v>
          </cell>
          <cell r="F289">
            <v>-1065783.3600000001</v>
          </cell>
        </row>
        <row r="290">
          <cell r="A290">
            <v>461001</v>
          </cell>
          <cell r="B290" t="str">
            <v>Basic Pay</v>
          </cell>
          <cell r="C290">
            <v>15745462</v>
          </cell>
          <cell r="D290">
            <v>2485628</v>
          </cell>
          <cell r="E290">
            <v>370906</v>
          </cell>
          <cell r="F290">
            <v>17860184</v>
          </cell>
        </row>
        <row r="291">
          <cell r="A291">
            <v>461002</v>
          </cell>
          <cell r="B291" t="str">
            <v>Dearness Allowance</v>
          </cell>
          <cell r="C291">
            <v>6704422</v>
          </cell>
          <cell r="D291">
            <v>849476</v>
          </cell>
          <cell r="E291">
            <v>224295</v>
          </cell>
          <cell r="F291">
            <v>7329603</v>
          </cell>
        </row>
        <row r="292">
          <cell r="A292">
            <v>461003</v>
          </cell>
          <cell r="B292" t="str">
            <v>Conveyance Allowance</v>
          </cell>
          <cell r="C292">
            <v>2426063</v>
          </cell>
          <cell r="D292">
            <v>387900</v>
          </cell>
          <cell r="E292">
            <v>104326</v>
          </cell>
          <cell r="F292">
            <v>2709637</v>
          </cell>
        </row>
        <row r="293">
          <cell r="A293">
            <v>461004</v>
          </cell>
          <cell r="B293" t="str">
            <v>House Rent Allowance</v>
          </cell>
          <cell r="C293">
            <v>2634585</v>
          </cell>
          <cell r="D293">
            <v>375281</v>
          </cell>
          <cell r="E293">
            <v>101529</v>
          </cell>
          <cell r="F293">
            <v>2908337</v>
          </cell>
        </row>
        <row r="294">
          <cell r="A294">
            <v>461006</v>
          </cell>
          <cell r="B294" t="str">
            <v>Special Allowance</v>
          </cell>
          <cell r="C294">
            <v>1229996</v>
          </cell>
          <cell r="D294">
            <v>336702</v>
          </cell>
          <cell r="E294">
            <v>85860</v>
          </cell>
          <cell r="F294">
            <v>1480838</v>
          </cell>
        </row>
        <row r="295">
          <cell r="A295">
            <v>461007</v>
          </cell>
          <cell r="B295" t="str">
            <v>Additional Special Allowance</v>
          </cell>
          <cell r="C295">
            <v>154560</v>
          </cell>
          <cell r="D295">
            <v>63860</v>
          </cell>
          <cell r="E295">
            <v>42500</v>
          </cell>
          <cell r="F295">
            <v>175920</v>
          </cell>
        </row>
        <row r="296">
          <cell r="A296">
            <v>461009</v>
          </cell>
          <cell r="B296" t="str">
            <v>Attendance Linked Allowance</v>
          </cell>
          <cell r="C296">
            <v>293417</v>
          </cell>
          <cell r="D296">
            <v>36213</v>
          </cell>
          <cell r="E296">
            <v>9263</v>
          </cell>
          <cell r="F296">
            <v>320367</v>
          </cell>
        </row>
        <row r="297">
          <cell r="A297">
            <v>461011</v>
          </cell>
          <cell r="B297" t="str">
            <v>Maintenance Allowance</v>
          </cell>
          <cell r="C297">
            <v>3558</v>
          </cell>
          <cell r="D297">
            <v>0</v>
          </cell>
          <cell r="E297">
            <v>0</v>
          </cell>
          <cell r="F297">
            <v>3558</v>
          </cell>
        </row>
        <row r="298">
          <cell r="A298">
            <v>461013</v>
          </cell>
          <cell r="B298" t="str">
            <v>Other Allowances</v>
          </cell>
          <cell r="C298">
            <v>706819</v>
          </cell>
          <cell r="D298">
            <v>89007</v>
          </cell>
          <cell r="E298">
            <v>38006</v>
          </cell>
          <cell r="F298">
            <v>757820</v>
          </cell>
        </row>
        <row r="299">
          <cell r="A299">
            <v>461014</v>
          </cell>
          <cell r="B299" t="str">
            <v>Overtime Wages</v>
          </cell>
          <cell r="C299">
            <v>104481</v>
          </cell>
          <cell r="D299">
            <v>12275</v>
          </cell>
          <cell r="E299">
            <v>2978</v>
          </cell>
          <cell r="F299">
            <v>113778</v>
          </cell>
        </row>
        <row r="300">
          <cell r="A300">
            <v>461015</v>
          </cell>
          <cell r="B300" t="str">
            <v>Holiday Wages</v>
          </cell>
          <cell r="C300">
            <v>126688</v>
          </cell>
          <cell r="D300">
            <v>0</v>
          </cell>
          <cell r="E300">
            <v>0</v>
          </cell>
          <cell r="F300">
            <v>126688</v>
          </cell>
        </row>
        <row r="301">
          <cell r="A301">
            <v>461019</v>
          </cell>
          <cell r="B301" t="str">
            <v>Salaries - Intra Company Deputations</v>
          </cell>
          <cell r="C301">
            <v>-311823</v>
          </cell>
          <cell r="D301">
            <v>0</v>
          </cell>
          <cell r="E301">
            <v>0</v>
          </cell>
          <cell r="F301">
            <v>-311823</v>
          </cell>
        </row>
        <row r="302">
          <cell r="A302">
            <v>461051</v>
          </cell>
          <cell r="B302" t="str">
            <v>Bonus</v>
          </cell>
          <cell r="C302">
            <v>0</v>
          </cell>
          <cell r="D302">
            <v>6905000</v>
          </cell>
          <cell r="E302">
            <v>0</v>
          </cell>
          <cell r="F302">
            <v>6905000</v>
          </cell>
        </row>
        <row r="303">
          <cell r="A303">
            <v>461052</v>
          </cell>
          <cell r="B303" t="str">
            <v>Performance Bonus</v>
          </cell>
          <cell r="C303">
            <v>100024</v>
          </cell>
          <cell r="D303">
            <v>0</v>
          </cell>
          <cell r="E303">
            <v>0</v>
          </cell>
          <cell r="F303">
            <v>100024</v>
          </cell>
        </row>
        <row r="304">
          <cell r="A304">
            <v>461053</v>
          </cell>
          <cell r="B304" t="str">
            <v>Productivity Bonus</v>
          </cell>
          <cell r="C304">
            <v>82581</v>
          </cell>
          <cell r="D304">
            <v>0</v>
          </cell>
          <cell r="E304">
            <v>0</v>
          </cell>
          <cell r="F304">
            <v>82581</v>
          </cell>
        </row>
        <row r="305">
          <cell r="A305">
            <v>461055</v>
          </cell>
          <cell r="B305" t="str">
            <v>Leave Encashment</v>
          </cell>
          <cell r="C305">
            <v>353404</v>
          </cell>
          <cell r="D305">
            <v>191315</v>
          </cell>
          <cell r="E305">
            <v>0</v>
          </cell>
          <cell r="F305">
            <v>544719</v>
          </cell>
        </row>
        <row r="306">
          <cell r="A306">
            <v>461056</v>
          </cell>
          <cell r="B306" t="str">
            <v>Leave Travel Allowance</v>
          </cell>
          <cell r="C306">
            <v>1035640</v>
          </cell>
          <cell r="D306">
            <v>273640</v>
          </cell>
          <cell r="E306">
            <v>0</v>
          </cell>
          <cell r="F306">
            <v>1309280</v>
          </cell>
        </row>
        <row r="307">
          <cell r="A307">
            <v>461058</v>
          </cell>
          <cell r="B307" t="str">
            <v>Dislocation Allowance</v>
          </cell>
          <cell r="C307">
            <v>82775</v>
          </cell>
          <cell r="D307">
            <v>0</v>
          </cell>
          <cell r="E307">
            <v>0</v>
          </cell>
          <cell r="F307">
            <v>82775</v>
          </cell>
        </row>
        <row r="308">
          <cell r="A308">
            <v>461060</v>
          </cell>
          <cell r="B308" t="str">
            <v>Severence Pay</v>
          </cell>
          <cell r="C308">
            <v>-82093</v>
          </cell>
          <cell r="D308">
            <v>0</v>
          </cell>
          <cell r="E308">
            <v>10000</v>
          </cell>
          <cell r="F308">
            <v>-92093</v>
          </cell>
        </row>
        <row r="309">
          <cell r="A309">
            <v>461101</v>
          </cell>
          <cell r="B309" t="str">
            <v>Directors Salary</v>
          </cell>
          <cell r="C309">
            <v>0</v>
          </cell>
          <cell r="D309">
            <v>245000</v>
          </cell>
          <cell r="E309">
            <v>245000</v>
          </cell>
          <cell r="F309">
            <v>0</v>
          </cell>
        </row>
        <row r="310">
          <cell r="A310">
            <v>461102</v>
          </cell>
          <cell r="B310" t="str">
            <v>Directors Allowance</v>
          </cell>
          <cell r="C310">
            <v>0</v>
          </cell>
          <cell r="D310">
            <v>85750</v>
          </cell>
          <cell r="E310">
            <v>85750</v>
          </cell>
          <cell r="F310">
            <v>0</v>
          </cell>
        </row>
        <row r="311">
          <cell r="A311">
            <v>461151</v>
          </cell>
          <cell r="B311" t="str">
            <v>Stipend to Trainees</v>
          </cell>
          <cell r="C311">
            <v>529938</v>
          </cell>
          <cell r="D311">
            <v>210595</v>
          </cell>
          <cell r="E311">
            <v>0</v>
          </cell>
          <cell r="F311">
            <v>740533</v>
          </cell>
        </row>
        <row r="312">
          <cell r="A312">
            <v>461152</v>
          </cell>
          <cell r="B312" t="str">
            <v>Stipend to Apprentices</v>
          </cell>
          <cell r="C312">
            <v>681850</v>
          </cell>
          <cell r="D312">
            <v>105891</v>
          </cell>
          <cell r="E312">
            <v>0</v>
          </cell>
          <cell r="F312">
            <v>787741</v>
          </cell>
        </row>
        <row r="313">
          <cell r="A313">
            <v>461154</v>
          </cell>
          <cell r="B313" t="str">
            <v>Remuneration - Term Contract Employees</v>
          </cell>
          <cell r="C313">
            <v>10781208</v>
          </cell>
          <cell r="D313">
            <v>2745419</v>
          </cell>
          <cell r="E313">
            <v>135165</v>
          </cell>
          <cell r="F313">
            <v>13391462</v>
          </cell>
        </row>
        <row r="314">
          <cell r="A314">
            <v>461251</v>
          </cell>
          <cell r="B314" t="str">
            <v>Provident Fund - Company Contribution</v>
          </cell>
          <cell r="C314">
            <v>1817143</v>
          </cell>
          <cell r="D314">
            <v>278510</v>
          </cell>
          <cell r="E314">
            <v>59058</v>
          </cell>
          <cell r="F314">
            <v>2036595</v>
          </cell>
        </row>
        <row r="315">
          <cell r="A315">
            <v>461253</v>
          </cell>
          <cell r="B315" t="str">
            <v>Employee Pension Scheme - Company Contr</v>
          </cell>
          <cell r="C315">
            <v>1471854</v>
          </cell>
          <cell r="D315">
            <v>190149</v>
          </cell>
          <cell r="E315">
            <v>12984</v>
          </cell>
          <cell r="F315">
            <v>1649019</v>
          </cell>
        </row>
        <row r="316">
          <cell r="A316">
            <v>461254</v>
          </cell>
          <cell r="B316" t="str">
            <v>Providend Fund Linked Insurance Premium</v>
          </cell>
          <cell r="C316">
            <v>70885</v>
          </cell>
          <cell r="D316">
            <v>0</v>
          </cell>
          <cell r="E316">
            <v>0</v>
          </cell>
          <cell r="F316">
            <v>70885</v>
          </cell>
        </row>
        <row r="317">
          <cell r="A317">
            <v>461256</v>
          </cell>
          <cell r="B317" t="str">
            <v>E.S.I.S. - Company Contribution</v>
          </cell>
          <cell r="C317">
            <v>251161</v>
          </cell>
          <cell r="D317">
            <v>37267</v>
          </cell>
          <cell r="E317">
            <v>0</v>
          </cell>
          <cell r="F317">
            <v>288428</v>
          </cell>
        </row>
        <row r="318">
          <cell r="A318">
            <v>461257</v>
          </cell>
          <cell r="B318" t="str">
            <v>Labour Welfare Fund - Company Contribut</v>
          </cell>
          <cell r="C318">
            <v>11898</v>
          </cell>
          <cell r="D318">
            <v>11178</v>
          </cell>
          <cell r="E318">
            <v>0</v>
          </cell>
          <cell r="F318">
            <v>23076</v>
          </cell>
        </row>
        <row r="319">
          <cell r="A319">
            <v>461258</v>
          </cell>
          <cell r="B319" t="str">
            <v>Administration and Inspection Charges -</v>
          </cell>
          <cell r="C319">
            <v>293706</v>
          </cell>
          <cell r="D319">
            <v>129207</v>
          </cell>
          <cell r="E319">
            <v>0</v>
          </cell>
          <cell r="F319">
            <v>422913</v>
          </cell>
        </row>
        <row r="320">
          <cell r="A320">
            <v>461351</v>
          </cell>
          <cell r="B320" t="str">
            <v>Retiring Gratuity</v>
          </cell>
          <cell r="C320">
            <v>-229679</v>
          </cell>
          <cell r="D320">
            <v>4758696</v>
          </cell>
          <cell r="E320">
            <v>29017</v>
          </cell>
          <cell r="F320">
            <v>4500000</v>
          </cell>
        </row>
        <row r="321">
          <cell r="A321">
            <v>461451</v>
          </cell>
          <cell r="B321" t="str">
            <v>Salaries - Group - Inter Company Deputa</v>
          </cell>
          <cell r="C321">
            <v>11819259</v>
          </cell>
          <cell r="D321">
            <v>3709611</v>
          </cell>
          <cell r="E321">
            <v>1292659</v>
          </cell>
          <cell r="F321">
            <v>14236211</v>
          </cell>
        </row>
        <row r="322">
          <cell r="A322">
            <v>461551</v>
          </cell>
          <cell r="B322" t="str">
            <v>Uniforms</v>
          </cell>
          <cell r="C322">
            <v>1217549.98</v>
          </cell>
          <cell r="D322">
            <v>642865.54</v>
          </cell>
          <cell r="E322">
            <v>21966</v>
          </cell>
          <cell r="F322">
            <v>1838449.52</v>
          </cell>
        </row>
        <row r="323">
          <cell r="A323">
            <v>461552</v>
          </cell>
          <cell r="B323" t="str">
            <v>Uniform Re-imbursement</v>
          </cell>
          <cell r="C323">
            <v>750</v>
          </cell>
          <cell r="D323">
            <v>0</v>
          </cell>
          <cell r="E323">
            <v>0</v>
          </cell>
          <cell r="F323">
            <v>750</v>
          </cell>
        </row>
        <row r="324">
          <cell r="A324">
            <v>461601</v>
          </cell>
          <cell r="B324" t="str">
            <v>Medical Expenses - Domicilary</v>
          </cell>
          <cell r="C324">
            <v>732977.46</v>
          </cell>
          <cell r="D324">
            <v>52373</v>
          </cell>
          <cell r="E324">
            <v>1415</v>
          </cell>
          <cell r="F324">
            <v>783935.46</v>
          </cell>
        </row>
        <row r="325">
          <cell r="A325">
            <v>461602</v>
          </cell>
          <cell r="B325" t="str">
            <v>Medical Expenses - Hospitalisation</v>
          </cell>
          <cell r="C325">
            <v>630395</v>
          </cell>
          <cell r="D325">
            <v>148555</v>
          </cell>
          <cell r="E325">
            <v>30171</v>
          </cell>
          <cell r="F325">
            <v>748779</v>
          </cell>
        </row>
        <row r="326">
          <cell r="A326">
            <v>461604</v>
          </cell>
          <cell r="B326" t="str">
            <v>Medical Insurance Premium</v>
          </cell>
          <cell r="C326">
            <v>415621</v>
          </cell>
          <cell r="D326">
            <v>223034</v>
          </cell>
          <cell r="E326">
            <v>0</v>
          </cell>
          <cell r="F326">
            <v>638655</v>
          </cell>
        </row>
        <row r="327">
          <cell r="A327">
            <v>461651</v>
          </cell>
          <cell r="B327" t="str">
            <v>Staff Training Expenses</v>
          </cell>
          <cell r="C327">
            <v>186801</v>
          </cell>
          <cell r="D327">
            <v>313136.42</v>
          </cell>
          <cell r="E327">
            <v>3570</v>
          </cell>
          <cell r="F327">
            <v>496367.42</v>
          </cell>
        </row>
        <row r="328">
          <cell r="A328">
            <v>461652</v>
          </cell>
          <cell r="B328" t="str">
            <v>Staff Recruitment Expenses</v>
          </cell>
          <cell r="C328">
            <v>94502</v>
          </cell>
          <cell r="D328">
            <v>40060</v>
          </cell>
          <cell r="E328">
            <v>0</v>
          </cell>
          <cell r="F328">
            <v>134562</v>
          </cell>
        </row>
        <row r="329">
          <cell r="A329">
            <v>461701</v>
          </cell>
          <cell r="B329" t="str">
            <v>Long Service Awards</v>
          </cell>
          <cell r="C329">
            <v>402010</v>
          </cell>
          <cell r="D329">
            <v>0</v>
          </cell>
          <cell r="E329">
            <v>0</v>
          </cell>
          <cell r="F329">
            <v>402010</v>
          </cell>
        </row>
        <row r="330">
          <cell r="A330">
            <v>461751</v>
          </cell>
          <cell r="B330" t="str">
            <v>Rent - Staff Accomodation</v>
          </cell>
          <cell r="C330">
            <v>2688862.3</v>
          </cell>
          <cell r="D330">
            <v>462090</v>
          </cell>
          <cell r="E330">
            <v>500157</v>
          </cell>
          <cell r="F330">
            <v>2650795.2999999998</v>
          </cell>
        </row>
        <row r="331">
          <cell r="A331">
            <v>461752</v>
          </cell>
          <cell r="B331" t="str">
            <v>Rent - Staff Accomodation Recovery</v>
          </cell>
          <cell r="C331">
            <v>-8400</v>
          </cell>
          <cell r="D331">
            <v>0</v>
          </cell>
          <cell r="E331">
            <v>1000</v>
          </cell>
          <cell r="F331">
            <v>-9400</v>
          </cell>
        </row>
        <row r="332">
          <cell r="A332">
            <v>461754</v>
          </cell>
          <cell r="B332" t="str">
            <v>Staff Accommodation Expenses - General</v>
          </cell>
          <cell r="C332">
            <v>20498</v>
          </cell>
          <cell r="D332">
            <v>5000</v>
          </cell>
          <cell r="E332">
            <v>0</v>
          </cell>
          <cell r="F332">
            <v>25498</v>
          </cell>
        </row>
        <row r="333">
          <cell r="A333">
            <v>461755</v>
          </cell>
          <cell r="B333" t="str">
            <v>Brokerage - Flats</v>
          </cell>
          <cell r="C333">
            <v>90500</v>
          </cell>
          <cell r="D333">
            <v>0</v>
          </cell>
          <cell r="E333">
            <v>0</v>
          </cell>
          <cell r="F333">
            <v>90500</v>
          </cell>
        </row>
        <row r="334">
          <cell r="A334">
            <v>461756</v>
          </cell>
          <cell r="B334" t="str">
            <v>Telephone - Staff Accomodation</v>
          </cell>
          <cell r="C334">
            <v>59219</v>
          </cell>
          <cell r="D334">
            <v>31049</v>
          </cell>
          <cell r="E334">
            <v>0</v>
          </cell>
          <cell r="F334">
            <v>90268</v>
          </cell>
        </row>
        <row r="335">
          <cell r="A335">
            <v>461757</v>
          </cell>
          <cell r="B335" t="str">
            <v>Repairs - Staff Accomodation</v>
          </cell>
          <cell r="C335">
            <v>70762</v>
          </cell>
          <cell r="D335">
            <v>21962</v>
          </cell>
          <cell r="E335">
            <v>644</v>
          </cell>
          <cell r="F335">
            <v>92080</v>
          </cell>
        </row>
        <row r="336">
          <cell r="A336">
            <v>461758</v>
          </cell>
          <cell r="B336" t="str">
            <v>Electricity - Staff Accomodation</v>
          </cell>
          <cell r="C336">
            <v>3850</v>
          </cell>
          <cell r="D336">
            <v>2810</v>
          </cell>
          <cell r="E336">
            <v>0</v>
          </cell>
          <cell r="F336">
            <v>6660</v>
          </cell>
        </row>
        <row r="337">
          <cell r="A337">
            <v>461801</v>
          </cell>
          <cell r="B337" t="str">
            <v>Employee Food Cost</v>
          </cell>
          <cell r="C337">
            <v>2908460.44</v>
          </cell>
          <cell r="D337">
            <v>449672.81</v>
          </cell>
          <cell r="E337">
            <v>46290</v>
          </cell>
          <cell r="F337">
            <v>3311843.25</v>
          </cell>
        </row>
        <row r="338">
          <cell r="A338">
            <v>461803</v>
          </cell>
          <cell r="B338" t="str">
            <v>Interest Subsidy on Housing Loans</v>
          </cell>
          <cell r="C338">
            <v>140420</v>
          </cell>
          <cell r="D338">
            <v>20832</v>
          </cell>
          <cell r="E338">
            <v>1464</v>
          </cell>
          <cell r="F338">
            <v>159788</v>
          </cell>
        </row>
        <row r="339">
          <cell r="A339">
            <v>461851</v>
          </cell>
          <cell r="B339" t="str">
            <v>Welfare Expenses - General</v>
          </cell>
          <cell r="C339">
            <v>120273</v>
          </cell>
          <cell r="D339">
            <v>43420</v>
          </cell>
          <cell r="E339">
            <v>0</v>
          </cell>
          <cell r="F339">
            <v>163693</v>
          </cell>
        </row>
        <row r="340">
          <cell r="A340">
            <v>461852</v>
          </cell>
          <cell r="B340" t="str">
            <v>Staff - Transport</v>
          </cell>
          <cell r="C340">
            <v>322000</v>
          </cell>
          <cell r="D340">
            <v>97000</v>
          </cell>
          <cell r="E340">
            <v>0</v>
          </cell>
          <cell r="F340">
            <v>419000</v>
          </cell>
        </row>
        <row r="341">
          <cell r="A341">
            <v>461853</v>
          </cell>
          <cell r="B341" t="str">
            <v>Education re-imbursement</v>
          </cell>
          <cell r="C341">
            <v>135904</v>
          </cell>
          <cell r="D341">
            <v>0</v>
          </cell>
          <cell r="E341">
            <v>0</v>
          </cell>
          <cell r="F341">
            <v>135904</v>
          </cell>
        </row>
        <row r="342">
          <cell r="A342">
            <v>461856</v>
          </cell>
          <cell r="B342" t="str">
            <v>Annual Day Expenses</v>
          </cell>
          <cell r="C342">
            <v>208474</v>
          </cell>
          <cell r="D342">
            <v>0</v>
          </cell>
          <cell r="E342">
            <v>0</v>
          </cell>
          <cell r="F342">
            <v>208474</v>
          </cell>
        </row>
        <row r="343">
          <cell r="A343">
            <v>461951</v>
          </cell>
          <cell r="B343" t="str">
            <v>Artists Remuneration-National</v>
          </cell>
          <cell r="C343">
            <v>10000</v>
          </cell>
          <cell r="D343">
            <v>338000</v>
          </cell>
          <cell r="E343">
            <v>0</v>
          </cell>
          <cell r="F343">
            <v>348000</v>
          </cell>
        </row>
        <row r="344">
          <cell r="A344">
            <v>461952</v>
          </cell>
          <cell r="B344" t="str">
            <v>Artists Remuneration-International</v>
          </cell>
          <cell r="C344">
            <v>1241158</v>
          </cell>
          <cell r="D344">
            <v>0</v>
          </cell>
          <cell r="E344">
            <v>0</v>
          </cell>
          <cell r="F344">
            <v>1241158</v>
          </cell>
        </row>
        <row r="345">
          <cell r="A345">
            <v>461953</v>
          </cell>
          <cell r="B345" t="str">
            <v>Contractors' Payments for Labour Supply</v>
          </cell>
          <cell r="C345">
            <v>6163.8</v>
          </cell>
          <cell r="D345">
            <v>59219.5</v>
          </cell>
          <cell r="E345">
            <v>0</v>
          </cell>
          <cell r="F345">
            <v>65383.3</v>
          </cell>
        </row>
        <row r="346">
          <cell r="A346">
            <v>461954</v>
          </cell>
          <cell r="B346" t="str">
            <v>Security Charges</v>
          </cell>
          <cell r="C346">
            <v>0</v>
          </cell>
          <cell r="D346">
            <v>33720</v>
          </cell>
          <cell r="E346">
            <v>33720</v>
          </cell>
          <cell r="F346">
            <v>0</v>
          </cell>
        </row>
        <row r="347">
          <cell r="A347">
            <v>462001</v>
          </cell>
          <cell r="B347" t="str">
            <v>Fruits and Vegetables</v>
          </cell>
          <cell r="C347">
            <v>5194738.59</v>
          </cell>
          <cell r="D347">
            <v>877593.33</v>
          </cell>
          <cell r="E347">
            <v>898</v>
          </cell>
          <cell r="F347">
            <v>6071433.9199999999</v>
          </cell>
        </row>
        <row r="348">
          <cell r="A348">
            <v>462002</v>
          </cell>
          <cell r="B348" t="str">
            <v>Meat, Fish and Poultry</v>
          </cell>
          <cell r="C348">
            <v>10147011.68</v>
          </cell>
          <cell r="D348">
            <v>2454049.17</v>
          </cell>
          <cell r="E348">
            <v>926500.96</v>
          </cell>
          <cell r="F348">
            <v>11674559.890000001</v>
          </cell>
        </row>
        <row r="349">
          <cell r="A349">
            <v>462003</v>
          </cell>
          <cell r="B349" t="str">
            <v>Provisions</v>
          </cell>
          <cell r="C349">
            <v>14721914.59</v>
          </cell>
          <cell r="D349">
            <v>2800055.37</v>
          </cell>
          <cell r="E349">
            <v>4272</v>
          </cell>
          <cell r="F349">
            <v>17517697.960000001</v>
          </cell>
        </row>
        <row r="350">
          <cell r="A350">
            <v>462004</v>
          </cell>
          <cell r="B350" t="str">
            <v>Perishables</v>
          </cell>
          <cell r="C350">
            <v>3013627.79</v>
          </cell>
          <cell r="D350">
            <v>503754.99</v>
          </cell>
          <cell r="E350">
            <v>510</v>
          </cell>
          <cell r="F350">
            <v>3516872.78</v>
          </cell>
        </row>
        <row r="351">
          <cell r="A351">
            <v>462051</v>
          </cell>
          <cell r="B351" t="str">
            <v>Soft Drinks</v>
          </cell>
          <cell r="C351">
            <v>1078971.6499999999</v>
          </cell>
          <cell r="D351">
            <v>183768.32000000001</v>
          </cell>
          <cell r="E351">
            <v>0</v>
          </cell>
          <cell r="F351">
            <v>1262739.97</v>
          </cell>
        </row>
        <row r="352">
          <cell r="A352">
            <v>462052</v>
          </cell>
          <cell r="B352" t="str">
            <v>Mineral / Purified Water</v>
          </cell>
          <cell r="C352">
            <v>1314795.6100000001</v>
          </cell>
          <cell r="D352">
            <v>205248.21</v>
          </cell>
          <cell r="E352">
            <v>0</v>
          </cell>
          <cell r="F352">
            <v>1520043.82</v>
          </cell>
        </row>
        <row r="353">
          <cell r="A353">
            <v>462101</v>
          </cell>
          <cell r="B353" t="str">
            <v>Beer Indian</v>
          </cell>
          <cell r="C353">
            <v>836326.39</v>
          </cell>
          <cell r="D353">
            <v>101832.13</v>
          </cell>
          <cell r="E353">
            <v>0</v>
          </cell>
          <cell r="F353">
            <v>938158.52</v>
          </cell>
        </row>
        <row r="354">
          <cell r="A354">
            <v>462102</v>
          </cell>
          <cell r="B354" t="str">
            <v>Beer Imported</v>
          </cell>
          <cell r="C354">
            <v>145305.94</v>
          </cell>
          <cell r="D354">
            <v>28903.86</v>
          </cell>
          <cell r="E354">
            <v>0</v>
          </cell>
          <cell r="F354">
            <v>174209.8</v>
          </cell>
        </row>
        <row r="355">
          <cell r="A355">
            <v>462151</v>
          </cell>
          <cell r="B355" t="str">
            <v>Wine Indian</v>
          </cell>
          <cell r="C355">
            <v>1166510.93</v>
          </cell>
          <cell r="D355">
            <v>200366.27</v>
          </cell>
          <cell r="E355">
            <v>0</v>
          </cell>
          <cell r="F355">
            <v>1366877.2</v>
          </cell>
        </row>
        <row r="356">
          <cell r="A356">
            <v>462152</v>
          </cell>
          <cell r="B356" t="str">
            <v>Wine Imported</v>
          </cell>
          <cell r="C356">
            <v>1056998.5900000001</v>
          </cell>
          <cell r="D356">
            <v>192936.53</v>
          </cell>
          <cell r="E356">
            <v>0</v>
          </cell>
          <cell r="F356">
            <v>1249935.1200000001</v>
          </cell>
        </row>
        <row r="357">
          <cell r="A357">
            <v>462153</v>
          </cell>
          <cell r="B357" t="str">
            <v>Spirits Indian</v>
          </cell>
          <cell r="C357">
            <v>536603.28</v>
          </cell>
          <cell r="D357">
            <v>64289.82</v>
          </cell>
          <cell r="E357">
            <v>0</v>
          </cell>
          <cell r="F357">
            <v>600893.1</v>
          </cell>
        </row>
        <row r="358">
          <cell r="A358">
            <v>462154</v>
          </cell>
          <cell r="B358" t="str">
            <v>Spirits Imported</v>
          </cell>
          <cell r="C358">
            <v>1394861.86</v>
          </cell>
          <cell r="D358">
            <v>167630.70000000001</v>
          </cell>
          <cell r="E358">
            <v>0</v>
          </cell>
          <cell r="F358">
            <v>1562492.56</v>
          </cell>
        </row>
        <row r="359">
          <cell r="A359">
            <v>462201</v>
          </cell>
          <cell r="B359" t="str">
            <v>Smokes</v>
          </cell>
          <cell r="C359">
            <v>226420.65</v>
          </cell>
          <cell r="D359">
            <v>39527.230000000003</v>
          </cell>
          <cell r="E359">
            <v>0</v>
          </cell>
          <cell r="F359">
            <v>265947.88</v>
          </cell>
        </row>
        <row r="360">
          <cell r="A360">
            <v>462251</v>
          </cell>
          <cell r="B360" t="str">
            <v>Cost of Goods Sold</v>
          </cell>
          <cell r="C360">
            <v>76580.59</v>
          </cell>
          <cell r="D360">
            <v>21582.91</v>
          </cell>
          <cell r="E360">
            <v>0</v>
          </cell>
          <cell r="F360">
            <v>98163.5</v>
          </cell>
        </row>
        <row r="361">
          <cell r="A361">
            <v>462252</v>
          </cell>
          <cell r="B361" t="str">
            <v>Cost Variance</v>
          </cell>
          <cell r="C361">
            <v>1739.85</v>
          </cell>
          <cell r="D361">
            <v>1970</v>
          </cell>
          <cell r="E361">
            <v>180</v>
          </cell>
          <cell r="F361">
            <v>3529.85</v>
          </cell>
        </row>
        <row r="362">
          <cell r="A362">
            <v>462253</v>
          </cell>
          <cell r="B362" t="str">
            <v>Purchase Order Price Variance</v>
          </cell>
          <cell r="C362">
            <v>113.96</v>
          </cell>
          <cell r="D362">
            <v>1817</v>
          </cell>
          <cell r="E362">
            <v>25184.44</v>
          </cell>
          <cell r="F362">
            <v>-23253.48</v>
          </cell>
        </row>
        <row r="363">
          <cell r="A363">
            <v>462254</v>
          </cell>
          <cell r="B363" t="str">
            <v>Invoice Price Variance</v>
          </cell>
          <cell r="C363">
            <v>-196896.85</v>
          </cell>
          <cell r="D363">
            <v>37100.339999999997</v>
          </cell>
          <cell r="E363">
            <v>68999.789999999994</v>
          </cell>
          <cell r="F363">
            <v>-228796.3</v>
          </cell>
        </row>
        <row r="364">
          <cell r="A364">
            <v>462451</v>
          </cell>
          <cell r="B364" t="str">
            <v>Linen - Rooms</v>
          </cell>
          <cell r="C364">
            <v>1124906.97</v>
          </cell>
          <cell r="D364">
            <v>206764.96</v>
          </cell>
          <cell r="E364">
            <v>0</v>
          </cell>
          <cell r="F364">
            <v>1331671.93</v>
          </cell>
        </row>
        <row r="365">
          <cell r="A365">
            <v>462452</v>
          </cell>
          <cell r="B365" t="str">
            <v>Linen - F and B</v>
          </cell>
          <cell r="C365">
            <v>36816.339999999997</v>
          </cell>
          <cell r="D365">
            <v>192880.93</v>
          </cell>
          <cell r="E365">
            <v>0</v>
          </cell>
          <cell r="F365">
            <v>229697.27</v>
          </cell>
        </row>
        <row r="366">
          <cell r="A366">
            <v>462453</v>
          </cell>
          <cell r="B366" t="str">
            <v>Linen - Others</v>
          </cell>
          <cell r="C366">
            <v>4385</v>
          </cell>
          <cell r="D366">
            <v>0</v>
          </cell>
          <cell r="E366">
            <v>0</v>
          </cell>
          <cell r="F366">
            <v>4385</v>
          </cell>
        </row>
        <row r="367">
          <cell r="A367">
            <v>462501</v>
          </cell>
          <cell r="B367" t="str">
            <v>Guest Room Supplies/Household Supplies</v>
          </cell>
          <cell r="C367">
            <v>2286101.34</v>
          </cell>
          <cell r="D367">
            <v>373195.71</v>
          </cell>
          <cell r="E367">
            <v>33732</v>
          </cell>
          <cell r="F367">
            <v>2625565.0499999998</v>
          </cell>
        </row>
        <row r="368">
          <cell r="A368">
            <v>462502</v>
          </cell>
          <cell r="B368" t="str">
            <v>Guest Stationery Supplies</v>
          </cell>
          <cell r="C368">
            <v>354649.25</v>
          </cell>
          <cell r="D368">
            <v>45641.66</v>
          </cell>
          <cell r="E368">
            <v>12695</v>
          </cell>
          <cell r="F368">
            <v>387595.91</v>
          </cell>
        </row>
        <row r="369">
          <cell r="A369">
            <v>462503</v>
          </cell>
          <cell r="B369" t="str">
            <v>Cleaning Supplies</v>
          </cell>
          <cell r="C369">
            <v>844546.61</v>
          </cell>
          <cell r="D369">
            <v>244632.06</v>
          </cell>
          <cell r="E369">
            <v>43588</v>
          </cell>
          <cell r="F369">
            <v>1045590.67</v>
          </cell>
        </row>
        <row r="370">
          <cell r="A370">
            <v>462504</v>
          </cell>
          <cell r="B370" t="str">
            <v>Bedding, Mattresses, Pillows Supplies</v>
          </cell>
          <cell r="C370">
            <v>27829</v>
          </cell>
          <cell r="D370">
            <v>26897</v>
          </cell>
          <cell r="E370">
            <v>0</v>
          </cell>
          <cell r="F370">
            <v>54726</v>
          </cell>
        </row>
        <row r="371">
          <cell r="A371">
            <v>462505</v>
          </cell>
          <cell r="B371" t="str">
            <v>Curtain Materials and Upholstery Suppli</v>
          </cell>
          <cell r="C371">
            <v>197366.5</v>
          </cell>
          <cell r="D371">
            <v>352492.04</v>
          </cell>
          <cell r="E371">
            <v>14636</v>
          </cell>
          <cell r="F371">
            <v>535222.54</v>
          </cell>
        </row>
        <row r="372">
          <cell r="A372">
            <v>462506</v>
          </cell>
          <cell r="B372" t="str">
            <v>Carpet Supplies</v>
          </cell>
          <cell r="C372">
            <v>0</v>
          </cell>
          <cell r="D372">
            <v>117228.32</v>
          </cell>
          <cell r="E372">
            <v>0</v>
          </cell>
          <cell r="F372">
            <v>117228.32</v>
          </cell>
        </row>
        <row r="373">
          <cell r="A373">
            <v>462551</v>
          </cell>
          <cell r="B373" t="str">
            <v>Chinaware  and  Crockery</v>
          </cell>
          <cell r="C373">
            <v>499823.78</v>
          </cell>
          <cell r="D373">
            <v>231396.17</v>
          </cell>
          <cell r="E373">
            <v>0</v>
          </cell>
          <cell r="F373">
            <v>731219.95</v>
          </cell>
        </row>
        <row r="374">
          <cell r="A374">
            <v>462552</v>
          </cell>
          <cell r="B374" t="str">
            <v>Cutlery</v>
          </cell>
          <cell r="C374">
            <v>-20410.84</v>
          </cell>
          <cell r="D374">
            <v>128516.47</v>
          </cell>
          <cell r="E374">
            <v>0</v>
          </cell>
          <cell r="F374">
            <v>108105.63</v>
          </cell>
        </row>
        <row r="375">
          <cell r="A375">
            <v>462553</v>
          </cell>
          <cell r="B375" t="str">
            <v>Tableware, Silverware  and  Hollowware</v>
          </cell>
          <cell r="C375">
            <v>-153189.31</v>
          </cell>
          <cell r="D375">
            <v>207476.58</v>
          </cell>
          <cell r="E375">
            <v>0</v>
          </cell>
          <cell r="F375">
            <v>54287.27</v>
          </cell>
        </row>
        <row r="376">
          <cell r="A376">
            <v>462554</v>
          </cell>
          <cell r="B376" t="str">
            <v>Glassware</v>
          </cell>
          <cell r="C376">
            <v>206999</v>
          </cell>
          <cell r="D376">
            <v>177793.56</v>
          </cell>
          <cell r="E376">
            <v>0</v>
          </cell>
          <cell r="F376">
            <v>384792.56</v>
          </cell>
        </row>
        <row r="377">
          <cell r="A377">
            <v>462555</v>
          </cell>
          <cell r="B377" t="str">
            <v>Catering Supplies</v>
          </cell>
          <cell r="C377">
            <v>1029297.69</v>
          </cell>
          <cell r="D377">
            <v>842123.5</v>
          </cell>
          <cell r="E377">
            <v>4996.3599999999997</v>
          </cell>
          <cell r="F377">
            <v>1866424.83</v>
          </cell>
        </row>
        <row r="378">
          <cell r="A378">
            <v>462556</v>
          </cell>
          <cell r="B378" t="str">
            <v>Kitchen Requisites</v>
          </cell>
          <cell r="C378">
            <v>668788.43000000005</v>
          </cell>
          <cell r="D378">
            <v>288794.13</v>
          </cell>
          <cell r="E378">
            <v>0</v>
          </cell>
          <cell r="F378">
            <v>957582.56</v>
          </cell>
        </row>
        <row r="379">
          <cell r="A379">
            <v>462557</v>
          </cell>
          <cell r="B379" t="str">
            <v>Packing Material - F and B</v>
          </cell>
          <cell r="C379">
            <v>189098.65</v>
          </cell>
          <cell r="D379">
            <v>234452.84</v>
          </cell>
          <cell r="E379">
            <v>0</v>
          </cell>
          <cell r="F379">
            <v>423551.49</v>
          </cell>
        </row>
        <row r="380">
          <cell r="A380">
            <v>462601</v>
          </cell>
          <cell r="B380" t="str">
            <v>Other Supplies - General</v>
          </cell>
          <cell r="C380">
            <v>42920</v>
          </cell>
          <cell r="D380">
            <v>0</v>
          </cell>
          <cell r="E380">
            <v>0</v>
          </cell>
          <cell r="F380">
            <v>42920</v>
          </cell>
        </row>
        <row r="381">
          <cell r="A381">
            <v>462602</v>
          </cell>
          <cell r="B381" t="str">
            <v>Health Club / Wellness Centre Supplies</v>
          </cell>
          <cell r="C381">
            <v>0</v>
          </cell>
          <cell r="D381">
            <v>5281.8</v>
          </cell>
          <cell r="E381">
            <v>0</v>
          </cell>
          <cell r="F381">
            <v>5281.8</v>
          </cell>
        </row>
        <row r="382">
          <cell r="A382">
            <v>462604</v>
          </cell>
          <cell r="B382" t="str">
            <v>Microbiology Lab Supplies</v>
          </cell>
          <cell r="C382">
            <v>675</v>
          </cell>
          <cell r="D382">
            <v>0</v>
          </cell>
          <cell r="E382">
            <v>0</v>
          </cell>
          <cell r="F382">
            <v>675</v>
          </cell>
        </row>
        <row r="383">
          <cell r="A383">
            <v>462651</v>
          </cell>
          <cell r="B383" t="str">
            <v>Fuel, Power, Light, etc - General</v>
          </cell>
          <cell r="C383">
            <v>367949.82</v>
          </cell>
          <cell r="D383">
            <v>36738</v>
          </cell>
          <cell r="E383">
            <v>0</v>
          </cell>
          <cell r="F383">
            <v>404687.82</v>
          </cell>
        </row>
        <row r="384">
          <cell r="A384">
            <v>462652</v>
          </cell>
          <cell r="B384" t="str">
            <v>Electricity Charges - Hotel and Guest F</v>
          </cell>
          <cell r="C384">
            <v>25195105</v>
          </cell>
          <cell r="D384">
            <v>6921569</v>
          </cell>
          <cell r="E384">
            <v>0</v>
          </cell>
          <cell r="F384">
            <v>32116674</v>
          </cell>
        </row>
        <row r="385">
          <cell r="A385">
            <v>462653</v>
          </cell>
          <cell r="B385" t="str">
            <v>Electricity - Shop Recovery</v>
          </cell>
          <cell r="C385">
            <v>-58751</v>
          </cell>
          <cell r="D385">
            <v>0</v>
          </cell>
          <cell r="E385">
            <v>0</v>
          </cell>
          <cell r="F385">
            <v>-58751</v>
          </cell>
        </row>
        <row r="386">
          <cell r="A386">
            <v>462655</v>
          </cell>
          <cell r="B386" t="str">
            <v>Cooking Gas</v>
          </cell>
          <cell r="C386">
            <v>1475974.55</v>
          </cell>
          <cell r="D386">
            <v>846696.56</v>
          </cell>
          <cell r="E386">
            <v>0</v>
          </cell>
          <cell r="F386">
            <v>2322671.11</v>
          </cell>
        </row>
        <row r="387">
          <cell r="A387">
            <v>462656</v>
          </cell>
          <cell r="B387" t="str">
            <v>Natural Gas</v>
          </cell>
          <cell r="C387">
            <v>701</v>
          </cell>
          <cell r="D387">
            <v>0</v>
          </cell>
          <cell r="E387">
            <v>0</v>
          </cell>
          <cell r="F387">
            <v>701</v>
          </cell>
        </row>
        <row r="388">
          <cell r="A388">
            <v>462661</v>
          </cell>
          <cell r="B388" t="str">
            <v>Water Charges</v>
          </cell>
          <cell r="C388">
            <v>2828553</v>
          </cell>
          <cell r="D388">
            <v>1759114</v>
          </cell>
          <cell r="E388">
            <v>0</v>
          </cell>
          <cell r="F388">
            <v>4587667</v>
          </cell>
        </row>
        <row r="389">
          <cell r="A389">
            <v>462751</v>
          </cell>
          <cell r="B389" t="str">
            <v>Repairs - Hotel Building - General</v>
          </cell>
          <cell r="C389">
            <v>24368.85</v>
          </cell>
          <cell r="D389">
            <v>488</v>
          </cell>
          <cell r="E389">
            <v>0</v>
          </cell>
          <cell r="F389">
            <v>24856.85</v>
          </cell>
        </row>
        <row r="390">
          <cell r="A390">
            <v>462754</v>
          </cell>
          <cell r="B390" t="str">
            <v>Repairs - Civil Works</v>
          </cell>
          <cell r="C390">
            <v>306282</v>
          </cell>
          <cell r="D390">
            <v>25884.880000000001</v>
          </cell>
          <cell r="E390">
            <v>7451</v>
          </cell>
          <cell r="F390">
            <v>324715.88</v>
          </cell>
        </row>
        <row r="391">
          <cell r="A391">
            <v>462755</v>
          </cell>
          <cell r="B391" t="str">
            <v>Repairs - Painting and Polishing</v>
          </cell>
          <cell r="C391">
            <v>237851.1</v>
          </cell>
          <cell r="D391">
            <v>32393</v>
          </cell>
          <cell r="E391">
            <v>6564</v>
          </cell>
          <cell r="F391">
            <v>263680.09999999998</v>
          </cell>
        </row>
        <row r="392">
          <cell r="A392">
            <v>462756</v>
          </cell>
          <cell r="B392" t="str">
            <v>Repairs - Pest Control</v>
          </cell>
          <cell r="C392">
            <v>223853</v>
          </cell>
          <cell r="D392">
            <v>176320</v>
          </cell>
          <cell r="E392">
            <v>0</v>
          </cell>
          <cell r="F392">
            <v>400173</v>
          </cell>
        </row>
        <row r="393">
          <cell r="A393">
            <v>462757</v>
          </cell>
          <cell r="B393" t="str">
            <v>Repairs - Swimming Pool</v>
          </cell>
          <cell r="C393">
            <v>0</v>
          </cell>
          <cell r="D393">
            <v>9000</v>
          </cell>
          <cell r="E393">
            <v>0</v>
          </cell>
          <cell r="F393">
            <v>9000</v>
          </cell>
        </row>
        <row r="394">
          <cell r="A394">
            <v>462759</v>
          </cell>
          <cell r="B394" t="str">
            <v>Repairs - Gardens and Landscapes</v>
          </cell>
          <cell r="C394">
            <v>346500</v>
          </cell>
          <cell r="D394">
            <v>99000</v>
          </cell>
          <cell r="E394">
            <v>0</v>
          </cell>
          <cell r="F394">
            <v>445500</v>
          </cell>
        </row>
        <row r="395">
          <cell r="A395">
            <v>462901</v>
          </cell>
          <cell r="B395" t="str">
            <v>Repairs - Machinery - General</v>
          </cell>
          <cell r="C395">
            <v>543093.68000000005</v>
          </cell>
          <cell r="D395">
            <v>325110.38</v>
          </cell>
          <cell r="E395">
            <v>3663</v>
          </cell>
          <cell r="F395">
            <v>864541.06</v>
          </cell>
        </row>
        <row r="396">
          <cell r="A396">
            <v>462902</v>
          </cell>
          <cell r="B396" t="str">
            <v>Repairs - Air Conditioning and Refriger</v>
          </cell>
          <cell r="C396">
            <v>573972.31000000006</v>
          </cell>
          <cell r="D396">
            <v>1292401.56</v>
          </cell>
          <cell r="E396">
            <v>17118</v>
          </cell>
          <cell r="F396">
            <v>1849255.87</v>
          </cell>
        </row>
        <row r="397">
          <cell r="A397">
            <v>462903</v>
          </cell>
          <cell r="B397" t="str">
            <v>Repairs - Elevators and Escalators</v>
          </cell>
          <cell r="C397">
            <v>16675.5</v>
          </cell>
          <cell r="D397">
            <v>0</v>
          </cell>
          <cell r="E397">
            <v>0</v>
          </cell>
          <cell r="F397">
            <v>16675.5</v>
          </cell>
        </row>
        <row r="398">
          <cell r="A398">
            <v>462904</v>
          </cell>
          <cell r="B398" t="str">
            <v>Repairs - Generators</v>
          </cell>
          <cell r="C398">
            <v>63906.879999999997</v>
          </cell>
          <cell r="D398">
            <v>0</v>
          </cell>
          <cell r="E398">
            <v>3306</v>
          </cell>
          <cell r="F398">
            <v>60600.88</v>
          </cell>
        </row>
        <row r="399">
          <cell r="A399">
            <v>462906</v>
          </cell>
          <cell r="B399" t="str">
            <v>Repairs - Kitchen Equipment</v>
          </cell>
          <cell r="C399">
            <v>275615.51</v>
          </cell>
          <cell r="D399">
            <v>57484.56</v>
          </cell>
          <cell r="E399">
            <v>0</v>
          </cell>
          <cell r="F399">
            <v>333100.07</v>
          </cell>
        </row>
        <row r="400">
          <cell r="A400">
            <v>462908</v>
          </cell>
          <cell r="B400" t="str">
            <v>Repairs - Audio Video Equipment</v>
          </cell>
          <cell r="C400">
            <v>11050</v>
          </cell>
          <cell r="D400">
            <v>0</v>
          </cell>
          <cell r="E400">
            <v>0</v>
          </cell>
          <cell r="F400">
            <v>11050</v>
          </cell>
        </row>
        <row r="401">
          <cell r="A401">
            <v>462909</v>
          </cell>
          <cell r="B401" t="str">
            <v>Repairs - Telecommunication Equipment</v>
          </cell>
          <cell r="C401">
            <v>13884</v>
          </cell>
          <cell r="D401">
            <v>4988</v>
          </cell>
          <cell r="E401">
            <v>0</v>
          </cell>
          <cell r="F401">
            <v>18872</v>
          </cell>
        </row>
        <row r="402">
          <cell r="A402">
            <v>462910</v>
          </cell>
          <cell r="B402" t="str">
            <v>Repairs - Dataprocessing Equipment</v>
          </cell>
          <cell r="C402">
            <v>119322</v>
          </cell>
          <cell r="D402">
            <v>4000</v>
          </cell>
          <cell r="E402">
            <v>0</v>
          </cell>
          <cell r="F402">
            <v>123322</v>
          </cell>
        </row>
        <row r="403">
          <cell r="A403">
            <v>462911</v>
          </cell>
          <cell r="B403" t="str">
            <v>Repairs - Sanitary and Plumbing</v>
          </cell>
          <cell r="C403">
            <v>457408.39</v>
          </cell>
          <cell r="D403">
            <v>318423.05</v>
          </cell>
          <cell r="E403">
            <v>0</v>
          </cell>
          <cell r="F403">
            <v>775831.44</v>
          </cell>
        </row>
        <row r="404">
          <cell r="A404">
            <v>462912</v>
          </cell>
          <cell r="B404" t="str">
            <v>Repairs - Fire Fighting</v>
          </cell>
          <cell r="C404">
            <v>136326.81</v>
          </cell>
          <cell r="D404">
            <v>34492</v>
          </cell>
          <cell r="E404">
            <v>5632</v>
          </cell>
          <cell r="F404">
            <v>165186.81</v>
          </cell>
        </row>
        <row r="405">
          <cell r="A405">
            <v>462951</v>
          </cell>
          <cell r="B405" t="str">
            <v>Repairs - Machinery - AMC</v>
          </cell>
          <cell r="C405">
            <v>489286</v>
          </cell>
          <cell r="D405">
            <v>292100</v>
          </cell>
          <cell r="E405">
            <v>224934.25</v>
          </cell>
          <cell r="F405">
            <v>556451.75</v>
          </cell>
        </row>
        <row r="406">
          <cell r="A406">
            <v>462952</v>
          </cell>
          <cell r="B406" t="str">
            <v>Repairs - Telecommunication - AMC</v>
          </cell>
          <cell r="C406">
            <v>562250</v>
          </cell>
          <cell r="D406">
            <v>27887</v>
          </cell>
          <cell r="E406">
            <v>46556</v>
          </cell>
          <cell r="F406">
            <v>543581</v>
          </cell>
        </row>
        <row r="407">
          <cell r="A407">
            <v>462953</v>
          </cell>
          <cell r="B407" t="str">
            <v>Repairs - Elevators - AMC</v>
          </cell>
          <cell r="C407">
            <v>572759</v>
          </cell>
          <cell r="D407">
            <v>0</v>
          </cell>
          <cell r="E407">
            <v>143189.75</v>
          </cell>
          <cell r="F407">
            <v>429569.25</v>
          </cell>
        </row>
        <row r="408">
          <cell r="A408">
            <v>462954</v>
          </cell>
          <cell r="B408" t="str">
            <v>Repairs - Computer Hardware - AMC</v>
          </cell>
          <cell r="C408">
            <v>543464.43000000005</v>
          </cell>
          <cell r="D408">
            <v>143426</v>
          </cell>
          <cell r="E408">
            <v>329594.5</v>
          </cell>
          <cell r="F408">
            <v>357295.93</v>
          </cell>
        </row>
        <row r="409">
          <cell r="A409">
            <v>462955</v>
          </cell>
          <cell r="B409" t="str">
            <v>Repairs - Computer Software - AMC</v>
          </cell>
          <cell r="C409">
            <v>495108.41</v>
          </cell>
          <cell r="D409">
            <v>0</v>
          </cell>
          <cell r="E409">
            <v>27445</v>
          </cell>
          <cell r="F409">
            <v>467663.41</v>
          </cell>
        </row>
        <row r="410">
          <cell r="A410">
            <v>463051</v>
          </cell>
          <cell r="B410" t="str">
            <v>Repairs - Hotel Vehicles</v>
          </cell>
          <cell r="C410">
            <v>24025</v>
          </cell>
          <cell r="D410">
            <v>17168</v>
          </cell>
          <cell r="E410">
            <v>0</v>
          </cell>
          <cell r="F410">
            <v>41193</v>
          </cell>
        </row>
        <row r="411">
          <cell r="A411">
            <v>463052</v>
          </cell>
          <cell r="B411" t="str">
            <v>Repairs - Executive Vehicles</v>
          </cell>
          <cell r="C411">
            <v>5568</v>
          </cell>
          <cell r="D411">
            <v>0</v>
          </cell>
          <cell r="E411">
            <v>0</v>
          </cell>
          <cell r="F411">
            <v>5568</v>
          </cell>
        </row>
        <row r="412">
          <cell r="A412">
            <v>463101</v>
          </cell>
          <cell r="B412" t="str">
            <v>Repairs - Hotel Furniture</v>
          </cell>
          <cell r="C412">
            <v>580106.52</v>
          </cell>
          <cell r="D412">
            <v>832705.42</v>
          </cell>
          <cell r="E412">
            <v>4955</v>
          </cell>
          <cell r="F412">
            <v>1407856.94</v>
          </cell>
        </row>
        <row r="413">
          <cell r="A413">
            <v>463103</v>
          </cell>
          <cell r="B413" t="str">
            <v>Repairs - Residential Furniture</v>
          </cell>
          <cell r="C413">
            <v>0</v>
          </cell>
          <cell r="D413">
            <v>3602</v>
          </cell>
          <cell r="E413">
            <v>0</v>
          </cell>
          <cell r="F413">
            <v>3602</v>
          </cell>
        </row>
        <row r="414">
          <cell r="A414">
            <v>463104</v>
          </cell>
          <cell r="B414" t="str">
            <v>Repairs - Curtains and Upholstery</v>
          </cell>
          <cell r="C414">
            <v>1782</v>
          </cell>
          <cell r="D414">
            <v>0</v>
          </cell>
          <cell r="E414">
            <v>0</v>
          </cell>
          <cell r="F414">
            <v>1782</v>
          </cell>
        </row>
        <row r="415">
          <cell r="A415">
            <v>463105</v>
          </cell>
          <cell r="B415" t="str">
            <v>Repairs - Carpet</v>
          </cell>
          <cell r="C415">
            <v>46681.5</v>
          </cell>
          <cell r="D415">
            <v>0</v>
          </cell>
          <cell r="E415">
            <v>0</v>
          </cell>
          <cell r="F415">
            <v>46681.5</v>
          </cell>
        </row>
        <row r="416">
          <cell r="A416">
            <v>463106</v>
          </cell>
          <cell r="B416" t="str">
            <v>Repairs - Decorations</v>
          </cell>
          <cell r="C416">
            <v>31230.87</v>
          </cell>
          <cell r="D416">
            <v>0</v>
          </cell>
          <cell r="E416">
            <v>0</v>
          </cell>
          <cell r="F416">
            <v>31230.87</v>
          </cell>
        </row>
        <row r="417">
          <cell r="A417">
            <v>463151</v>
          </cell>
          <cell r="B417" t="str">
            <v>Repairs - Office Equipment</v>
          </cell>
          <cell r="C417">
            <v>6000</v>
          </cell>
          <cell r="D417">
            <v>5127</v>
          </cell>
          <cell r="E417">
            <v>1377</v>
          </cell>
          <cell r="F417">
            <v>9750</v>
          </cell>
        </row>
        <row r="418">
          <cell r="A418">
            <v>463152</v>
          </cell>
          <cell r="B418" t="str">
            <v>Repairs - Office Equipment - AMC</v>
          </cell>
          <cell r="C418">
            <v>149732</v>
          </cell>
          <cell r="D418">
            <v>0</v>
          </cell>
          <cell r="E418">
            <v>33683</v>
          </cell>
          <cell r="F418">
            <v>116049</v>
          </cell>
        </row>
        <row r="419">
          <cell r="A419">
            <v>463201</v>
          </cell>
          <cell r="B419" t="str">
            <v>Repairs - Electrical supplies</v>
          </cell>
          <cell r="C419">
            <v>1042133.94</v>
          </cell>
          <cell r="D419">
            <v>203158.89</v>
          </cell>
          <cell r="E419">
            <v>7700</v>
          </cell>
          <cell r="F419">
            <v>1237592.83</v>
          </cell>
        </row>
        <row r="420">
          <cell r="A420">
            <v>463202</v>
          </cell>
          <cell r="B420" t="str">
            <v>Repairs - Electroplating, Tinning, Chro</v>
          </cell>
          <cell r="C420">
            <v>218534</v>
          </cell>
          <cell r="D420">
            <v>92161</v>
          </cell>
          <cell r="E420">
            <v>11080</v>
          </cell>
          <cell r="F420">
            <v>299615</v>
          </cell>
        </row>
        <row r="421">
          <cell r="A421">
            <v>463203</v>
          </cell>
          <cell r="B421" t="str">
            <v>Repairs - Electrical Equipment - AMC</v>
          </cell>
          <cell r="C421">
            <v>323219</v>
          </cell>
          <cell r="D421">
            <v>122322</v>
          </cell>
          <cell r="E421">
            <v>18397</v>
          </cell>
          <cell r="F421">
            <v>427144</v>
          </cell>
        </row>
        <row r="422">
          <cell r="A422">
            <v>463301</v>
          </cell>
          <cell r="B422" t="str">
            <v>Laundry Supplies</v>
          </cell>
          <cell r="C422">
            <v>190632</v>
          </cell>
          <cell r="D422">
            <v>94335</v>
          </cell>
          <cell r="E422">
            <v>0</v>
          </cell>
          <cell r="F422">
            <v>284967</v>
          </cell>
        </row>
        <row r="423">
          <cell r="A423">
            <v>463302</v>
          </cell>
          <cell r="B423" t="str">
            <v>Laundry Chemicals</v>
          </cell>
          <cell r="C423">
            <v>19979.75</v>
          </cell>
          <cell r="D423">
            <v>3165</v>
          </cell>
          <cell r="E423">
            <v>0</v>
          </cell>
          <cell r="F423">
            <v>23144.75</v>
          </cell>
        </row>
        <row r="424">
          <cell r="A424">
            <v>463303</v>
          </cell>
          <cell r="B424" t="str">
            <v>Linen Washing</v>
          </cell>
          <cell r="C424">
            <v>3340697</v>
          </cell>
          <cell r="D424">
            <v>1233544</v>
          </cell>
          <cell r="E424">
            <v>0</v>
          </cell>
          <cell r="F424">
            <v>4574241</v>
          </cell>
        </row>
        <row r="425">
          <cell r="A425">
            <v>463304</v>
          </cell>
          <cell r="B425" t="str">
            <v>Uniform Washing</v>
          </cell>
          <cell r="C425">
            <v>1759315.4</v>
          </cell>
          <cell r="D425">
            <v>781001</v>
          </cell>
          <cell r="E425">
            <v>1668</v>
          </cell>
          <cell r="F425">
            <v>2538648.4</v>
          </cell>
        </row>
        <row r="426">
          <cell r="A426">
            <v>463306</v>
          </cell>
          <cell r="B426" t="str">
            <v>Guest Laundry Washing Expenses</v>
          </cell>
          <cell r="C426">
            <v>1716062</v>
          </cell>
          <cell r="D426">
            <v>1167434.3500000001</v>
          </cell>
          <cell r="E426">
            <v>0</v>
          </cell>
          <cell r="F426">
            <v>2883496.35</v>
          </cell>
        </row>
        <row r="427">
          <cell r="A427">
            <v>463351</v>
          </cell>
          <cell r="B427" t="str">
            <v>Airport Transfer - Hire Charges</v>
          </cell>
          <cell r="C427">
            <v>282907</v>
          </cell>
          <cell r="D427">
            <v>368230</v>
          </cell>
          <cell r="E427">
            <v>0</v>
          </cell>
          <cell r="F427">
            <v>651137</v>
          </cell>
        </row>
        <row r="428">
          <cell r="A428">
            <v>463405</v>
          </cell>
          <cell r="B428" t="str">
            <v>Ground Rent</v>
          </cell>
          <cell r="C428">
            <v>314187</v>
          </cell>
          <cell r="D428">
            <v>104729</v>
          </cell>
          <cell r="E428">
            <v>104729</v>
          </cell>
          <cell r="F428">
            <v>314187</v>
          </cell>
        </row>
        <row r="429">
          <cell r="A429">
            <v>463552</v>
          </cell>
          <cell r="B429" t="str">
            <v>Property / Building / House Tax</v>
          </cell>
          <cell r="C429">
            <v>1793470</v>
          </cell>
          <cell r="D429">
            <v>0</v>
          </cell>
          <cell r="E429">
            <v>448367.5</v>
          </cell>
          <cell r="F429">
            <v>1345102.5</v>
          </cell>
        </row>
        <row r="430">
          <cell r="A430">
            <v>463555</v>
          </cell>
          <cell r="B430" t="str">
            <v>Licence Fee - Import Applications</v>
          </cell>
          <cell r="C430">
            <v>221</v>
          </cell>
          <cell r="D430">
            <v>0</v>
          </cell>
          <cell r="E430">
            <v>0</v>
          </cell>
          <cell r="F430">
            <v>221</v>
          </cell>
        </row>
        <row r="431">
          <cell r="A431">
            <v>463556</v>
          </cell>
          <cell r="B431" t="str">
            <v>Licence Fee - Others</v>
          </cell>
          <cell r="C431">
            <v>2858992</v>
          </cell>
          <cell r="D431">
            <v>811488</v>
          </cell>
          <cell r="E431">
            <v>1355354</v>
          </cell>
          <cell r="F431">
            <v>2315126</v>
          </cell>
        </row>
        <row r="432">
          <cell r="A432">
            <v>463557</v>
          </cell>
          <cell r="B432" t="str">
            <v>Revenue Stamps</v>
          </cell>
          <cell r="C432">
            <v>1000</v>
          </cell>
          <cell r="D432">
            <v>500</v>
          </cell>
          <cell r="E432">
            <v>0</v>
          </cell>
          <cell r="F432">
            <v>1500</v>
          </cell>
        </row>
        <row r="433">
          <cell r="A433">
            <v>463601</v>
          </cell>
          <cell r="B433" t="str">
            <v>Indirect Taxes Absorbed - General</v>
          </cell>
          <cell r="C433">
            <v>80759.820000000007</v>
          </cell>
          <cell r="D433">
            <v>942</v>
          </cell>
          <cell r="E433">
            <v>15934</v>
          </cell>
          <cell r="F433">
            <v>65767.820000000007</v>
          </cell>
        </row>
        <row r="434">
          <cell r="A434">
            <v>463602</v>
          </cell>
          <cell r="B434" t="str">
            <v>Excise Duties Expense</v>
          </cell>
          <cell r="C434">
            <v>88797</v>
          </cell>
          <cell r="D434">
            <v>43808</v>
          </cell>
          <cell r="E434">
            <v>0</v>
          </cell>
          <cell r="F434">
            <v>132605</v>
          </cell>
        </row>
        <row r="435">
          <cell r="A435">
            <v>463603</v>
          </cell>
          <cell r="B435" t="str">
            <v>Entertainment Tax Expense</v>
          </cell>
          <cell r="C435">
            <v>105120</v>
          </cell>
          <cell r="D435">
            <v>54654</v>
          </cell>
          <cell r="E435">
            <v>27327</v>
          </cell>
          <cell r="F435">
            <v>132447</v>
          </cell>
        </row>
        <row r="436">
          <cell r="A436">
            <v>463701</v>
          </cell>
          <cell r="B436" t="str">
            <v>Insurance - General</v>
          </cell>
          <cell r="C436">
            <v>17196</v>
          </cell>
          <cell r="D436">
            <v>0</v>
          </cell>
          <cell r="E436">
            <v>0</v>
          </cell>
          <cell r="F436">
            <v>17196</v>
          </cell>
        </row>
        <row r="437">
          <cell r="A437">
            <v>463702</v>
          </cell>
          <cell r="B437" t="str">
            <v>Insurance - Fire</v>
          </cell>
          <cell r="C437">
            <v>1947923</v>
          </cell>
          <cell r="D437">
            <v>0</v>
          </cell>
          <cell r="E437">
            <v>486980.75</v>
          </cell>
          <cell r="F437">
            <v>1460942.25</v>
          </cell>
        </row>
        <row r="438">
          <cell r="A438">
            <v>463703</v>
          </cell>
          <cell r="B438" t="str">
            <v>Insurance - Loss of Profit</v>
          </cell>
          <cell r="C438">
            <v>1193466</v>
          </cell>
          <cell r="D438">
            <v>0</v>
          </cell>
          <cell r="E438">
            <v>298366.5</v>
          </cell>
          <cell r="F438">
            <v>895099.5</v>
          </cell>
        </row>
        <row r="439">
          <cell r="A439">
            <v>463705</v>
          </cell>
          <cell r="B439" t="str">
            <v>Insurance - Machinery Breakdown</v>
          </cell>
          <cell r="C439">
            <v>877028</v>
          </cell>
          <cell r="D439">
            <v>0</v>
          </cell>
          <cell r="E439">
            <v>219257</v>
          </cell>
          <cell r="F439">
            <v>657771</v>
          </cell>
        </row>
        <row r="440">
          <cell r="A440">
            <v>463708</v>
          </cell>
          <cell r="B440" t="str">
            <v>Insurance - Motor Vehicles</v>
          </cell>
          <cell r="C440">
            <v>313821</v>
          </cell>
          <cell r="D440">
            <v>481098</v>
          </cell>
          <cell r="E440">
            <v>454370</v>
          </cell>
          <cell r="F440">
            <v>340549</v>
          </cell>
        </row>
        <row r="441">
          <cell r="A441">
            <v>463804</v>
          </cell>
          <cell r="B441" t="str">
            <v>Operating Fee Expense - Associate</v>
          </cell>
          <cell r="C441">
            <v>15196307</v>
          </cell>
          <cell r="D441">
            <v>10544000</v>
          </cell>
          <cell r="E441">
            <v>1709750</v>
          </cell>
          <cell r="F441">
            <v>24030557</v>
          </cell>
        </row>
        <row r="442">
          <cell r="A442">
            <v>463951</v>
          </cell>
          <cell r="B442" t="str">
            <v>Licence Fee Expense - Others</v>
          </cell>
          <cell r="C442">
            <v>67770</v>
          </cell>
          <cell r="D442">
            <v>73708</v>
          </cell>
          <cell r="E442">
            <v>0</v>
          </cell>
          <cell r="F442">
            <v>141478</v>
          </cell>
        </row>
        <row r="443">
          <cell r="A443">
            <v>464001</v>
          </cell>
          <cell r="B443" t="str">
            <v>Advt - General - National</v>
          </cell>
          <cell r="C443">
            <v>5048146.5199999996</v>
          </cell>
          <cell r="D443">
            <v>3667952.76</v>
          </cell>
          <cell r="E443">
            <v>0</v>
          </cell>
          <cell r="F443">
            <v>8716099.2799999993</v>
          </cell>
        </row>
        <row r="444">
          <cell r="A444">
            <v>464003</v>
          </cell>
          <cell r="B444" t="str">
            <v>Advt - Newspapers and Magazines - Natio</v>
          </cell>
          <cell r="C444">
            <v>29117</v>
          </cell>
          <cell r="D444">
            <v>33333</v>
          </cell>
          <cell r="E444">
            <v>1339</v>
          </cell>
          <cell r="F444">
            <v>61111</v>
          </cell>
        </row>
        <row r="445">
          <cell r="A445">
            <v>464005</v>
          </cell>
          <cell r="B445" t="str">
            <v>Advt - TV / Films - National</v>
          </cell>
          <cell r="C445">
            <v>13775</v>
          </cell>
          <cell r="D445">
            <v>0</v>
          </cell>
          <cell r="E445">
            <v>0</v>
          </cell>
          <cell r="F445">
            <v>13775</v>
          </cell>
        </row>
        <row r="446">
          <cell r="A446">
            <v>464008</v>
          </cell>
          <cell r="B446" t="str">
            <v>Advt - Web / Internet</v>
          </cell>
          <cell r="C446">
            <v>1000</v>
          </cell>
          <cell r="D446">
            <v>0</v>
          </cell>
          <cell r="E446">
            <v>1000</v>
          </cell>
          <cell r="F446">
            <v>0</v>
          </cell>
        </row>
        <row r="447">
          <cell r="A447">
            <v>464009</v>
          </cell>
          <cell r="B447" t="str">
            <v>Advt - Mailers</v>
          </cell>
          <cell r="C447">
            <v>2000</v>
          </cell>
          <cell r="D447">
            <v>0</v>
          </cell>
          <cell r="E447">
            <v>0</v>
          </cell>
          <cell r="F447">
            <v>2000</v>
          </cell>
        </row>
        <row r="448">
          <cell r="A448">
            <v>464010</v>
          </cell>
          <cell r="B448" t="str">
            <v>Event Sponsorship - National</v>
          </cell>
          <cell r="C448">
            <v>0</v>
          </cell>
          <cell r="D448">
            <v>0</v>
          </cell>
          <cell r="E448">
            <v>204</v>
          </cell>
          <cell r="F448">
            <v>-204</v>
          </cell>
        </row>
        <row r="449">
          <cell r="A449">
            <v>464051</v>
          </cell>
          <cell r="B449" t="str">
            <v>Advt - General - International</v>
          </cell>
          <cell r="C449">
            <v>1971733</v>
          </cell>
          <cell r="D449">
            <v>1021300.24</v>
          </cell>
          <cell r="E449">
            <v>0</v>
          </cell>
          <cell r="F449">
            <v>2993033.24</v>
          </cell>
        </row>
        <row r="450">
          <cell r="A450">
            <v>464101</v>
          </cell>
          <cell r="B450" t="str">
            <v>Advt - Processing of Brochures, Posters</v>
          </cell>
          <cell r="C450">
            <v>28000</v>
          </cell>
          <cell r="D450">
            <v>0</v>
          </cell>
          <cell r="E450">
            <v>0</v>
          </cell>
          <cell r="F450">
            <v>28000</v>
          </cell>
        </row>
        <row r="451">
          <cell r="A451">
            <v>464103</v>
          </cell>
          <cell r="B451" t="str">
            <v>Advt - Photography</v>
          </cell>
          <cell r="C451">
            <v>635</v>
          </cell>
          <cell r="D451">
            <v>0</v>
          </cell>
          <cell r="E451">
            <v>0</v>
          </cell>
          <cell r="F451">
            <v>635</v>
          </cell>
        </row>
        <row r="452">
          <cell r="A452">
            <v>464151</v>
          </cell>
          <cell r="B452" t="str">
            <v>Sales Office Expenses</v>
          </cell>
          <cell r="C452">
            <v>852</v>
          </cell>
          <cell r="D452">
            <v>0</v>
          </cell>
          <cell r="E452">
            <v>0</v>
          </cell>
          <cell r="F452">
            <v>852</v>
          </cell>
        </row>
        <row r="453">
          <cell r="A453">
            <v>464202</v>
          </cell>
          <cell r="B453" t="str">
            <v>Advt - Innercircle Reward Redemption</v>
          </cell>
          <cell r="C453">
            <v>0</v>
          </cell>
          <cell r="D453">
            <v>14796</v>
          </cell>
          <cell r="E453">
            <v>14796</v>
          </cell>
          <cell r="F453">
            <v>0</v>
          </cell>
        </row>
        <row r="454">
          <cell r="A454">
            <v>464204</v>
          </cell>
          <cell r="B454" t="str">
            <v>Advt - Taj Advantage Reward Redemption</v>
          </cell>
          <cell r="C454">
            <v>1553</v>
          </cell>
          <cell r="D454">
            <v>450000</v>
          </cell>
          <cell r="E454">
            <v>0</v>
          </cell>
          <cell r="F454">
            <v>451553</v>
          </cell>
        </row>
        <row r="455">
          <cell r="A455">
            <v>464301</v>
          </cell>
          <cell r="B455" t="str">
            <v>Advertising and Publicity - Corporate O</v>
          </cell>
          <cell r="C455">
            <v>0</v>
          </cell>
          <cell r="D455">
            <v>25064</v>
          </cell>
          <cell r="E455">
            <v>0</v>
          </cell>
          <cell r="F455">
            <v>25064</v>
          </cell>
        </row>
        <row r="456">
          <cell r="A456">
            <v>464351</v>
          </cell>
          <cell r="B456" t="str">
            <v>Printing and Stationery - Office</v>
          </cell>
          <cell r="C456">
            <v>954927</v>
          </cell>
          <cell r="D456">
            <v>1040525.8</v>
          </cell>
          <cell r="E456">
            <v>4362</v>
          </cell>
          <cell r="F456">
            <v>1991090.8</v>
          </cell>
        </row>
        <row r="457">
          <cell r="A457">
            <v>464352</v>
          </cell>
          <cell r="B457" t="str">
            <v>Computer Consumables</v>
          </cell>
          <cell r="C457">
            <v>445350.21</v>
          </cell>
          <cell r="D457">
            <v>255566.14</v>
          </cell>
          <cell r="E457">
            <v>0</v>
          </cell>
          <cell r="F457">
            <v>700916.35</v>
          </cell>
        </row>
        <row r="458">
          <cell r="A458">
            <v>464451</v>
          </cell>
          <cell r="B458" t="str">
            <v>Travel - Inland - Aircraft Charges</v>
          </cell>
          <cell r="C458">
            <v>515</v>
          </cell>
          <cell r="D458">
            <v>11841</v>
          </cell>
          <cell r="E458">
            <v>0</v>
          </cell>
          <cell r="F458">
            <v>12356</v>
          </cell>
        </row>
        <row r="459">
          <cell r="A459">
            <v>464452</v>
          </cell>
          <cell r="B459" t="str">
            <v>Travel - Inland - Airfare</v>
          </cell>
          <cell r="C459">
            <v>287874</v>
          </cell>
          <cell r="D459">
            <v>16163</v>
          </cell>
          <cell r="E459">
            <v>3752</v>
          </cell>
          <cell r="F459">
            <v>300285</v>
          </cell>
        </row>
        <row r="460">
          <cell r="A460">
            <v>464501</v>
          </cell>
          <cell r="B460" t="str">
            <v>Travel - Foreign - Airfare</v>
          </cell>
          <cell r="C460">
            <v>137549</v>
          </cell>
          <cell r="D460">
            <v>195569</v>
          </cell>
          <cell r="E460">
            <v>0</v>
          </cell>
          <cell r="F460">
            <v>333118</v>
          </cell>
        </row>
        <row r="461">
          <cell r="A461">
            <v>464502</v>
          </cell>
          <cell r="B461" t="str">
            <v>Travel - Foreign - Accomodation and Oth</v>
          </cell>
          <cell r="C461">
            <v>26981.4</v>
          </cell>
          <cell r="D461">
            <v>0</v>
          </cell>
          <cell r="E461">
            <v>0</v>
          </cell>
          <cell r="F461">
            <v>26981.4</v>
          </cell>
        </row>
        <row r="462">
          <cell r="A462">
            <v>464551</v>
          </cell>
          <cell r="B462" t="str">
            <v>Staff Transfer Expenses</v>
          </cell>
          <cell r="C462">
            <v>215707</v>
          </cell>
          <cell r="D462">
            <v>3718</v>
          </cell>
          <cell r="E462">
            <v>0</v>
          </cell>
          <cell r="F462">
            <v>219425</v>
          </cell>
        </row>
        <row r="463">
          <cell r="A463">
            <v>464602</v>
          </cell>
          <cell r="B463" t="str">
            <v>Out of Pocket Expenses - Consultants</v>
          </cell>
          <cell r="C463">
            <v>20858</v>
          </cell>
          <cell r="D463">
            <v>0</v>
          </cell>
          <cell r="E463">
            <v>0</v>
          </cell>
          <cell r="F463">
            <v>20858</v>
          </cell>
        </row>
        <row r="464">
          <cell r="A464">
            <v>465002</v>
          </cell>
          <cell r="B464" t="str">
            <v>Professional Fee - External Consultants</v>
          </cell>
          <cell r="C464">
            <v>439222</v>
          </cell>
          <cell r="D464">
            <v>371436.63</v>
          </cell>
          <cell r="E464">
            <v>32007</v>
          </cell>
          <cell r="F464">
            <v>778651.63</v>
          </cell>
        </row>
        <row r="465">
          <cell r="A465">
            <v>465051</v>
          </cell>
          <cell r="B465" t="str">
            <v>CRS/CIS Charges</v>
          </cell>
          <cell r="C465">
            <v>3325605</v>
          </cell>
          <cell r="D465">
            <v>1557560</v>
          </cell>
          <cell r="E465">
            <v>0</v>
          </cell>
          <cell r="F465">
            <v>4883165</v>
          </cell>
        </row>
        <row r="466">
          <cell r="A466">
            <v>465152</v>
          </cell>
          <cell r="B466" t="str">
            <v>Legal Expenses - Retainers</v>
          </cell>
          <cell r="C466">
            <v>180000</v>
          </cell>
          <cell r="D466">
            <v>0</v>
          </cell>
          <cell r="E466">
            <v>0</v>
          </cell>
          <cell r="F466">
            <v>180000</v>
          </cell>
        </row>
        <row r="467">
          <cell r="A467">
            <v>465155</v>
          </cell>
          <cell r="B467" t="str">
            <v>Legal Expenses - Court Fees, Stamps, et</v>
          </cell>
          <cell r="C467">
            <v>0</v>
          </cell>
          <cell r="D467">
            <v>480</v>
          </cell>
          <cell r="E467">
            <v>0</v>
          </cell>
          <cell r="F467">
            <v>480</v>
          </cell>
        </row>
        <row r="468">
          <cell r="A468">
            <v>465156</v>
          </cell>
          <cell r="B468" t="str">
            <v>Legal Expenses - Miscellaneous expenses</v>
          </cell>
          <cell r="C468">
            <v>64623</v>
          </cell>
          <cell r="D468">
            <v>0</v>
          </cell>
          <cell r="E468">
            <v>0</v>
          </cell>
          <cell r="F468">
            <v>64623</v>
          </cell>
        </row>
        <row r="469">
          <cell r="A469">
            <v>465301</v>
          </cell>
          <cell r="B469" t="str">
            <v>Telephone Charges - Administration</v>
          </cell>
          <cell r="C469">
            <v>78893.42</v>
          </cell>
          <cell r="D469">
            <v>225000</v>
          </cell>
          <cell r="E469">
            <v>3368</v>
          </cell>
          <cell r="F469">
            <v>300525.42</v>
          </cell>
        </row>
        <row r="470">
          <cell r="A470">
            <v>465304</v>
          </cell>
          <cell r="B470" t="str">
            <v>Cell Phone Charges - Administration</v>
          </cell>
          <cell r="C470">
            <v>222155.68</v>
          </cell>
          <cell r="D470">
            <v>27160</v>
          </cell>
          <cell r="E470">
            <v>2779</v>
          </cell>
          <cell r="F470">
            <v>246536.68</v>
          </cell>
        </row>
        <row r="471">
          <cell r="A471">
            <v>465351</v>
          </cell>
          <cell r="B471" t="str">
            <v>Telephone Charges - Guest</v>
          </cell>
          <cell r="C471">
            <v>1692399.93</v>
          </cell>
          <cell r="D471">
            <v>13549</v>
          </cell>
          <cell r="E471">
            <v>41191</v>
          </cell>
          <cell r="F471">
            <v>1664757.93</v>
          </cell>
        </row>
        <row r="472">
          <cell r="A472">
            <v>465352</v>
          </cell>
          <cell r="B472" t="str">
            <v>Cellular Phone Charges - Guest</v>
          </cell>
          <cell r="C472">
            <v>1262</v>
          </cell>
          <cell r="D472">
            <v>0</v>
          </cell>
          <cell r="E472">
            <v>0</v>
          </cell>
          <cell r="F472">
            <v>1262</v>
          </cell>
        </row>
        <row r="473">
          <cell r="A473">
            <v>465356</v>
          </cell>
          <cell r="B473" t="str">
            <v>Internet Charges - Guest</v>
          </cell>
          <cell r="C473">
            <v>1703752</v>
          </cell>
          <cell r="D473">
            <v>525490</v>
          </cell>
          <cell r="E473">
            <v>56157</v>
          </cell>
          <cell r="F473">
            <v>2173085</v>
          </cell>
        </row>
        <row r="474">
          <cell r="A474">
            <v>465401</v>
          </cell>
          <cell r="B474" t="str">
            <v>Commission - General</v>
          </cell>
          <cell r="C474">
            <v>-77651.25</v>
          </cell>
          <cell r="D474">
            <v>28</v>
          </cell>
          <cell r="E474">
            <v>0</v>
          </cell>
          <cell r="F474">
            <v>-77623.25</v>
          </cell>
        </row>
        <row r="475">
          <cell r="A475">
            <v>465402</v>
          </cell>
          <cell r="B475" t="str">
            <v>Commission to Travel Agents</v>
          </cell>
          <cell r="C475">
            <v>1392248.67</v>
          </cell>
          <cell r="D475">
            <v>802749.35</v>
          </cell>
          <cell r="E475">
            <v>4381.6000000000004</v>
          </cell>
          <cell r="F475">
            <v>2190616.42</v>
          </cell>
        </row>
        <row r="476">
          <cell r="A476">
            <v>465403</v>
          </cell>
          <cell r="B476" t="str">
            <v>Discount - Credit Cards</v>
          </cell>
          <cell r="C476">
            <v>4226679.63</v>
          </cell>
          <cell r="D476">
            <v>892989.52</v>
          </cell>
          <cell r="E476">
            <v>10106.799999999999</v>
          </cell>
          <cell r="F476">
            <v>5109562.3499999996</v>
          </cell>
        </row>
        <row r="477">
          <cell r="A477">
            <v>465451</v>
          </cell>
          <cell r="B477" t="str">
            <v>Postage</v>
          </cell>
          <cell r="C477">
            <v>31676</v>
          </cell>
          <cell r="D477">
            <v>0</v>
          </cell>
          <cell r="E477">
            <v>2480</v>
          </cell>
          <cell r="F477">
            <v>29196</v>
          </cell>
        </row>
        <row r="478">
          <cell r="A478">
            <v>465452</v>
          </cell>
          <cell r="B478" t="str">
            <v>Courier Charges</v>
          </cell>
          <cell r="C478">
            <v>47766.400000000001</v>
          </cell>
          <cell r="D478">
            <v>33804</v>
          </cell>
          <cell r="E478">
            <v>5063</v>
          </cell>
          <cell r="F478">
            <v>76507.399999999994</v>
          </cell>
        </row>
        <row r="479">
          <cell r="A479">
            <v>465501</v>
          </cell>
          <cell r="B479" t="str">
            <v>Vehicle Hire Charges - Staff</v>
          </cell>
          <cell r="C479">
            <v>454223</v>
          </cell>
          <cell r="D479">
            <v>241106</v>
          </cell>
          <cell r="E479">
            <v>0</v>
          </cell>
          <cell r="F479">
            <v>695329</v>
          </cell>
        </row>
        <row r="480">
          <cell r="A480">
            <v>465502</v>
          </cell>
          <cell r="B480" t="str">
            <v>Equipment Hire Charges - Office</v>
          </cell>
          <cell r="C480">
            <v>148596</v>
          </cell>
          <cell r="D480">
            <v>71190</v>
          </cell>
          <cell r="E480">
            <v>8000</v>
          </cell>
          <cell r="F480">
            <v>211786</v>
          </cell>
        </row>
        <row r="481">
          <cell r="A481">
            <v>465551</v>
          </cell>
          <cell r="B481" t="str">
            <v>Contribution and Subscription - Inland</v>
          </cell>
          <cell r="C481">
            <v>288727</v>
          </cell>
          <cell r="D481">
            <v>774012.31</v>
          </cell>
          <cell r="E481">
            <v>36817</v>
          </cell>
          <cell r="F481">
            <v>1025922.31</v>
          </cell>
        </row>
        <row r="482">
          <cell r="A482">
            <v>465553</v>
          </cell>
          <cell r="B482" t="str">
            <v>Trade Magazines  and  Books</v>
          </cell>
          <cell r="C482">
            <v>4542</v>
          </cell>
          <cell r="D482">
            <v>0</v>
          </cell>
          <cell r="E482">
            <v>0</v>
          </cell>
          <cell r="F482">
            <v>4542</v>
          </cell>
        </row>
        <row r="483">
          <cell r="A483">
            <v>465554</v>
          </cell>
          <cell r="B483" t="str">
            <v>Newspaper and Periodicals</v>
          </cell>
          <cell r="C483">
            <v>263399</v>
          </cell>
          <cell r="D483">
            <v>88983</v>
          </cell>
          <cell r="E483">
            <v>0</v>
          </cell>
          <cell r="F483">
            <v>352382</v>
          </cell>
        </row>
        <row r="484">
          <cell r="A484">
            <v>465555</v>
          </cell>
          <cell r="B484" t="str">
            <v>Channel Subscription fees</v>
          </cell>
          <cell r="C484">
            <v>96426</v>
          </cell>
          <cell r="D484">
            <v>1697035</v>
          </cell>
          <cell r="E484">
            <v>11900</v>
          </cell>
          <cell r="F484">
            <v>1781561</v>
          </cell>
        </row>
        <row r="485">
          <cell r="A485">
            <v>465601</v>
          </cell>
          <cell r="B485" t="str">
            <v>Conveyance - General</v>
          </cell>
          <cell r="C485">
            <v>303170</v>
          </cell>
          <cell r="D485">
            <v>55579</v>
          </cell>
          <cell r="E485">
            <v>0</v>
          </cell>
          <cell r="F485">
            <v>358749</v>
          </cell>
        </row>
        <row r="486">
          <cell r="A486">
            <v>465602</v>
          </cell>
          <cell r="B486" t="str">
            <v>Conveyance - Fuel Charges</v>
          </cell>
          <cell r="C486">
            <v>496096</v>
          </cell>
          <cell r="D486">
            <v>66987</v>
          </cell>
          <cell r="E486">
            <v>4131</v>
          </cell>
          <cell r="F486">
            <v>558952</v>
          </cell>
        </row>
        <row r="487">
          <cell r="A487">
            <v>465603</v>
          </cell>
          <cell r="B487" t="str">
            <v>Freight, Cartage and Porterage</v>
          </cell>
          <cell r="C487">
            <v>27373</v>
          </cell>
          <cell r="D487">
            <v>1440</v>
          </cell>
          <cell r="E487">
            <v>0</v>
          </cell>
          <cell r="F487">
            <v>28813</v>
          </cell>
        </row>
        <row r="488">
          <cell r="A488">
            <v>465653</v>
          </cell>
          <cell r="B488" t="str">
            <v>Commission - Coins</v>
          </cell>
          <cell r="C488">
            <v>35523</v>
          </cell>
          <cell r="D488">
            <v>5714</v>
          </cell>
          <cell r="E488">
            <v>0</v>
          </cell>
          <cell r="F488">
            <v>41237</v>
          </cell>
        </row>
        <row r="489">
          <cell r="A489">
            <v>465655</v>
          </cell>
          <cell r="B489" t="str">
            <v>Bank Charges</v>
          </cell>
          <cell r="C489">
            <v>131381.92000000001</v>
          </cell>
          <cell r="D489">
            <v>53901.65</v>
          </cell>
          <cell r="E489">
            <v>3592.61</v>
          </cell>
          <cell r="F489">
            <v>181690.96</v>
          </cell>
        </row>
        <row r="490">
          <cell r="A490">
            <v>465801</v>
          </cell>
          <cell r="B490" t="str">
            <v>Loans and Advances Written Off - Group</v>
          </cell>
          <cell r="C490">
            <v>-183.32</v>
          </cell>
          <cell r="D490">
            <v>0</v>
          </cell>
          <cell r="E490">
            <v>0</v>
          </cell>
          <cell r="F490">
            <v>-183.32</v>
          </cell>
        </row>
        <row r="491">
          <cell r="A491">
            <v>465804</v>
          </cell>
          <cell r="B491" t="str">
            <v>Other Balances W/Off and W/Back</v>
          </cell>
          <cell r="C491">
            <v>3743.25</v>
          </cell>
          <cell r="D491">
            <v>3317.04</v>
          </cell>
          <cell r="E491">
            <v>163</v>
          </cell>
          <cell r="F491">
            <v>6897.29</v>
          </cell>
        </row>
        <row r="492">
          <cell r="A492">
            <v>465805</v>
          </cell>
          <cell r="B492" t="str">
            <v>Stock written off/provided</v>
          </cell>
          <cell r="C492">
            <v>-92611.85</v>
          </cell>
          <cell r="D492">
            <v>10604.77</v>
          </cell>
          <cell r="E492">
            <v>20848.21</v>
          </cell>
          <cell r="F492">
            <v>-102855.29</v>
          </cell>
        </row>
        <row r="493">
          <cell r="A493">
            <v>465901</v>
          </cell>
          <cell r="B493" t="str">
            <v>Donations</v>
          </cell>
          <cell r="C493">
            <v>0</v>
          </cell>
          <cell r="D493">
            <v>100000</v>
          </cell>
          <cell r="E493">
            <v>0</v>
          </cell>
          <cell r="F493">
            <v>100000</v>
          </cell>
        </row>
        <row r="494">
          <cell r="A494">
            <v>466001</v>
          </cell>
          <cell r="B494" t="str">
            <v>Sundry Expenses</v>
          </cell>
          <cell r="C494">
            <v>560474.53</v>
          </cell>
          <cell r="D494">
            <v>495515.82</v>
          </cell>
          <cell r="E494">
            <v>277801.68</v>
          </cell>
          <cell r="F494">
            <v>778188.67</v>
          </cell>
        </row>
        <row r="495">
          <cell r="A495">
            <v>466002</v>
          </cell>
          <cell r="B495" t="str">
            <v>Flowers</v>
          </cell>
          <cell r="C495">
            <v>1391749</v>
          </cell>
          <cell r="D495">
            <v>615247</v>
          </cell>
          <cell r="E495">
            <v>0</v>
          </cell>
          <cell r="F495">
            <v>2006996</v>
          </cell>
        </row>
        <row r="496">
          <cell r="A496">
            <v>466003</v>
          </cell>
          <cell r="B496" t="str">
            <v>Guest Damages</v>
          </cell>
          <cell r="C496">
            <v>10980</v>
          </cell>
          <cell r="D496">
            <v>0</v>
          </cell>
          <cell r="E496">
            <v>0</v>
          </cell>
          <cell r="F496">
            <v>10980</v>
          </cell>
        </row>
        <row r="497">
          <cell r="A497">
            <v>466005</v>
          </cell>
          <cell r="B497" t="str">
            <v>Entertainment Expenses</v>
          </cell>
          <cell r="C497">
            <v>13922</v>
          </cell>
          <cell r="D497">
            <v>30176.959999999999</v>
          </cell>
          <cell r="E497">
            <v>0</v>
          </cell>
          <cell r="F497">
            <v>44098.96</v>
          </cell>
        </row>
        <row r="498">
          <cell r="A498">
            <v>466006</v>
          </cell>
          <cell r="B498" t="str">
            <v>Brand Equity Fee</v>
          </cell>
          <cell r="C498">
            <v>4773617</v>
          </cell>
          <cell r="D498">
            <v>4443829</v>
          </cell>
          <cell r="E498">
            <v>0</v>
          </cell>
          <cell r="F498">
            <v>9217446</v>
          </cell>
        </row>
        <row r="499">
          <cell r="A499">
            <v>466009</v>
          </cell>
          <cell r="B499" t="str">
            <v>Sundry Expenses - Banquets</v>
          </cell>
          <cell r="C499">
            <v>1918540</v>
          </cell>
          <cell r="D499">
            <v>1102075</v>
          </cell>
          <cell r="E499">
            <v>17028</v>
          </cell>
          <cell r="F499">
            <v>3003587</v>
          </cell>
        </row>
        <row r="500">
          <cell r="A500">
            <v>466101</v>
          </cell>
          <cell r="B500" t="str">
            <v>Auditors remuneration - Audit Fee</v>
          </cell>
          <cell r="C500">
            <v>246528</v>
          </cell>
          <cell r="D500">
            <v>0</v>
          </cell>
          <cell r="E500">
            <v>0</v>
          </cell>
          <cell r="F500">
            <v>246528</v>
          </cell>
        </row>
        <row r="501">
          <cell r="A501">
            <v>466105</v>
          </cell>
          <cell r="B501" t="str">
            <v>Auditors remuneration - Other Services</v>
          </cell>
          <cell r="C501">
            <v>0</v>
          </cell>
          <cell r="D501">
            <v>0</v>
          </cell>
          <cell r="E501">
            <v>4080</v>
          </cell>
          <cell r="F501">
            <v>-4080</v>
          </cell>
        </row>
        <row r="502">
          <cell r="A502">
            <v>466303</v>
          </cell>
          <cell r="B502" t="str">
            <v>Depreciation-Buildings</v>
          </cell>
          <cell r="C502">
            <v>1043862.06</v>
          </cell>
          <cell r="D502">
            <v>0</v>
          </cell>
          <cell r="E502">
            <v>0</v>
          </cell>
          <cell r="F502">
            <v>1043862.06</v>
          </cell>
        </row>
        <row r="503">
          <cell r="A503">
            <v>466304</v>
          </cell>
          <cell r="B503" t="str">
            <v>Depreciation-Plant and Machinery</v>
          </cell>
          <cell r="C503">
            <v>11422025.529999999</v>
          </cell>
          <cell r="D503">
            <v>0</v>
          </cell>
          <cell r="E503">
            <v>0</v>
          </cell>
          <cell r="F503">
            <v>11422025.529999999</v>
          </cell>
        </row>
        <row r="504">
          <cell r="A504">
            <v>466305</v>
          </cell>
          <cell r="B504" t="str">
            <v>Depreciation-Electrical Installation</v>
          </cell>
          <cell r="C504">
            <v>779236.32</v>
          </cell>
          <cell r="D504">
            <v>0</v>
          </cell>
          <cell r="E504">
            <v>0</v>
          </cell>
          <cell r="F504">
            <v>779236.32</v>
          </cell>
        </row>
        <row r="505">
          <cell r="A505">
            <v>466306</v>
          </cell>
          <cell r="B505" t="str">
            <v>Depreciation-Furniture and Fixtures</v>
          </cell>
          <cell r="C505">
            <v>4661658.97</v>
          </cell>
          <cell r="D505">
            <v>0</v>
          </cell>
          <cell r="E505">
            <v>0</v>
          </cell>
          <cell r="F505">
            <v>4661658.97</v>
          </cell>
        </row>
        <row r="506">
          <cell r="A506">
            <v>466307</v>
          </cell>
          <cell r="B506" t="str">
            <v>Depreciation-Office Equipments</v>
          </cell>
          <cell r="C506">
            <v>55090.58</v>
          </cell>
          <cell r="D506">
            <v>0</v>
          </cell>
          <cell r="E506">
            <v>0</v>
          </cell>
          <cell r="F506">
            <v>55090.58</v>
          </cell>
        </row>
        <row r="507">
          <cell r="A507">
            <v>466308</v>
          </cell>
          <cell r="B507" t="str">
            <v>Depreciation-Vehicles</v>
          </cell>
          <cell r="C507">
            <v>207093.92</v>
          </cell>
          <cell r="D507">
            <v>0</v>
          </cell>
          <cell r="E507">
            <v>0</v>
          </cell>
          <cell r="F507">
            <v>207093.92</v>
          </cell>
        </row>
        <row r="508">
          <cell r="A508">
            <v>466801</v>
          </cell>
          <cell r="B508" t="str">
            <v>Interest - Bank Overdraft</v>
          </cell>
          <cell r="C508">
            <v>250</v>
          </cell>
          <cell r="D508">
            <v>0</v>
          </cell>
          <cell r="E508">
            <v>0</v>
          </cell>
          <cell r="F508">
            <v>250</v>
          </cell>
        </row>
      </sheetData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RES"/>
      <sheetName val="basic"/>
      <sheetName val="Compan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Region"/>
      <sheetName val="Assumptions"/>
      <sheetName val="Data"/>
      <sheetName val="Bloomberg"/>
      <sheetName val="Setting"/>
      <sheetName val="Descriptions"/>
      <sheetName val="WORKRES"/>
      <sheetName val="CA_and_CL_2002_proj_opn(2001-0)"/>
      <sheetName val="Lists"/>
      <sheetName val="wwww"/>
      <sheetName val="proposallinked"/>
      <sheetName val="tallied with TB"/>
      <sheetName val="Summary_by_Region"/>
      <sheetName val="Qenos - Trading comp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I1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"/>
      <sheetName val="CLAY"/>
      <sheetName val="SAND"/>
      <sheetName val="Sheet2"/>
      <sheetName val="Sheet3"/>
      <sheetName val="Set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-Pg1"/>
      <sheetName val="Master-Pg2"/>
      <sheetName val="Master-Pg3"/>
      <sheetName val="Master-Pg4"/>
      <sheetName val="Invoice"/>
      <sheetName val="Shipment-Adv"/>
      <sheetName val="BL-FORMAT"/>
      <sheetName val="MASTER-DOC"/>
      <sheetName val="PACK_LIST"/>
      <sheetName val="PL"/>
      <sheetName val="mltc"/>
      <sheetName val="CLAY"/>
      <sheetName val="Yield"/>
      <sheetName val="DCF Valu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D13" t="str">
            <v>LC-NO</v>
          </cell>
          <cell r="E13" t="str">
            <v xml:space="preserve">  AMENDMENTS REQUIRED</v>
          </cell>
          <cell r="H13" t="str">
            <v xml:space="preserve">    AMENDMENTS RECEIVED</v>
          </cell>
          <cell r="K13" t="str">
            <v xml:space="preserve">           REMARKS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inancials"/>
      <sheetName val="Ratio"/>
      <sheetName val="Phasing"/>
      <sheetName val="PPA"/>
      <sheetName val="Fuel Cost"/>
      <sheetName val="Debt"/>
      <sheetName val="Tax"/>
      <sheetName val="Bid Tariff"/>
      <sheetName val="FGD Input"/>
      <sheetName val="FGD Funding"/>
      <sheetName val="Sheet1"/>
    </sheetNames>
    <sheetDataSet>
      <sheetData sheetId="0">
        <row r="1">
          <cell r="B1" t="str">
            <v>With FGD</v>
          </cell>
        </row>
        <row r="4">
          <cell r="B4">
            <v>0.8</v>
          </cell>
          <cell r="C4">
            <v>0.8</v>
          </cell>
          <cell r="D4">
            <v>0.8</v>
          </cell>
          <cell r="E4">
            <v>0.85</v>
          </cell>
          <cell r="F4">
            <v>0.85</v>
          </cell>
          <cell r="G4">
            <v>0.85</v>
          </cell>
          <cell r="H4">
            <v>0.85</v>
          </cell>
          <cell r="I4">
            <v>0.85</v>
          </cell>
          <cell r="J4">
            <v>0.85</v>
          </cell>
          <cell r="K4">
            <v>0.85</v>
          </cell>
          <cell r="L4">
            <v>0.85</v>
          </cell>
          <cell r="M4">
            <v>0.85</v>
          </cell>
          <cell r="N4">
            <v>0.85</v>
          </cell>
          <cell r="O4">
            <v>0.85</v>
          </cell>
          <cell r="P4">
            <v>0.85</v>
          </cell>
          <cell r="Q4">
            <v>0.85</v>
          </cell>
          <cell r="R4">
            <v>0.85</v>
          </cell>
          <cell r="S4">
            <v>0.85</v>
          </cell>
        </row>
        <row r="5">
          <cell r="B5">
            <v>0.75</v>
          </cell>
          <cell r="C5">
            <v>0.75</v>
          </cell>
          <cell r="D5">
            <v>0.75</v>
          </cell>
          <cell r="E5">
            <v>0.85</v>
          </cell>
          <cell r="F5">
            <v>0.85</v>
          </cell>
          <cell r="G5">
            <v>0.85</v>
          </cell>
          <cell r="H5">
            <v>0.85</v>
          </cell>
          <cell r="I5">
            <v>0.85</v>
          </cell>
          <cell r="J5">
            <v>0.85</v>
          </cell>
          <cell r="K5">
            <v>0.85</v>
          </cell>
          <cell r="L5">
            <v>0.85</v>
          </cell>
          <cell r="M5">
            <v>0.85</v>
          </cell>
          <cell r="N5">
            <v>0.85</v>
          </cell>
          <cell r="O5">
            <v>0.85</v>
          </cell>
          <cell r="P5">
            <v>0.85</v>
          </cell>
          <cell r="Q5">
            <v>0.85</v>
          </cell>
          <cell r="R5">
            <v>0.85</v>
          </cell>
          <cell r="S5">
            <v>0.85</v>
          </cell>
        </row>
      </sheetData>
      <sheetData sheetId="1">
        <row r="2">
          <cell r="D2">
            <v>42460</v>
          </cell>
          <cell r="E2">
            <v>42825</v>
          </cell>
          <cell r="F2">
            <v>43190</v>
          </cell>
          <cell r="G2">
            <v>43555</v>
          </cell>
          <cell r="H2">
            <v>43921</v>
          </cell>
          <cell r="I2">
            <v>44286</v>
          </cell>
          <cell r="J2">
            <v>44651</v>
          </cell>
          <cell r="K2">
            <v>45016</v>
          </cell>
          <cell r="L2">
            <v>45382</v>
          </cell>
          <cell r="M2">
            <v>45747</v>
          </cell>
          <cell r="N2">
            <v>46112</v>
          </cell>
          <cell r="O2">
            <v>46477</v>
          </cell>
          <cell r="P2">
            <v>46843</v>
          </cell>
          <cell r="Q2">
            <v>47208</v>
          </cell>
          <cell r="R2">
            <v>47573</v>
          </cell>
          <cell r="S2">
            <v>47938</v>
          </cell>
          <cell r="T2">
            <v>48304</v>
          </cell>
          <cell r="U2">
            <v>48669</v>
          </cell>
          <cell r="V2">
            <v>49034</v>
          </cell>
          <cell r="W2">
            <v>49399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D6">
            <v>44104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workbookViewId="0">
      <selection activeCell="B1" sqref="B1"/>
    </sheetView>
  </sheetViews>
  <sheetFormatPr defaultRowHeight="15"/>
  <cols>
    <col min="2" max="2" width="26.85546875" customWidth="1"/>
    <col min="3" max="3" width="15.5703125" customWidth="1"/>
    <col min="4" max="4" width="19.28515625" bestFit="1" customWidth="1"/>
    <col min="6" max="6" width="19.28515625" style="45" customWidth="1"/>
    <col min="8" max="8" width="15.85546875" customWidth="1"/>
    <col min="10" max="13" width="9.140625" style="628"/>
    <col min="15" max="15" width="0" hidden="1" customWidth="1"/>
    <col min="16" max="16" width="13.85546875" hidden="1" customWidth="1"/>
    <col min="17" max="17" width="15.42578125" hidden="1" customWidth="1"/>
    <col min="18" max="18" width="14.28515625" hidden="1" customWidth="1"/>
    <col min="19" max="19" width="0" hidden="1" customWidth="1"/>
    <col min="20" max="20" width="19.85546875" hidden="1" customWidth="1"/>
    <col min="21" max="21" width="0" hidden="1" customWidth="1"/>
    <col min="22" max="22" width="15" hidden="1" customWidth="1"/>
  </cols>
  <sheetData>
    <row r="1" spans="1:22" ht="15.75" thickBot="1">
      <c r="O1" s="637" t="s">
        <v>729</v>
      </c>
      <c r="P1" s="637"/>
      <c r="Q1" s="637"/>
      <c r="R1" s="637"/>
      <c r="S1" s="637"/>
      <c r="T1" s="637"/>
      <c r="U1" s="637"/>
      <c r="V1" s="637"/>
    </row>
    <row r="2" spans="1:22" ht="15.75" thickBot="1">
      <c r="A2" s="602"/>
      <c r="B2" s="634" t="s">
        <v>730</v>
      </c>
      <c r="C2" s="635"/>
      <c r="D2" s="635"/>
      <c r="E2" s="635"/>
      <c r="F2" s="635"/>
      <c r="G2" s="635"/>
      <c r="H2" s="636"/>
      <c r="O2" s="602" t="s">
        <v>704</v>
      </c>
      <c r="P2" s="622"/>
      <c r="Q2" s="634" t="s">
        <v>705</v>
      </c>
      <c r="R2" s="635"/>
      <c r="S2" s="636"/>
      <c r="T2" s="611"/>
      <c r="U2" s="603"/>
      <c r="V2" s="604"/>
    </row>
    <row r="3" spans="1:22" ht="45.75" thickBot="1">
      <c r="A3" s="602" t="s">
        <v>704</v>
      </c>
      <c r="B3" s="605" t="s">
        <v>726</v>
      </c>
      <c r="C3" s="606" t="s">
        <v>707</v>
      </c>
      <c r="D3" s="606" t="s">
        <v>708</v>
      </c>
      <c r="E3" s="606" t="s">
        <v>706</v>
      </c>
      <c r="F3" s="611" t="s">
        <v>709</v>
      </c>
      <c r="G3" s="606" t="s">
        <v>374</v>
      </c>
      <c r="H3" s="606" t="s">
        <v>710</v>
      </c>
      <c r="O3" s="602"/>
      <c r="P3" s="605" t="s">
        <v>726</v>
      </c>
      <c r="Q3" s="606" t="s">
        <v>707</v>
      </c>
      <c r="R3" s="606" t="s">
        <v>708</v>
      </c>
      <c r="S3" s="606" t="s">
        <v>706</v>
      </c>
      <c r="T3" s="611" t="s">
        <v>709</v>
      </c>
      <c r="U3" s="606" t="s">
        <v>374</v>
      </c>
      <c r="V3" s="606" t="s">
        <v>710</v>
      </c>
    </row>
    <row r="4" spans="1:22">
      <c r="A4" s="608" t="s">
        <v>711</v>
      </c>
      <c r="B4" s="609">
        <f ca="1">'Financial Statement'!H16</f>
        <v>1167.5118250614307</v>
      </c>
      <c r="C4" s="610">
        <f ca="1">Ratio!H17</f>
        <v>614.04331489554318</v>
      </c>
      <c r="D4" s="609">
        <f>Ratio!H$16</f>
        <v>257.17650000000003</v>
      </c>
      <c r="E4" s="609">
        <f ca="1">C4+D4</f>
        <v>871.21981489554321</v>
      </c>
      <c r="F4" s="612">
        <f ca="1">B4-E4</f>
        <v>296.29201016588752</v>
      </c>
      <c r="G4" s="613">
        <f ca="1">Ratio!H$20</f>
        <v>1.3400886952983408</v>
      </c>
      <c r="H4" s="609">
        <f ca="1">'Financial Statement'!H113</f>
        <v>807.51275667864172</v>
      </c>
      <c r="O4" s="627" t="s">
        <v>711</v>
      </c>
      <c r="P4" s="626">
        <v>1146.0591348690275</v>
      </c>
      <c r="Q4" s="626">
        <v>653.96684163302371</v>
      </c>
      <c r="R4" s="626">
        <v>257.17649999999998</v>
      </c>
      <c r="S4" s="626">
        <f>Q4+R4</f>
        <v>911.14334163302374</v>
      </c>
      <c r="T4" s="626">
        <f>P4-S4</f>
        <v>234.91579323600376</v>
      </c>
      <c r="U4" s="625">
        <v>1.2578252866502531</v>
      </c>
      <c r="V4" s="624">
        <v>1029.7022979973283</v>
      </c>
    </row>
    <row r="5" spans="1:22">
      <c r="A5" s="607" t="s">
        <v>712</v>
      </c>
      <c r="B5" s="610">
        <f ca="1">'Financial Statement'!I16</f>
        <v>1173.7315673902449</v>
      </c>
      <c r="C5" s="610">
        <f ca="1">Ratio!I17</f>
        <v>589.51060989827681</v>
      </c>
      <c r="D5" s="609">
        <f ca="1">Ratio!I$16</f>
        <v>326.70389488905289</v>
      </c>
      <c r="E5" s="609">
        <f t="shared" ref="E5:E18" ca="1" si="0">C5+D5</f>
        <v>916.2145047873297</v>
      </c>
      <c r="F5" s="612">
        <f t="shared" ref="F5:F18" ca="1" si="1">B5-E5</f>
        <v>257.51706260291519</v>
      </c>
      <c r="G5" s="613">
        <f ca="1">Ratio!I$20</f>
        <v>1.2810663455526603</v>
      </c>
      <c r="H5" s="610">
        <f ca="1">'Financial Statement'!I113</f>
        <v>1009.4989152938239</v>
      </c>
      <c r="O5" s="607" t="s">
        <v>712</v>
      </c>
      <c r="P5" s="629">
        <v>1148.2571143884461</v>
      </c>
      <c r="Q5" s="629">
        <v>645.93560530444734</v>
      </c>
      <c r="R5" s="629">
        <v>326.70389488905289</v>
      </c>
      <c r="S5" s="629">
        <f t="shared" ref="S5:S18" si="2">Q5+R5</f>
        <v>972.63950019350023</v>
      </c>
      <c r="T5" s="629">
        <f t="shared" ref="T5:T18" si="3">P5-S5</f>
        <v>175.61761419494587</v>
      </c>
      <c r="U5" s="631">
        <v>1.180557764886176</v>
      </c>
      <c r="V5" s="623">
        <v>1146.4068215447619</v>
      </c>
    </row>
    <row r="6" spans="1:22">
      <c r="A6" s="607" t="s">
        <v>713</v>
      </c>
      <c r="B6" s="610">
        <f ca="1">'Financial Statement'!J16</f>
        <v>1190.3334354500003</v>
      </c>
      <c r="C6" s="610">
        <f ca="1">Ratio!J17</f>
        <v>568.04561313520185</v>
      </c>
      <c r="D6" s="609">
        <f ca="1">Ratio!J$16</f>
        <v>404.1843897781057</v>
      </c>
      <c r="E6" s="609">
        <f t="shared" ca="1" si="0"/>
        <v>972.23000291330754</v>
      </c>
      <c r="F6" s="612">
        <f t="shared" ca="1" si="1"/>
        <v>218.10343253669271</v>
      </c>
      <c r="G6" s="613">
        <f ca="1">Ratio!J$20</f>
        <v>1.224333163843063</v>
      </c>
      <c r="H6" s="610">
        <f ca="1">'Financial Statement'!J113</f>
        <v>1381.4142030180192</v>
      </c>
      <c r="O6" s="607" t="s">
        <v>713</v>
      </c>
      <c r="P6" s="629">
        <v>1167.6017924329665</v>
      </c>
      <c r="Q6" s="629">
        <v>628.22206689450081</v>
      </c>
      <c r="R6" s="629">
        <v>404.1843897781057</v>
      </c>
      <c r="S6" s="629">
        <f t="shared" si="2"/>
        <v>1032.4064566726065</v>
      </c>
      <c r="T6" s="629">
        <f t="shared" si="3"/>
        <v>135.19533576035997</v>
      </c>
      <c r="U6" s="630">
        <v>1.130951656575345</v>
      </c>
      <c r="V6" s="623">
        <v>1431.109413122987</v>
      </c>
    </row>
    <row r="7" spans="1:22">
      <c r="A7" s="607" t="s">
        <v>714</v>
      </c>
      <c r="B7" s="610">
        <f ca="1">'Financial Statement'!K16</f>
        <v>1197.5469700623812</v>
      </c>
      <c r="C7" s="610">
        <f ca="1">Ratio!K$17</f>
        <v>526.45901186369713</v>
      </c>
      <c r="D7" s="609">
        <f ca="1">Ratio!J$16</f>
        <v>404.1843897781057</v>
      </c>
      <c r="E7" s="609">
        <f t="shared" ca="1" si="0"/>
        <v>930.64340164180282</v>
      </c>
      <c r="F7" s="612">
        <f t="shared" ca="1" si="1"/>
        <v>266.90356842057838</v>
      </c>
      <c r="G7" s="613">
        <f ca="1">Ratio!K$20</f>
        <v>1.2485585115561098</v>
      </c>
      <c r="H7" s="610">
        <f ca="1">'Financial Statement'!K113</f>
        <v>1620.4764408092187</v>
      </c>
      <c r="O7" s="607" t="s">
        <v>714</v>
      </c>
      <c r="P7" s="629">
        <v>1181.7440842566116</v>
      </c>
      <c r="Q7" s="629">
        <v>587.58851700759863</v>
      </c>
      <c r="R7" s="629">
        <v>432.68463977810575</v>
      </c>
      <c r="S7" s="629">
        <f t="shared" si="2"/>
        <v>1020.2731567857044</v>
      </c>
      <c r="T7" s="629">
        <f t="shared" si="3"/>
        <v>161.47092747090721</v>
      </c>
      <c r="U7" s="630">
        <v>1.1582624480483339</v>
      </c>
      <c r="V7" s="623">
        <v>1589.5685078796714</v>
      </c>
    </row>
    <row r="8" spans="1:22">
      <c r="A8" s="607" t="s">
        <v>715</v>
      </c>
      <c r="B8" s="610">
        <f ca="1">'Financial Statement'!L16</f>
        <v>1210.2950333934421</v>
      </c>
      <c r="C8" s="610">
        <f ca="1">Ratio!L$17</f>
        <v>483.64751985160115</v>
      </c>
      <c r="D8" s="609">
        <f ca="1">Ratio!L$16</f>
        <v>461.8492897781058</v>
      </c>
      <c r="E8" s="609">
        <f t="shared" ca="1" si="0"/>
        <v>945.49680962970695</v>
      </c>
      <c r="F8" s="612">
        <f t="shared" ca="1" si="1"/>
        <v>264.79822376373511</v>
      </c>
      <c r="G8" s="613">
        <f ca="1">Ratio!L$20</f>
        <v>1.2800625248724429</v>
      </c>
      <c r="H8" s="610">
        <f ca="1">'Financial Statement'!L113</f>
        <v>1884.9511423770109</v>
      </c>
      <c r="O8" s="607" t="s">
        <v>715</v>
      </c>
      <c r="P8" s="629">
        <v>1160.6679507779595</v>
      </c>
      <c r="Q8" s="629">
        <v>544.23708709959431</v>
      </c>
      <c r="R8" s="629">
        <v>461.8492897781058</v>
      </c>
      <c r="S8" s="629">
        <f t="shared" si="2"/>
        <v>1006.0863768777001</v>
      </c>
      <c r="T8" s="629">
        <f t="shared" si="3"/>
        <v>154.5815739002594</v>
      </c>
      <c r="U8" s="630">
        <v>1.1536464238587441</v>
      </c>
      <c r="V8" s="623">
        <v>1751.8398236412932</v>
      </c>
    </row>
    <row r="9" spans="1:22">
      <c r="A9" s="607" t="s">
        <v>716</v>
      </c>
      <c r="B9" s="610">
        <f ca="1">'Financial Statement'!M16</f>
        <v>1235.5554356496209</v>
      </c>
      <c r="C9" s="610">
        <f ca="1">Ratio!M$17</f>
        <v>438.76708874870769</v>
      </c>
      <c r="D9" s="609">
        <f ca="1">Ratio!M$16</f>
        <v>460.00786350036901</v>
      </c>
      <c r="E9" s="609">
        <f t="shared" ca="1" si="0"/>
        <v>898.7749522490767</v>
      </c>
      <c r="F9" s="612">
        <f t="shared" ca="1" si="1"/>
        <v>336.7804834005442</v>
      </c>
      <c r="G9" s="613">
        <f ca="1">Ratio!M$20</f>
        <v>1.3747105797260943</v>
      </c>
      <c r="H9" s="610">
        <f ca="1">'Financial Statement'!M113</f>
        <v>2220.5619436641527</v>
      </c>
      <c r="O9" s="607" t="s">
        <v>716</v>
      </c>
      <c r="P9" s="629">
        <v>1193.3834806966001</v>
      </c>
      <c r="Q9" s="629">
        <v>498.9731529780359</v>
      </c>
      <c r="R9" s="629">
        <v>460.00786350036901</v>
      </c>
      <c r="S9" s="629">
        <f t="shared" si="2"/>
        <v>958.98101647840485</v>
      </c>
      <c r="T9" s="629">
        <f t="shared" si="3"/>
        <v>234.40246421819529</v>
      </c>
      <c r="U9" s="630">
        <v>1.2444286802245306</v>
      </c>
      <c r="V9" s="623">
        <v>1980.2021354461144</v>
      </c>
    </row>
    <row r="10" spans="1:22">
      <c r="A10" s="607" t="s">
        <v>717</v>
      </c>
      <c r="B10" s="610">
        <f ca="1">'Financial Statement'!N16</f>
        <v>1275.7037644011989</v>
      </c>
      <c r="C10" s="610">
        <f ca="1">Ratio!N$17</f>
        <v>397.01904522669844</v>
      </c>
      <c r="D10" s="609">
        <f ca="1">Ratio!N$16</f>
        <v>439.24178466715864</v>
      </c>
      <c r="E10" s="609">
        <f t="shared" ca="1" si="0"/>
        <v>836.26082989385714</v>
      </c>
      <c r="F10" s="612">
        <f t="shared" ca="1" si="1"/>
        <v>439.44293450734176</v>
      </c>
      <c r="G10" s="613">
        <f ca="1">Ratio!N$20</f>
        <v>1.5254854930406321</v>
      </c>
      <c r="H10" s="610">
        <f ca="1">'Financial Statement'!N113</f>
        <v>2657.5070107834999</v>
      </c>
      <c r="O10" s="607" t="s">
        <v>717</v>
      </c>
      <c r="P10" s="629">
        <v>1241.5063346444654</v>
      </c>
      <c r="Q10" s="629">
        <v>458.7083353832582</v>
      </c>
      <c r="R10" s="629">
        <v>439.24178466715864</v>
      </c>
      <c r="S10" s="629">
        <f t="shared" si="2"/>
        <v>897.9501200504169</v>
      </c>
      <c r="T10" s="629">
        <f t="shared" si="3"/>
        <v>343.55621459404847</v>
      </c>
      <c r="U10" s="630">
        <v>1.3826005553345868</v>
      </c>
      <c r="V10" s="623">
        <v>2315.0712758482396</v>
      </c>
    </row>
    <row r="11" spans="1:22">
      <c r="A11" s="607" t="s">
        <v>718</v>
      </c>
      <c r="B11" s="610">
        <f ca="1">'Financial Statement'!O16</f>
        <v>1309.4131742370168</v>
      </c>
      <c r="C11" s="610">
        <f ca="1">Ratio!O$17</f>
        <v>354.18781463900137</v>
      </c>
      <c r="D11" s="609">
        <f ca="1">Ratio!O$16</f>
        <v>456.47678466715865</v>
      </c>
      <c r="E11" s="609">
        <f t="shared" ca="1" si="0"/>
        <v>810.66459930615997</v>
      </c>
      <c r="F11" s="612">
        <f t="shared" ca="1" si="1"/>
        <v>498.74857493085688</v>
      </c>
      <c r="G11" s="613">
        <f ca="1">Ratio!O$20</f>
        <v>1.6152341860711952</v>
      </c>
      <c r="H11" s="610">
        <f ca="1">'Financial Statement'!O113</f>
        <v>3154.4694559688182</v>
      </c>
      <c r="O11" s="607" t="s">
        <v>718</v>
      </c>
      <c r="P11" s="629">
        <v>1285.7652385563049</v>
      </c>
      <c r="Q11" s="629">
        <v>417.30276229209471</v>
      </c>
      <c r="R11" s="629">
        <v>456.47678466715865</v>
      </c>
      <c r="S11" s="629">
        <f t="shared" si="2"/>
        <v>873.77954695925337</v>
      </c>
      <c r="T11" s="629">
        <f t="shared" si="3"/>
        <v>411.98569159705153</v>
      </c>
      <c r="U11" s="630">
        <v>1.4714984380565541</v>
      </c>
      <c r="V11" s="623">
        <v>2719.8713434355946</v>
      </c>
    </row>
    <row r="12" spans="1:22">
      <c r="A12" s="607" t="s">
        <v>719</v>
      </c>
      <c r="B12" s="610">
        <f ca="1">'Financial Statement'!P16</f>
        <v>905.91585915540645</v>
      </c>
      <c r="C12" s="610">
        <f ca="1">Ratio!P$17</f>
        <v>302.71745444877268</v>
      </c>
      <c r="D12" s="609">
        <f ca="1">Ratio!P$16</f>
        <v>484.01893722263225</v>
      </c>
      <c r="E12" s="609">
        <f t="shared" ca="1" si="0"/>
        <v>786.73639167140493</v>
      </c>
      <c r="F12" s="612">
        <f t="shared" ca="1" si="1"/>
        <v>119.17946748400152</v>
      </c>
      <c r="G12" s="613">
        <f ca="1">Ratio!P$20</f>
        <v>1.1514858963506278</v>
      </c>
      <c r="H12" s="610">
        <f ca="1">'Financial Statement'!P113</f>
        <v>3317.7201822245293</v>
      </c>
      <c r="O12" s="607" t="s">
        <v>719</v>
      </c>
      <c r="P12" s="629">
        <v>1046.3644273653927</v>
      </c>
      <c r="Q12" s="629">
        <v>357.9602527882156</v>
      </c>
      <c r="R12" s="629">
        <v>484.01893722263225</v>
      </c>
      <c r="S12" s="629">
        <f t="shared" si="2"/>
        <v>841.97919001084779</v>
      </c>
      <c r="T12" s="629">
        <f t="shared" si="3"/>
        <v>204.38523735454487</v>
      </c>
      <c r="U12" s="631">
        <v>1.2427438109864826</v>
      </c>
      <c r="V12" s="623">
        <v>3036.0383913032392</v>
      </c>
    </row>
    <row r="13" spans="1:22">
      <c r="A13" s="607" t="s">
        <v>720</v>
      </c>
      <c r="B13" s="610">
        <f ca="1">'Financial Statement'!Q16</f>
        <v>913.117033063299</v>
      </c>
      <c r="C13" s="610">
        <f ca="1">Ratio!Q$17</f>
        <v>251.10901070264231</v>
      </c>
      <c r="D13" s="609">
        <f ca="1">Ratio!Q$16</f>
        <v>475.17489488905289</v>
      </c>
      <c r="E13" s="609">
        <f t="shared" ca="1" si="0"/>
        <v>726.2839055916952</v>
      </c>
      <c r="F13" s="612">
        <f t="shared" ca="1" si="1"/>
        <v>186.8331274716038</v>
      </c>
      <c r="G13" s="613">
        <f ca="1">Ratio!Q$20</f>
        <v>1.2572453086639626</v>
      </c>
      <c r="H13" s="610">
        <f ca="1">'Financial Statement'!Q113</f>
        <v>3502.9178639270467</v>
      </c>
      <c r="O13" s="607" t="s">
        <v>720</v>
      </c>
      <c r="P13" s="629">
        <v>1091.1378088117312</v>
      </c>
      <c r="Q13" s="629">
        <v>298.38990915717335</v>
      </c>
      <c r="R13" s="629">
        <v>475.17489488905289</v>
      </c>
      <c r="S13" s="629">
        <f t="shared" si="2"/>
        <v>773.5648040462263</v>
      </c>
      <c r="T13" s="629">
        <f t="shared" si="3"/>
        <v>317.57300476550495</v>
      </c>
      <c r="U13" s="630">
        <v>1.4105318689583601</v>
      </c>
      <c r="V13" s="623">
        <v>3347.3193643524355</v>
      </c>
    </row>
    <row r="14" spans="1:22">
      <c r="A14" s="607" t="s">
        <v>721</v>
      </c>
      <c r="B14" s="610">
        <f ca="1">'Financial Statement'!R16</f>
        <v>846.13860855133498</v>
      </c>
      <c r="C14" s="610">
        <f ca="1">Ratio!R$17</f>
        <v>205.83932792561319</v>
      </c>
      <c r="D14" s="609">
        <f ca="1">Ratio!R$16</f>
        <v>475.17489488905289</v>
      </c>
      <c r="E14" s="609">
        <f t="shared" ca="1" si="0"/>
        <v>681.01422281466603</v>
      </c>
      <c r="F14" s="612">
        <f t="shared" ca="1" si="1"/>
        <v>165.12438573666896</v>
      </c>
      <c r="G14" s="613">
        <f ca="1">Ratio!R$20</f>
        <v>1.2424683364969995</v>
      </c>
      <c r="H14" s="610">
        <f ca="1">'Financial Statement'!R113</f>
        <v>3531.391581804628</v>
      </c>
      <c r="O14" s="607" t="s">
        <v>721</v>
      </c>
      <c r="P14" s="629">
        <v>1061.2214533028059</v>
      </c>
      <c r="Q14" s="629">
        <v>254.05821071279144</v>
      </c>
      <c r="R14" s="629">
        <v>475.17489488905289</v>
      </c>
      <c r="S14" s="629">
        <f t="shared" si="2"/>
        <v>729.23310560184427</v>
      </c>
      <c r="T14" s="629">
        <f t="shared" si="3"/>
        <v>331.98834770096164</v>
      </c>
      <c r="U14" s="631">
        <v>1.2092940853161225</v>
      </c>
      <c r="V14" s="623">
        <v>3498.6898401985445</v>
      </c>
    </row>
    <row r="15" spans="1:22">
      <c r="A15" s="607" t="s">
        <v>722</v>
      </c>
      <c r="B15" s="610">
        <f ca="1">'Financial Statement'!S16</f>
        <v>817.31360309850447</v>
      </c>
      <c r="C15" s="610">
        <f ca="1">Ratio!S$17</f>
        <v>159.55083723630003</v>
      </c>
      <c r="D15" s="609">
        <f ca="1">Ratio!S$16</f>
        <v>477.97441861131614</v>
      </c>
      <c r="E15" s="609">
        <f t="shared" ca="1" si="0"/>
        <v>637.52525584761611</v>
      </c>
      <c r="F15" s="612">
        <f t="shared" ca="1" si="1"/>
        <v>179.78834725088836</v>
      </c>
      <c r="G15" s="613">
        <f ca="1">Ratio!S$20</f>
        <v>1.2820097644788242</v>
      </c>
      <c r="H15" s="610">
        <f ca="1">'Financial Statement'!S113</f>
        <v>3565.0578947651102</v>
      </c>
      <c r="O15" s="607" t="s">
        <v>722</v>
      </c>
      <c r="P15" s="629">
        <v>1070.4011665870721</v>
      </c>
      <c r="Q15" s="629">
        <v>208.42880882275514</v>
      </c>
      <c r="R15" s="629">
        <v>477.97441861131614</v>
      </c>
      <c r="S15" s="629">
        <f t="shared" si="2"/>
        <v>686.40322743407125</v>
      </c>
      <c r="T15" s="629">
        <f t="shared" si="3"/>
        <v>383.99793915300086</v>
      </c>
      <c r="U15" s="630">
        <v>1.2728257721633602</v>
      </c>
      <c r="V15" s="623">
        <v>3681.729104054557</v>
      </c>
    </row>
    <row r="16" spans="1:22">
      <c r="A16" s="607" t="s">
        <v>723</v>
      </c>
      <c r="B16" s="610">
        <f ca="1">'Financial Statement'!T16</f>
        <v>804.47717640911446</v>
      </c>
      <c r="C16" s="610">
        <f ca="1">Ratio!T$17</f>
        <v>113.10005035738658</v>
      </c>
      <c r="D16" s="609">
        <f ca="1">Ratio!T$16</f>
        <v>486.37298977810576</v>
      </c>
      <c r="E16" s="609">
        <f t="shared" ca="1" si="0"/>
        <v>599.47304013549228</v>
      </c>
      <c r="F16" s="612">
        <f t="shared" ca="1" si="1"/>
        <v>205.00413627362218</v>
      </c>
      <c r="G16" s="613">
        <f ca="1">Ratio!T$20</f>
        <v>1.3419739046601451</v>
      </c>
      <c r="H16" s="610">
        <f ca="1">'Financial Statement'!T113</f>
        <v>3611.120971114321</v>
      </c>
      <c r="O16" s="607" t="s">
        <v>723</v>
      </c>
      <c r="P16" s="629">
        <v>1097.5705409768766</v>
      </c>
      <c r="Q16" s="629">
        <v>163.0162041346735</v>
      </c>
      <c r="R16" s="629">
        <v>486.37298977810576</v>
      </c>
      <c r="S16" s="629">
        <f t="shared" si="2"/>
        <v>649.38919391277932</v>
      </c>
      <c r="T16" s="629">
        <f t="shared" si="3"/>
        <v>448.18134706409728</v>
      </c>
      <c r="U16" s="630">
        <v>1.3544079073061495</v>
      </c>
      <c r="V16" s="623">
        <v>3905.3405138211551</v>
      </c>
    </row>
    <row r="17" spans="1:22">
      <c r="A17" s="607" t="s">
        <v>724</v>
      </c>
      <c r="B17" s="610">
        <f ca="1">'Financial Statement'!U16</f>
        <v>790.97666693825522</v>
      </c>
      <c r="C17" s="610">
        <f ca="1">Ratio!U$17</f>
        <v>56.329340912076823</v>
      </c>
      <c r="D17" s="609">
        <f ca="1">Ratio!U$16</f>
        <v>485.573572555846</v>
      </c>
      <c r="E17" s="609">
        <f t="shared" ca="1" si="0"/>
        <v>541.90291346792287</v>
      </c>
      <c r="F17" s="612">
        <f t="shared" ca="1" si="1"/>
        <v>249.07375347033235</v>
      </c>
      <c r="G17" s="613">
        <f ca="1">Ratio!U$20</f>
        <v>1.4596280021385708</v>
      </c>
      <c r="H17" s="610">
        <f ca="1">'Financial Statement'!U113</f>
        <v>3687.3380857556908</v>
      </c>
      <c r="O17" s="607" t="s">
        <v>724</v>
      </c>
      <c r="P17" s="629">
        <v>1124.0576760101289</v>
      </c>
      <c r="Q17" s="629">
        <v>112.84192705451849</v>
      </c>
      <c r="R17" s="629">
        <v>600.00966605584256</v>
      </c>
      <c r="S17" s="629">
        <f t="shared" si="2"/>
        <v>712.85159311036102</v>
      </c>
      <c r="T17" s="629">
        <f t="shared" si="3"/>
        <v>411.20608289976792</v>
      </c>
      <c r="U17" s="630">
        <v>1.2403004055683164</v>
      </c>
      <c r="V17" s="623">
        <v>4069.5364061202181</v>
      </c>
    </row>
    <row r="18" spans="1:22">
      <c r="A18" s="607" t="s">
        <v>725</v>
      </c>
      <c r="B18" s="610">
        <f ca="1">'Financial Statement'!V16</f>
        <v>787.4771542035096</v>
      </c>
      <c r="C18" s="610">
        <f ca="1">Ratio!V$17</f>
        <v>43.35742337038112</v>
      </c>
      <c r="D18" s="609">
        <f ca="1">Ratio!V$16</f>
        <v>2.7995237222632205</v>
      </c>
      <c r="E18" s="609">
        <f t="shared" ca="1" si="0"/>
        <v>46.156947092644344</v>
      </c>
      <c r="F18" s="612">
        <f t="shared" ca="1" si="1"/>
        <v>741.32020711086523</v>
      </c>
      <c r="G18" s="613">
        <f ca="1">Ratio!V$20</f>
        <v>17.06085873970212</v>
      </c>
      <c r="H18" s="610">
        <f ca="1">'Financial Statement'!V113</f>
        <v>4250.6338084116142</v>
      </c>
      <c r="O18" s="607" t="s">
        <v>725</v>
      </c>
      <c r="P18" s="629">
        <v>1163.0995546578497</v>
      </c>
      <c r="Q18" s="629">
        <v>73.800041510795836</v>
      </c>
      <c r="R18" s="629">
        <v>131.36182372226327</v>
      </c>
      <c r="S18" s="629">
        <f t="shared" si="2"/>
        <v>205.1618652330591</v>
      </c>
      <c r="T18" s="629">
        <f t="shared" si="3"/>
        <v>957.93768942479062</v>
      </c>
      <c r="U18" s="630">
        <v>4.3933408239129124</v>
      </c>
      <c r="V18" s="623">
        <v>4757.3247152529229</v>
      </c>
    </row>
    <row r="19" spans="1:22">
      <c r="A19" s="632"/>
      <c r="B19" s="632"/>
      <c r="C19" s="638" t="s">
        <v>733</v>
      </c>
      <c r="D19" s="639"/>
      <c r="E19" s="639"/>
      <c r="F19" s="640"/>
      <c r="G19" s="633">
        <f ca="1">Ratio!D20</f>
        <v>1.4117826373985225</v>
      </c>
      <c r="H19" s="632"/>
      <c r="S19" s="628"/>
    </row>
    <row r="20" spans="1:22" s="628" customFormat="1">
      <c r="A20" s="632"/>
      <c r="B20" s="632"/>
      <c r="C20" s="638" t="s">
        <v>734</v>
      </c>
      <c r="D20" s="639"/>
      <c r="E20" s="639"/>
      <c r="F20" s="640"/>
      <c r="G20" s="633">
        <f ca="1">Ratio!B20</f>
        <v>1.1514858963506278</v>
      </c>
      <c r="H20" s="632"/>
    </row>
    <row r="21" spans="1:22" s="628" customFormat="1">
      <c r="F21" s="45"/>
    </row>
  </sheetData>
  <mergeCells count="5">
    <mergeCell ref="Q2:S2"/>
    <mergeCell ref="O1:V1"/>
    <mergeCell ref="B2:H2"/>
    <mergeCell ref="C19:F19"/>
    <mergeCell ref="C20:F20"/>
  </mergeCells>
  <conditionalFormatting sqref="F4:F18">
    <cfRule type="cellIs" dxfId="5" priority="22" operator="lessThan">
      <formula>1</formula>
    </cfRule>
  </conditionalFormatting>
  <conditionalFormatting sqref="G4:G18">
    <cfRule type="cellIs" dxfId="4" priority="21" operator="lessThan">
      <formula>1</formula>
    </cfRule>
  </conditionalFormatting>
  <conditionalFormatting sqref="U4:U18">
    <cfRule type="cellIs" dxfId="3" priority="19" operator="lessThan">
      <formula>1</formula>
    </cfRule>
  </conditionalFormatting>
  <conditionalFormatting sqref="V4:V18">
    <cfRule type="cellIs" dxfId="2" priority="17" operator="less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12"/>
  <sheetViews>
    <sheetView zoomScaleNormal="100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C19" sqref="C19"/>
    </sheetView>
  </sheetViews>
  <sheetFormatPr defaultRowHeight="15"/>
  <cols>
    <col min="1" max="1" width="34.85546875" customWidth="1"/>
    <col min="2" max="2" width="9.28515625" customWidth="1"/>
    <col min="3" max="3" width="10.28515625" customWidth="1"/>
    <col min="7" max="7" width="8.28515625" bestFit="1" customWidth="1"/>
    <col min="8" max="8" width="8.28515625" customWidth="1"/>
    <col min="9" max="9" width="24" customWidth="1"/>
    <col min="10" max="10" width="10.5703125" customWidth="1"/>
    <col min="11" max="11" width="15.85546875" customWidth="1"/>
    <col min="13" max="13" width="21" customWidth="1"/>
    <col min="15" max="15" width="10.5703125" bestFit="1" customWidth="1"/>
  </cols>
  <sheetData>
    <row r="1" spans="1:28" s="15" customFormat="1" ht="18.75">
      <c r="A1" s="21" t="s">
        <v>29</v>
      </c>
      <c r="B1" s="21"/>
      <c r="C1" s="43"/>
      <c r="D1" s="14"/>
      <c r="E1" s="14"/>
      <c r="F1" s="466" t="s">
        <v>640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s="17" customFormat="1" ht="15.75">
      <c r="A2" s="22" t="s">
        <v>292</v>
      </c>
      <c r="B2" s="22"/>
      <c r="C2" s="44"/>
      <c r="D2" s="459"/>
      <c r="E2" s="459"/>
      <c r="F2" s="459"/>
      <c r="G2" s="459"/>
      <c r="H2" s="459"/>
      <c r="I2" s="459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s="1" customFormat="1" ht="12.7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s="1" customFormat="1" ht="19.5" thickBot="1">
      <c r="A4" s="134" t="s">
        <v>293</v>
      </c>
      <c r="B4" s="134"/>
      <c r="C4" s="158"/>
      <c r="D4" s="159"/>
      <c r="E4" s="159"/>
      <c r="F4" s="159"/>
      <c r="G4" s="159"/>
      <c r="H4" s="207"/>
      <c r="I4" s="134" t="s">
        <v>341</v>
      </c>
      <c r="J4" s="134"/>
      <c r="K4" s="134"/>
      <c r="L4" s="158"/>
      <c r="M4" s="159"/>
      <c r="N4" s="159"/>
      <c r="O4" s="159"/>
      <c r="P4" s="159"/>
      <c r="Q4" s="207"/>
      <c r="R4" s="207"/>
      <c r="S4" s="207"/>
      <c r="T4" s="62"/>
      <c r="U4" s="62"/>
      <c r="V4" s="62"/>
      <c r="W4" s="62"/>
      <c r="X4" s="62"/>
      <c r="Y4" s="62"/>
      <c r="Z4" s="62"/>
      <c r="AA4" s="62"/>
      <c r="AB4" s="62"/>
    </row>
    <row r="5" spans="1:28" s="1" customFormat="1" ht="13.5" thickTop="1">
      <c r="B5" s="62"/>
      <c r="C5" s="62"/>
      <c r="D5" s="62"/>
      <c r="E5" s="62"/>
      <c r="F5" s="62"/>
      <c r="G5" s="62"/>
      <c r="H5" s="62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62"/>
      <c r="U5" s="62"/>
      <c r="V5" s="62"/>
      <c r="W5" s="62"/>
      <c r="X5" s="62"/>
      <c r="Y5" s="62"/>
      <c r="Z5" s="62"/>
      <c r="AA5" s="62"/>
      <c r="AB5" s="62"/>
    </row>
    <row r="6" spans="1:28" s="1" customFormat="1" ht="12.75">
      <c r="A6" s="29"/>
      <c r="B6" s="29"/>
      <c r="C6" s="189">
        <v>2019</v>
      </c>
      <c r="D6" s="189">
        <v>2020</v>
      </c>
      <c r="E6" s="189">
        <v>2021</v>
      </c>
      <c r="F6" s="189">
        <v>2022</v>
      </c>
      <c r="G6" s="189" t="s">
        <v>294</v>
      </c>
      <c r="H6" s="189" t="s">
        <v>678</v>
      </c>
      <c r="I6" s="29" t="s">
        <v>342</v>
      </c>
      <c r="J6" s="29"/>
      <c r="K6" s="190">
        <v>0.75</v>
      </c>
      <c r="L6" s="29"/>
      <c r="M6" s="29"/>
      <c r="N6" s="29"/>
      <c r="O6" s="29"/>
      <c r="P6" s="29"/>
      <c r="Q6" s="29"/>
      <c r="R6" s="29"/>
      <c r="S6" s="29"/>
      <c r="T6" s="62"/>
      <c r="U6" s="62"/>
      <c r="V6" s="62"/>
      <c r="W6" s="62"/>
      <c r="X6" s="62"/>
      <c r="Y6" s="62"/>
      <c r="Z6" s="62"/>
      <c r="AA6" s="62"/>
      <c r="AB6" s="62"/>
    </row>
    <row r="7" spans="1:28" s="1" customFormat="1" ht="12.75">
      <c r="A7" s="29" t="s">
        <v>52</v>
      </c>
      <c r="B7" s="29"/>
      <c r="C7" s="190"/>
      <c r="D7" s="621">
        <f>70%</f>
        <v>0.7</v>
      </c>
      <c r="E7" s="515">
        <f>76.77%</f>
        <v>0.76769999999999994</v>
      </c>
      <c r="F7" s="585">
        <f>(85%-K72)</f>
        <v>0.75</v>
      </c>
      <c r="G7" s="585">
        <f>(85%-K72)</f>
        <v>0.75</v>
      </c>
      <c r="H7" s="585">
        <f>85%-K72</f>
        <v>0.75</v>
      </c>
      <c r="I7" s="29" t="s">
        <v>158</v>
      </c>
      <c r="J7" s="29"/>
      <c r="K7" s="190">
        <f>1-K6</f>
        <v>0.25</v>
      </c>
      <c r="L7" s="29"/>
      <c r="M7" s="29"/>
      <c r="N7" s="29"/>
      <c r="O7" s="29"/>
      <c r="P7" s="29"/>
      <c r="Q7" s="29"/>
      <c r="R7" s="29"/>
      <c r="S7" s="29"/>
      <c r="T7" s="62"/>
      <c r="U7" s="62"/>
      <c r="V7" s="62"/>
      <c r="W7" s="62"/>
      <c r="X7" s="62"/>
      <c r="Y7" s="62"/>
      <c r="Z7" s="62"/>
      <c r="AA7" s="62"/>
      <c r="AB7" s="62"/>
    </row>
    <row r="8" spans="1:28" s="1" customFormat="1" ht="12.75">
      <c r="A8" s="62" t="s">
        <v>47</v>
      </c>
      <c r="B8" s="62"/>
      <c r="C8" s="523">
        <v>2325</v>
      </c>
      <c r="D8" s="62"/>
      <c r="E8" s="62"/>
      <c r="F8" s="62"/>
      <c r="G8" s="62"/>
      <c r="H8" s="62"/>
      <c r="I8" s="29" t="s">
        <v>346</v>
      </c>
      <c r="J8" s="189" t="s">
        <v>347</v>
      </c>
      <c r="K8" s="209">
        <v>8841.66</v>
      </c>
      <c r="L8" s="29"/>
      <c r="M8" s="29"/>
      <c r="N8" s="29"/>
      <c r="O8" s="29"/>
      <c r="P8" s="29"/>
      <c r="Q8" s="29"/>
      <c r="R8" s="29"/>
      <c r="S8" s="29"/>
      <c r="T8" s="62"/>
      <c r="U8" s="62"/>
      <c r="V8" s="62"/>
      <c r="W8" s="62"/>
      <c r="X8" s="62"/>
      <c r="Y8" s="62"/>
      <c r="Z8" s="62"/>
      <c r="AA8" s="62"/>
      <c r="AB8" s="62"/>
    </row>
    <row r="9" spans="1:28" s="1" customFormat="1" ht="12.75">
      <c r="A9" s="62" t="s">
        <v>295</v>
      </c>
      <c r="B9" s="62"/>
      <c r="C9" s="194">
        <v>0</v>
      </c>
      <c r="D9" s="62"/>
      <c r="E9" s="62"/>
      <c r="F9" s="62"/>
      <c r="G9" s="62"/>
      <c r="H9" s="62"/>
      <c r="I9" s="29" t="s">
        <v>342</v>
      </c>
      <c r="J9" s="189" t="s">
        <v>347</v>
      </c>
      <c r="K9" s="209">
        <v>6628.24</v>
      </c>
      <c r="L9" s="29"/>
      <c r="M9" s="29"/>
      <c r="N9" s="29"/>
      <c r="O9" s="29"/>
      <c r="P9" s="29"/>
      <c r="Q9" s="29"/>
      <c r="R9" s="29"/>
      <c r="S9" s="29"/>
      <c r="T9" s="62"/>
      <c r="U9" s="62"/>
      <c r="V9" s="62"/>
      <c r="W9" s="62"/>
      <c r="X9" s="62"/>
      <c r="Y9" s="62"/>
      <c r="Z9" s="62"/>
      <c r="AA9" s="62"/>
      <c r="AB9" s="62"/>
    </row>
    <row r="10" spans="1:28" s="1" customFormat="1" ht="12.75">
      <c r="A10" s="62" t="s">
        <v>48</v>
      </c>
      <c r="B10" s="62"/>
      <c r="C10" s="590">
        <v>5.7500000000000002E-2</v>
      </c>
      <c r="D10" s="62"/>
      <c r="E10" s="62"/>
      <c r="F10" s="62"/>
      <c r="G10" s="62"/>
      <c r="H10" s="62"/>
      <c r="I10" s="29" t="s">
        <v>158</v>
      </c>
      <c r="J10" s="189" t="s">
        <v>347</v>
      </c>
      <c r="K10" s="210">
        <f>K8-K9</f>
        <v>2213.42</v>
      </c>
      <c r="L10" s="29"/>
      <c r="M10" s="29"/>
      <c r="N10" s="29"/>
      <c r="O10" s="29"/>
      <c r="P10" s="29"/>
      <c r="Q10" s="29"/>
      <c r="R10" s="29"/>
      <c r="S10" s="29"/>
      <c r="T10" s="62"/>
      <c r="U10" s="62"/>
      <c r="V10" s="62"/>
      <c r="W10" s="62"/>
      <c r="X10" s="62"/>
      <c r="Y10" s="62"/>
      <c r="Z10" s="62"/>
      <c r="AA10" s="62"/>
      <c r="AB10" s="62"/>
    </row>
    <row r="11" spans="1:28" s="1" customFormat="1" ht="12.75">
      <c r="A11" s="62"/>
      <c r="B11" s="62"/>
      <c r="C11" s="62"/>
      <c r="D11" s="62"/>
      <c r="E11" s="62"/>
      <c r="F11" s="62"/>
      <c r="G11" s="62"/>
      <c r="H11" s="62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62"/>
      <c r="U11" s="62"/>
      <c r="V11" s="62"/>
      <c r="W11" s="62"/>
      <c r="X11" s="62"/>
      <c r="Y11" s="62"/>
      <c r="Z11" s="62"/>
      <c r="AA11" s="62"/>
      <c r="AB11" s="62"/>
    </row>
    <row r="12" spans="1:28" s="1" customFormat="1" ht="15.75">
      <c r="A12" s="62"/>
      <c r="B12" s="62"/>
      <c r="C12" s="62"/>
      <c r="D12" s="62"/>
      <c r="E12" s="62"/>
      <c r="F12" s="62"/>
      <c r="G12" s="62"/>
      <c r="H12" s="62"/>
      <c r="I12" s="198" t="s">
        <v>343</v>
      </c>
      <c r="J12" s="199"/>
      <c r="K12" s="199"/>
      <c r="L12" s="199"/>
      <c r="M12" s="199"/>
      <c r="N12" s="199"/>
      <c r="O12" s="199"/>
      <c r="P12" s="199"/>
      <c r="Q12" s="29"/>
      <c r="R12" s="29"/>
      <c r="S12" s="29"/>
      <c r="T12" s="62"/>
      <c r="U12" s="62"/>
      <c r="V12" s="62"/>
      <c r="W12" s="62"/>
      <c r="X12" s="62"/>
      <c r="Y12" s="62"/>
      <c r="Z12" s="62"/>
      <c r="AA12" s="62"/>
      <c r="AB12" s="62"/>
    </row>
    <row r="13" spans="1:28" s="1" customFormat="1" ht="15.75" customHeight="1" thickBot="1">
      <c r="A13" s="109" t="s">
        <v>306</v>
      </c>
      <c r="B13" s="134"/>
      <c r="C13" s="158"/>
      <c r="D13" s="159"/>
      <c r="E13" s="159"/>
      <c r="F13" s="159"/>
      <c r="G13" s="159"/>
      <c r="H13" s="207"/>
      <c r="I13" s="29" t="s">
        <v>344</v>
      </c>
      <c r="J13" s="29"/>
      <c r="K13" s="620">
        <f>(9.6%+K71)</f>
        <v>9.6000000000000002E-2</v>
      </c>
      <c r="L13" s="29"/>
      <c r="M13" s="29"/>
      <c r="N13" s="29"/>
      <c r="O13" s="29"/>
      <c r="P13" s="29"/>
      <c r="Q13" s="207"/>
      <c r="R13" s="207"/>
      <c r="S13" s="207"/>
      <c r="T13" s="62"/>
      <c r="U13" s="62"/>
      <c r="V13" s="62"/>
      <c r="W13" s="62"/>
      <c r="X13" s="62"/>
      <c r="Y13" s="62"/>
      <c r="Z13" s="62"/>
      <c r="AA13" s="62"/>
      <c r="AB13" s="62"/>
    </row>
    <row r="14" spans="1:28" s="1" customFormat="1" ht="13.5" customHeight="1" thickTop="1">
      <c r="A14" s="195" t="s">
        <v>296</v>
      </c>
      <c r="B14" s="195"/>
      <c r="C14" s="62"/>
      <c r="D14" s="62"/>
      <c r="E14" s="62"/>
      <c r="F14" s="62"/>
      <c r="G14" s="62"/>
      <c r="H14" s="62"/>
      <c r="I14" s="29" t="s">
        <v>194</v>
      </c>
      <c r="J14" s="29"/>
      <c r="K14" s="620">
        <v>8.4500000000000006E-2</v>
      </c>
      <c r="L14" s="29"/>
      <c r="M14" s="29"/>
      <c r="N14" s="29"/>
      <c r="O14" s="29"/>
      <c r="P14" s="29"/>
      <c r="Q14" s="29"/>
      <c r="R14" s="29"/>
      <c r="S14" s="29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s="1" customFormat="1" ht="15.75">
      <c r="A15" s="62" t="s">
        <v>298</v>
      </c>
      <c r="B15" s="189" t="s">
        <v>77</v>
      </c>
      <c r="C15" s="594">
        <f>2.497*0+2.774</f>
        <v>2.774</v>
      </c>
      <c r="D15" s="62"/>
      <c r="E15" s="62"/>
      <c r="F15" s="62"/>
      <c r="G15" s="62"/>
      <c r="H15" s="62"/>
      <c r="I15" s="29" t="s">
        <v>345</v>
      </c>
      <c r="J15" s="29"/>
      <c r="K15" s="519">
        <f>4%*0+3%</f>
        <v>0.03</v>
      </c>
      <c r="L15" s="29"/>
      <c r="M15" s="29"/>
      <c r="N15" s="29"/>
      <c r="O15" s="29"/>
      <c r="P15" s="29"/>
      <c r="Q15" s="29"/>
      <c r="R15" s="29"/>
      <c r="S15" s="29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s="1" customFormat="1">
      <c r="A16" s="62" t="s">
        <v>297</v>
      </c>
      <c r="B16" s="62"/>
      <c r="C16" s="515">
        <f>90%</f>
        <v>0.9</v>
      </c>
      <c r="D16" s="62"/>
      <c r="E16" s="62"/>
      <c r="F16" s="62"/>
      <c r="G16" s="62"/>
      <c r="H16" s="62"/>
      <c r="I16" s="29"/>
      <c r="J16" s="29"/>
      <c r="K16" s="29"/>
      <c r="L16" s="207"/>
      <c r="M16" s="207"/>
      <c r="N16" s="207"/>
      <c r="O16" s="207"/>
      <c r="P16" s="207"/>
      <c r="Q16" s="29"/>
      <c r="R16" s="29"/>
      <c r="S16" s="29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s="1" customFormat="1" ht="15.75">
      <c r="A17" s="62" t="s">
        <v>27</v>
      </c>
      <c r="B17" s="189" t="s">
        <v>308</v>
      </c>
      <c r="C17" s="523">
        <v>3400</v>
      </c>
      <c r="D17" s="253" t="s">
        <v>376</v>
      </c>
      <c r="E17" s="253" t="s">
        <v>387</v>
      </c>
      <c r="F17" s="62"/>
      <c r="G17" s="62"/>
      <c r="H17" s="62"/>
      <c r="I17" s="198" t="s">
        <v>348</v>
      </c>
      <c r="J17" s="199"/>
      <c r="K17" s="199"/>
      <c r="L17" s="199"/>
      <c r="M17" s="198" t="s">
        <v>349</v>
      </c>
      <c r="N17" s="199"/>
      <c r="O17" s="199"/>
      <c r="P17" s="199"/>
      <c r="Q17" s="29"/>
      <c r="R17" s="29"/>
      <c r="S17" s="29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s="1" customFormat="1" ht="12.75">
      <c r="A18" s="62" t="s">
        <v>299</v>
      </c>
      <c r="B18" s="189" t="s">
        <v>309</v>
      </c>
      <c r="C18" s="189">
        <v>955</v>
      </c>
      <c r="D18" s="517">
        <f>'Coal Cost'!F30</f>
        <v>2267.8597</v>
      </c>
      <c r="E18" s="266">
        <f>(D18/$C$17*$C$8/(1-$C$10))/1000</f>
        <v>1.64542793025433</v>
      </c>
      <c r="F18" s="62"/>
      <c r="G18" s="62"/>
      <c r="H18" s="62"/>
      <c r="I18" s="62" t="s">
        <v>195</v>
      </c>
      <c r="J18" s="29"/>
      <c r="K18" s="211">
        <v>2.5</v>
      </c>
      <c r="L18" s="29"/>
      <c r="M18" s="62" t="s">
        <v>199</v>
      </c>
      <c r="N18" s="29"/>
      <c r="O18" s="211">
        <v>6</v>
      </c>
      <c r="P18" s="29"/>
      <c r="Q18" s="29"/>
      <c r="R18" s="29"/>
      <c r="S18" s="29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s="1" customFormat="1" ht="12.75">
      <c r="A19" s="62" t="s">
        <v>300</v>
      </c>
      <c r="B19" s="62"/>
      <c r="C19" s="193">
        <v>0.03</v>
      </c>
      <c r="D19" s="62"/>
      <c r="E19" s="62"/>
      <c r="F19" s="62"/>
      <c r="G19" s="62"/>
      <c r="H19" s="62"/>
      <c r="I19" s="62" t="s">
        <v>196</v>
      </c>
      <c r="J19" s="29"/>
      <c r="K19" s="211">
        <v>2.5</v>
      </c>
      <c r="L19" s="29"/>
      <c r="M19" s="62" t="s">
        <v>200</v>
      </c>
      <c r="N19" s="29"/>
      <c r="O19" s="211">
        <v>6</v>
      </c>
      <c r="P19" s="29"/>
      <c r="Q19" s="29"/>
      <c r="R19" s="29"/>
      <c r="S19" s="29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s="1" customFormat="1" ht="12.75">
      <c r="A20" s="62" t="s">
        <v>375</v>
      </c>
      <c r="B20" s="62"/>
      <c r="C20" s="204">
        <v>43556</v>
      </c>
      <c r="D20" s="62"/>
      <c r="E20" s="62"/>
      <c r="F20" s="62"/>
      <c r="G20" s="62"/>
      <c r="H20" s="29"/>
      <c r="I20" s="62" t="s">
        <v>197</v>
      </c>
      <c r="J20" s="29"/>
      <c r="K20" s="211">
        <v>2.5</v>
      </c>
      <c r="L20" s="29"/>
      <c r="M20" s="62" t="s">
        <v>201</v>
      </c>
      <c r="N20" s="29"/>
      <c r="O20" s="211">
        <v>6</v>
      </c>
      <c r="P20" s="29"/>
      <c r="Q20" s="29"/>
      <c r="R20" s="29"/>
      <c r="S20" s="29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s="1" customFormat="1" ht="12.75">
      <c r="A21" s="196"/>
      <c r="B21" s="196"/>
      <c r="C21" s="196"/>
      <c r="D21" s="196"/>
      <c r="E21" s="196"/>
      <c r="F21" s="196"/>
      <c r="G21" s="196"/>
      <c r="H21" s="62"/>
      <c r="I21" s="62" t="s">
        <v>210</v>
      </c>
      <c r="J21" s="29"/>
      <c r="K21" s="211">
        <v>2.5</v>
      </c>
      <c r="L21" s="29"/>
      <c r="M21" s="62" t="s">
        <v>202</v>
      </c>
      <c r="N21" s="29"/>
      <c r="O21" s="211">
        <v>6</v>
      </c>
      <c r="P21" s="29"/>
      <c r="Q21" s="29"/>
      <c r="R21" s="29"/>
      <c r="S21" s="29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s="1" customFormat="1" ht="15.75">
      <c r="A22" s="197" t="s">
        <v>350</v>
      </c>
      <c r="B22" s="197"/>
      <c r="C22" s="62"/>
      <c r="D22" s="62"/>
      <c r="E22" s="62"/>
      <c r="F22" s="62"/>
      <c r="G22" s="62"/>
      <c r="H22" s="62"/>
      <c r="I22" s="62" t="s">
        <v>198</v>
      </c>
      <c r="J22" s="29"/>
      <c r="K22" s="211" t="s">
        <v>385</v>
      </c>
      <c r="L22" s="29"/>
      <c r="M22" s="62" t="s">
        <v>203</v>
      </c>
      <c r="N22" s="29"/>
      <c r="O22" s="211">
        <v>6</v>
      </c>
      <c r="P22" s="29"/>
      <c r="Q22" s="29"/>
      <c r="R22" s="29"/>
      <c r="S22" s="29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s="1" customFormat="1" ht="12.75">
      <c r="A23" s="62" t="s">
        <v>301</v>
      </c>
      <c r="B23" s="62"/>
      <c r="C23" s="189" t="s">
        <v>64</v>
      </c>
      <c r="D23" s="62"/>
      <c r="E23" s="62"/>
      <c r="F23" s="62"/>
      <c r="G23" s="62"/>
      <c r="H23" s="62"/>
      <c r="I23" s="62" t="s">
        <v>100</v>
      </c>
      <c r="J23" s="29"/>
      <c r="K23" s="211">
        <v>2</v>
      </c>
      <c r="L23" s="29"/>
      <c r="M23" s="62" t="s">
        <v>204</v>
      </c>
      <c r="N23" s="29"/>
      <c r="O23" s="211">
        <v>2</v>
      </c>
      <c r="P23" s="29"/>
      <c r="Q23" s="29"/>
      <c r="R23" s="29"/>
      <c r="S23" s="29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s="1" customFormat="1" ht="12.75">
      <c r="A24" s="62" t="s">
        <v>297</v>
      </c>
      <c r="B24" s="62"/>
      <c r="C24" s="190">
        <v>1</v>
      </c>
      <c r="D24" s="62"/>
      <c r="E24" s="62"/>
      <c r="F24" s="62"/>
      <c r="G24" s="62"/>
      <c r="H24" s="62"/>
      <c r="I24" s="29"/>
      <c r="J24" s="29"/>
      <c r="K24" s="29"/>
      <c r="L24" s="29"/>
      <c r="M24" s="62" t="s">
        <v>207</v>
      </c>
      <c r="N24" s="29"/>
      <c r="O24" s="211">
        <v>8</v>
      </c>
      <c r="P24" s="29"/>
      <c r="Q24" s="29"/>
      <c r="R24" s="29"/>
      <c r="S24" s="29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s="1" customFormat="1" ht="12.75">
      <c r="A25" s="62" t="s">
        <v>27</v>
      </c>
      <c r="B25" s="189" t="s">
        <v>308</v>
      </c>
      <c r="C25" s="523">
        <v>3600</v>
      </c>
      <c r="D25" s="253" t="s">
        <v>311</v>
      </c>
      <c r="E25" s="253" t="s">
        <v>376</v>
      </c>
      <c r="F25" s="253" t="s">
        <v>387</v>
      </c>
      <c r="G25" s="62"/>
      <c r="H25" s="62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62"/>
      <c r="U25" s="62"/>
      <c r="V25" s="62"/>
      <c r="W25" s="62"/>
      <c r="X25" s="62"/>
      <c r="Y25" s="62"/>
      <c r="Z25" s="62"/>
      <c r="AA25" s="62"/>
      <c r="AB25" s="62"/>
    </row>
    <row r="26" spans="1:28" s="1" customFormat="1" ht="12.75">
      <c r="A26" s="62" t="s">
        <v>299</v>
      </c>
      <c r="B26" s="189" t="s">
        <v>309</v>
      </c>
      <c r="C26" s="189">
        <f>C18</f>
        <v>955</v>
      </c>
      <c r="D26" s="254">
        <f>C26*(1+C27)</f>
        <v>1432.5</v>
      </c>
      <c r="E26" s="254">
        <f>'Coal Cost'!F62</f>
        <v>2861.8888000000002</v>
      </c>
      <c r="F26" s="266">
        <f>(E26/$C$25*$C$8/(1-$C$10))/1000</f>
        <v>1.961064385499558</v>
      </c>
      <c r="G26" s="62"/>
      <c r="H26" s="62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62"/>
      <c r="U26" s="62"/>
      <c r="V26" s="62"/>
      <c r="W26" s="62"/>
      <c r="X26" s="62"/>
      <c r="Y26" s="62"/>
      <c r="Z26" s="62"/>
      <c r="AA26" s="62"/>
      <c r="AB26" s="62"/>
    </row>
    <row r="27" spans="1:28" s="1" customFormat="1" ht="12.75">
      <c r="A27" s="62" t="s">
        <v>22</v>
      </c>
      <c r="B27" s="62"/>
      <c r="C27" s="190">
        <v>0.5</v>
      </c>
      <c r="D27" s="62"/>
      <c r="E27" s="62"/>
      <c r="F27" s="62"/>
      <c r="G27" s="62"/>
      <c r="H27" s="62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62"/>
      <c r="U27" s="62"/>
      <c r="V27" s="62"/>
      <c r="W27" s="62"/>
      <c r="X27" s="62"/>
      <c r="Y27" s="62"/>
      <c r="Z27" s="62"/>
      <c r="AA27" s="62"/>
      <c r="AB27" s="62"/>
    </row>
    <row r="28" spans="1:28" s="1" customFormat="1" ht="19.5" thickBot="1">
      <c r="A28" s="62" t="s">
        <v>300</v>
      </c>
      <c r="B28" s="62"/>
      <c r="C28" s="193">
        <v>0.03</v>
      </c>
      <c r="D28" s="62"/>
      <c r="E28" s="62"/>
      <c r="F28" s="62"/>
      <c r="G28" s="62"/>
      <c r="H28" s="62"/>
      <c r="I28" s="134" t="s">
        <v>351</v>
      </c>
      <c r="J28" s="134"/>
      <c r="K28" s="134"/>
      <c r="L28" s="158"/>
      <c r="M28" s="159"/>
      <c r="N28" s="159"/>
      <c r="O28" s="159"/>
      <c r="P28" s="159"/>
      <c r="Q28" s="29"/>
      <c r="R28" s="29"/>
      <c r="S28" s="29"/>
      <c r="T28" s="62"/>
      <c r="U28" s="62"/>
      <c r="V28" s="62"/>
      <c r="W28" s="62"/>
      <c r="X28" s="62"/>
      <c r="Y28" s="62"/>
      <c r="Z28" s="62"/>
      <c r="AA28" s="62"/>
      <c r="AB28" s="62"/>
    </row>
    <row r="29" spans="1:28" s="1" customFormat="1" ht="16.5" thickTop="1">
      <c r="A29" s="62" t="s">
        <v>375</v>
      </c>
      <c r="B29" s="62"/>
      <c r="C29" s="204">
        <v>43556</v>
      </c>
      <c r="D29" s="62"/>
      <c r="E29" s="62"/>
      <c r="F29" s="62"/>
      <c r="G29" s="62"/>
      <c r="H29" s="29"/>
      <c r="I29" s="206" t="s">
        <v>88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62"/>
      <c r="U29" s="62"/>
      <c r="V29" s="62"/>
      <c r="W29" s="62"/>
      <c r="X29" s="62"/>
      <c r="Y29" s="62"/>
      <c r="Z29" s="62"/>
      <c r="AA29" s="62"/>
      <c r="AB29" s="62"/>
    </row>
    <row r="30" spans="1:28" s="1" customFormat="1" ht="12.75">
      <c r="A30" s="62" t="s">
        <v>379</v>
      </c>
      <c r="B30" s="62"/>
      <c r="C30" s="193">
        <v>0.75</v>
      </c>
      <c r="D30" s="62"/>
      <c r="E30" s="62"/>
      <c r="F30" s="62"/>
      <c r="G30" s="62"/>
      <c r="H30" s="62"/>
      <c r="I30" s="62" t="s">
        <v>89</v>
      </c>
      <c r="J30" s="189" t="s">
        <v>92</v>
      </c>
      <c r="K30" s="189">
        <v>30</v>
      </c>
      <c r="L30" s="29"/>
      <c r="M30" s="29"/>
      <c r="N30" s="29"/>
      <c r="O30" s="29"/>
      <c r="P30" s="29"/>
      <c r="Q30" s="29"/>
      <c r="R30" s="29"/>
      <c r="S30" s="29"/>
      <c r="T30" s="62"/>
      <c r="U30" s="62"/>
      <c r="V30" s="62"/>
      <c r="W30" s="62"/>
      <c r="X30" s="62"/>
      <c r="Y30" s="62"/>
      <c r="Z30" s="62"/>
      <c r="AA30" s="62"/>
      <c r="AB30" s="62"/>
    </row>
    <row r="31" spans="1:28" s="1" customFormat="1" ht="15.75">
      <c r="A31" s="198" t="s">
        <v>302</v>
      </c>
      <c r="B31" s="198"/>
      <c r="C31" s="199"/>
      <c r="D31" s="199"/>
      <c r="E31" s="199"/>
      <c r="F31" s="199"/>
      <c r="G31" s="199"/>
      <c r="H31" s="62"/>
      <c r="I31" s="62" t="s">
        <v>90</v>
      </c>
      <c r="J31" s="29"/>
      <c r="K31" s="190">
        <v>0.9</v>
      </c>
      <c r="L31" s="29"/>
      <c r="M31" s="29"/>
      <c r="N31" s="29"/>
      <c r="O31" s="29"/>
      <c r="P31" s="29"/>
      <c r="Q31" s="29"/>
      <c r="R31" s="29"/>
      <c r="S31" s="29"/>
      <c r="T31" s="62"/>
      <c r="U31" s="62"/>
      <c r="V31" s="62"/>
      <c r="W31" s="62"/>
      <c r="X31" s="62"/>
      <c r="Y31" s="62"/>
      <c r="Z31" s="62"/>
      <c r="AA31" s="62"/>
      <c r="AB31" s="62"/>
    </row>
    <row r="32" spans="1:28" s="1" customFormat="1" ht="12.75">
      <c r="A32" s="62" t="s">
        <v>299</v>
      </c>
      <c r="B32" s="189" t="s">
        <v>309</v>
      </c>
      <c r="C32" s="189">
        <f>C26</f>
        <v>955</v>
      </c>
      <c r="D32" s="253" t="s">
        <v>311</v>
      </c>
      <c r="E32" s="253" t="s">
        <v>376</v>
      </c>
      <c r="F32" s="253" t="s">
        <v>387</v>
      </c>
      <c r="G32" s="62"/>
      <c r="H32" s="62"/>
      <c r="I32" s="62" t="s">
        <v>91</v>
      </c>
      <c r="J32" s="189" t="s">
        <v>353</v>
      </c>
      <c r="K32" s="209">
        <v>5.5</v>
      </c>
      <c r="L32" s="29"/>
      <c r="M32" s="29"/>
      <c r="N32" s="29"/>
      <c r="O32" s="29"/>
      <c r="P32" s="29"/>
      <c r="Q32" s="29"/>
      <c r="R32" s="29"/>
      <c r="S32" s="29"/>
      <c r="T32" s="62"/>
      <c r="U32" s="62"/>
      <c r="V32" s="62"/>
      <c r="W32" s="62"/>
      <c r="X32" s="62"/>
      <c r="Y32" s="62"/>
      <c r="Z32" s="62"/>
      <c r="AA32" s="62"/>
      <c r="AB32" s="62"/>
    </row>
    <row r="33" spans="1:28" s="1" customFormat="1" ht="12.75">
      <c r="A33" s="62" t="s">
        <v>303</v>
      </c>
      <c r="B33" s="62"/>
      <c r="C33" s="515">
        <f>40%*0</f>
        <v>0</v>
      </c>
      <c r="D33" s="517">
        <f>C32*(1+C33)</f>
        <v>955</v>
      </c>
      <c r="E33" s="517">
        <f>'Coal Cost'!F94</f>
        <v>2296.8397</v>
      </c>
      <c r="F33" s="267">
        <f>(E33/$C$35*$C$8/(1-$C$10))/1000</f>
        <v>1.7706075273541115</v>
      </c>
      <c r="G33" s="62"/>
      <c r="H33" s="62"/>
      <c r="I33" s="29" t="s">
        <v>300</v>
      </c>
      <c r="J33" s="29"/>
      <c r="K33" s="208">
        <v>0.05</v>
      </c>
      <c r="L33" s="29"/>
      <c r="M33" s="29"/>
      <c r="N33" s="29"/>
      <c r="O33" s="29"/>
      <c r="P33" s="29"/>
      <c r="Q33" s="29"/>
      <c r="R33" s="29"/>
      <c r="S33" s="29"/>
      <c r="T33" s="62"/>
      <c r="U33" s="62"/>
      <c r="V33" s="62"/>
      <c r="W33" s="62"/>
      <c r="X33" s="62"/>
      <c r="Y33" s="62"/>
      <c r="Z33" s="62"/>
      <c r="AA33" s="62"/>
      <c r="AB33" s="62"/>
    </row>
    <row r="34" spans="1:28" s="1" customFormat="1" ht="12.75">
      <c r="A34" s="62" t="s">
        <v>304</v>
      </c>
      <c r="B34" s="62"/>
      <c r="C34" s="515">
        <f>40%*0</f>
        <v>0</v>
      </c>
      <c r="D34" s="517">
        <f>C32*(1+C34)</f>
        <v>955</v>
      </c>
      <c r="E34" s="517">
        <f>'Coal Cost'!F126</f>
        <v>2296.8397</v>
      </c>
      <c r="F34" s="267">
        <f>(E34/$C$35*$C$8/(1-$C$10))/1000</f>
        <v>1.7706075273541115</v>
      </c>
      <c r="G34" s="62"/>
      <c r="H34" s="62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62"/>
      <c r="U34" s="62"/>
      <c r="V34" s="62"/>
      <c r="W34" s="62"/>
      <c r="X34" s="62"/>
      <c r="Y34" s="62"/>
      <c r="Z34" s="62"/>
      <c r="AA34" s="62"/>
      <c r="AB34" s="62"/>
    </row>
    <row r="35" spans="1:28" s="1" customFormat="1" ht="15.75">
      <c r="A35" s="62" t="s">
        <v>27</v>
      </c>
      <c r="B35" s="189" t="s">
        <v>308</v>
      </c>
      <c r="C35" s="516">
        <f>3600*0+3200</f>
        <v>3200</v>
      </c>
      <c r="D35" s="62"/>
      <c r="E35" s="62"/>
      <c r="F35" s="62"/>
      <c r="G35" s="62"/>
      <c r="H35" s="62"/>
      <c r="I35" s="198" t="s">
        <v>93</v>
      </c>
      <c r="J35" s="199"/>
      <c r="K35" s="199"/>
      <c r="L35" s="199"/>
      <c r="M35" s="199"/>
      <c r="N35" s="199"/>
      <c r="O35" s="199"/>
      <c r="P35" s="199"/>
      <c r="Q35" s="29"/>
      <c r="R35" s="29"/>
      <c r="S35" s="29"/>
      <c r="T35" s="62"/>
      <c r="U35" s="62"/>
      <c r="V35" s="62"/>
      <c r="W35" s="62"/>
      <c r="X35" s="62"/>
      <c r="Y35" s="62"/>
      <c r="Z35" s="62"/>
      <c r="AA35" s="62"/>
      <c r="AB35" s="62"/>
    </row>
    <row r="36" spans="1:28" s="1" customFormat="1" ht="12.75">
      <c r="A36" s="62" t="s">
        <v>305</v>
      </c>
      <c r="B36" s="62"/>
      <c r="C36" s="200"/>
      <c r="D36" s="62"/>
      <c r="E36" s="62"/>
      <c r="F36" s="62"/>
      <c r="G36" s="62"/>
      <c r="H36" s="62"/>
      <c r="I36" s="62" t="s">
        <v>94</v>
      </c>
      <c r="J36" s="29"/>
      <c r="K36" s="208">
        <v>0.1</v>
      </c>
      <c r="L36" s="29"/>
      <c r="M36" s="29"/>
      <c r="N36" s="29"/>
      <c r="O36" s="29"/>
      <c r="P36" s="29"/>
      <c r="Q36" s="29"/>
      <c r="R36" s="29"/>
      <c r="S36" s="29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s="1" customFormat="1" ht="12.75">
      <c r="A37" s="172" t="s">
        <v>23</v>
      </c>
      <c r="B37" s="62"/>
      <c r="C37" s="190">
        <v>0.75</v>
      </c>
      <c r="D37" s="62"/>
      <c r="E37" s="62"/>
      <c r="F37" s="112"/>
      <c r="G37" s="62"/>
      <c r="H37" s="62"/>
      <c r="I37" s="62" t="s">
        <v>352</v>
      </c>
      <c r="J37" s="189" t="s">
        <v>354</v>
      </c>
      <c r="K37" s="209">
        <v>6.41</v>
      </c>
      <c r="L37" s="29"/>
      <c r="M37" s="29"/>
      <c r="N37" s="29"/>
      <c r="O37" s="29"/>
      <c r="P37" s="29"/>
      <c r="Q37" s="29"/>
      <c r="R37" s="29"/>
      <c r="S37" s="29"/>
      <c r="T37" s="62"/>
      <c r="U37" s="62"/>
      <c r="V37" s="62"/>
      <c r="W37" s="62"/>
      <c r="X37" s="62"/>
      <c r="Y37" s="62"/>
      <c r="Z37" s="62"/>
      <c r="AA37" s="62"/>
      <c r="AB37" s="62"/>
    </row>
    <row r="38" spans="1:28" s="1" customFormat="1" ht="12.75">
      <c r="A38" s="172" t="s">
        <v>25</v>
      </c>
      <c r="B38" s="62"/>
      <c r="C38" s="190">
        <f>1-C37</f>
        <v>0.25</v>
      </c>
      <c r="D38" s="62"/>
      <c r="E38" s="62"/>
      <c r="F38" s="62"/>
      <c r="G38" s="62"/>
      <c r="H38" s="62"/>
      <c r="I38" s="29" t="s">
        <v>300</v>
      </c>
      <c r="J38" s="29"/>
      <c r="K38" s="208">
        <v>0.05</v>
      </c>
      <c r="L38" s="29"/>
      <c r="M38" s="29"/>
      <c r="N38" s="29"/>
      <c r="O38" s="29"/>
      <c r="P38" s="29"/>
      <c r="Q38" s="29"/>
      <c r="R38" s="29"/>
      <c r="S38" s="29"/>
      <c r="T38" s="62"/>
      <c r="U38" s="62"/>
      <c r="V38" s="62"/>
      <c r="W38" s="62"/>
      <c r="X38" s="62"/>
      <c r="Y38" s="62"/>
      <c r="Z38" s="62"/>
      <c r="AA38" s="62"/>
      <c r="AB38" s="62"/>
    </row>
    <row r="39" spans="1:28" s="1" customFormat="1" ht="12.75">
      <c r="A39" s="62" t="s">
        <v>300</v>
      </c>
      <c r="B39" s="62"/>
      <c r="C39" s="193">
        <v>0</v>
      </c>
      <c r="D39" s="62"/>
      <c r="E39" s="62"/>
      <c r="F39" s="62"/>
      <c r="G39" s="62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62"/>
      <c r="U39" s="62"/>
      <c r="V39" s="62"/>
      <c r="W39" s="62"/>
      <c r="X39" s="62"/>
      <c r="Y39" s="62"/>
      <c r="Z39" s="62"/>
      <c r="AA39" s="62"/>
      <c r="AB39" s="62"/>
    </row>
    <row r="40" spans="1:28" s="1" customFormat="1" ht="15.75">
      <c r="A40" s="62" t="s">
        <v>379</v>
      </c>
      <c r="B40" s="62"/>
      <c r="C40" s="193">
        <v>0.5</v>
      </c>
      <c r="D40" s="62"/>
      <c r="E40" s="62"/>
      <c r="F40" s="62"/>
      <c r="G40" s="62"/>
      <c r="H40" s="62"/>
      <c r="I40" s="198" t="s">
        <v>95</v>
      </c>
      <c r="J40" s="199"/>
      <c r="K40" s="199"/>
      <c r="L40" s="199"/>
      <c r="M40" s="199"/>
      <c r="N40" s="199"/>
      <c r="O40" s="199"/>
      <c r="P40" s="199"/>
      <c r="Q40" s="29"/>
      <c r="R40" s="29"/>
      <c r="S40" s="29"/>
      <c r="T40" s="62"/>
      <c r="U40" s="62"/>
      <c r="V40" s="62"/>
      <c r="W40" s="62"/>
      <c r="X40" s="62"/>
      <c r="Y40" s="62"/>
      <c r="Z40" s="62"/>
      <c r="AA40" s="62"/>
      <c r="AB40" s="62"/>
    </row>
    <row r="41" spans="1:28" s="1" customFormat="1" ht="12.75">
      <c r="A41" s="62"/>
      <c r="B41" s="62"/>
      <c r="C41" s="201"/>
      <c r="D41" s="62"/>
      <c r="E41" s="62"/>
      <c r="F41" s="62"/>
      <c r="G41" s="62"/>
      <c r="H41" s="62"/>
      <c r="I41" s="62" t="s">
        <v>98</v>
      </c>
      <c r="J41" s="29"/>
      <c r="K41" s="208">
        <v>0.44</v>
      </c>
      <c r="L41" s="29"/>
      <c r="M41" s="29"/>
      <c r="N41" s="29"/>
      <c r="O41" s="29"/>
      <c r="P41" s="29"/>
      <c r="Q41" s="29"/>
      <c r="R41" s="29"/>
      <c r="S41" s="29"/>
      <c r="T41" s="62"/>
      <c r="U41" s="62"/>
      <c r="V41" s="62"/>
      <c r="W41" s="62"/>
      <c r="X41" s="62"/>
      <c r="Y41" s="62"/>
      <c r="Z41" s="62"/>
      <c r="AA41" s="62"/>
      <c r="AB41" s="62"/>
    </row>
    <row r="42" spans="1:28" s="1" customFormat="1" ht="15.75">
      <c r="A42" s="198" t="s">
        <v>100</v>
      </c>
      <c r="B42" s="199"/>
      <c r="C42" s="202"/>
      <c r="D42" s="199"/>
      <c r="E42" s="199"/>
      <c r="F42" s="199"/>
      <c r="G42" s="199"/>
      <c r="H42" s="62"/>
      <c r="I42" s="62" t="s">
        <v>99</v>
      </c>
      <c r="J42" s="29"/>
      <c r="K42" s="194">
        <v>0.8</v>
      </c>
      <c r="L42" s="29"/>
      <c r="M42" s="29"/>
      <c r="N42" s="29"/>
      <c r="O42" s="29"/>
      <c r="P42" s="29"/>
      <c r="Q42" s="29"/>
      <c r="R42" s="29"/>
      <c r="S42" s="29"/>
      <c r="T42" s="62"/>
      <c r="U42" s="62"/>
      <c r="V42" s="62"/>
      <c r="W42" s="62"/>
      <c r="X42" s="62"/>
      <c r="Y42" s="62"/>
      <c r="Z42" s="62"/>
      <c r="AA42" s="62"/>
      <c r="AB42" s="62"/>
    </row>
    <row r="43" spans="1:28" s="1" customFormat="1" ht="12.75">
      <c r="A43" s="62" t="s">
        <v>307</v>
      </c>
      <c r="B43" s="189" t="s">
        <v>310</v>
      </c>
      <c r="C43" s="189">
        <v>0.05</v>
      </c>
      <c r="D43" s="62"/>
      <c r="E43" s="62"/>
      <c r="F43" s="62"/>
      <c r="G43" s="62"/>
      <c r="H43" s="62"/>
      <c r="I43" s="62" t="s">
        <v>19</v>
      </c>
      <c r="J43" s="189" t="s">
        <v>355</v>
      </c>
      <c r="K43" s="209">
        <v>150</v>
      </c>
      <c r="L43" s="29"/>
      <c r="M43" s="29"/>
      <c r="N43" s="29"/>
      <c r="O43" s="29"/>
      <c r="P43" s="29"/>
      <c r="Q43" s="29"/>
      <c r="R43" s="29"/>
      <c r="S43" s="29"/>
      <c r="T43" s="62"/>
      <c r="U43" s="62"/>
      <c r="V43" s="62"/>
      <c r="W43" s="62"/>
      <c r="X43" s="62"/>
      <c r="Y43" s="62"/>
      <c r="Z43" s="62"/>
      <c r="AA43" s="62"/>
      <c r="AB43" s="62"/>
    </row>
    <row r="44" spans="1:28" s="1" customFormat="1" ht="12.75">
      <c r="A44" s="62" t="s">
        <v>311</v>
      </c>
      <c r="B44" s="189" t="s">
        <v>312</v>
      </c>
      <c r="C44" s="189">
        <v>55000</v>
      </c>
      <c r="D44" s="62"/>
      <c r="E44" s="62"/>
      <c r="F44" s="62"/>
      <c r="G44" s="62"/>
      <c r="H44" s="62"/>
      <c r="I44" s="29" t="s">
        <v>300</v>
      </c>
      <c r="J44" s="29"/>
      <c r="K44" s="208">
        <v>0.05</v>
      </c>
      <c r="L44" s="29"/>
      <c r="M44" s="29"/>
      <c r="N44" s="29"/>
      <c r="O44" s="29"/>
      <c r="P44" s="29"/>
      <c r="Q44" s="29"/>
      <c r="R44" s="29"/>
      <c r="S44" s="29"/>
      <c r="T44" s="62"/>
      <c r="U44" s="62"/>
      <c r="V44" s="62"/>
      <c r="W44" s="62"/>
      <c r="X44" s="62"/>
      <c r="Y44" s="62"/>
      <c r="Z44" s="62"/>
      <c r="AA44" s="62"/>
      <c r="AB44" s="62"/>
    </row>
    <row r="45" spans="1:28" s="1" customFormat="1">
      <c r="A45" s="62" t="s">
        <v>300</v>
      </c>
      <c r="B45" s="62"/>
      <c r="C45" s="190">
        <v>0.05</v>
      </c>
      <c r="D45" s="62"/>
      <c r="E45" s="62"/>
      <c r="F45" s="62"/>
      <c r="G45" s="62"/>
      <c r="H45" s="207"/>
      <c r="I45" s="29"/>
      <c r="J45" s="29"/>
      <c r="K45" s="29"/>
      <c r="L45" s="29"/>
      <c r="M45" s="29"/>
      <c r="N45" s="29"/>
      <c r="O45" s="29"/>
      <c r="P45" s="29"/>
      <c r="Q45" s="207"/>
      <c r="R45" s="207"/>
      <c r="S45" s="207"/>
      <c r="T45" s="62"/>
      <c r="U45" s="62"/>
      <c r="V45" s="62"/>
      <c r="W45" s="62"/>
      <c r="X45" s="62"/>
      <c r="Y45" s="62"/>
      <c r="Z45" s="62"/>
      <c r="AA45" s="62"/>
      <c r="AB45" s="62"/>
    </row>
    <row r="46" spans="1:28" s="1" customFormat="1" ht="15.75">
      <c r="A46" s="62"/>
      <c r="B46" s="62"/>
      <c r="C46" s="62"/>
      <c r="D46" s="62"/>
      <c r="E46" s="62"/>
      <c r="F46" s="62"/>
      <c r="G46" s="62"/>
      <c r="H46" s="62"/>
      <c r="I46" s="198" t="s">
        <v>104</v>
      </c>
      <c r="J46" s="199"/>
      <c r="K46" s="199"/>
      <c r="L46" s="199"/>
      <c r="M46" s="199"/>
      <c r="N46" s="199"/>
      <c r="O46" s="199"/>
      <c r="P46" s="199"/>
      <c r="Q46" s="29"/>
      <c r="R46" s="29"/>
      <c r="S46" s="29"/>
      <c r="T46" s="62"/>
      <c r="U46" s="62"/>
      <c r="V46" s="62"/>
      <c r="W46" s="62"/>
      <c r="X46" s="62"/>
      <c r="Y46" s="62"/>
      <c r="Z46" s="62"/>
      <c r="AA46" s="62"/>
      <c r="AB46" s="62"/>
    </row>
    <row r="47" spans="1:28" s="1" customFormat="1" ht="12.75">
      <c r="A47" s="62"/>
      <c r="B47" s="62"/>
      <c r="C47" s="62"/>
      <c r="D47" s="62"/>
      <c r="E47" s="62"/>
      <c r="F47" s="62"/>
      <c r="G47" s="62"/>
      <c r="H47" s="62"/>
      <c r="I47" s="29" t="s">
        <v>106</v>
      </c>
      <c r="J47" s="189" t="s">
        <v>356</v>
      </c>
      <c r="K47" s="209">
        <v>0.125</v>
      </c>
      <c r="L47" s="29"/>
      <c r="M47" s="29"/>
      <c r="N47" s="29"/>
      <c r="O47" s="29"/>
      <c r="P47" s="29"/>
      <c r="Q47" s="29"/>
      <c r="R47" s="29"/>
      <c r="S47" s="29"/>
      <c r="T47" s="62"/>
      <c r="U47" s="62"/>
      <c r="V47" s="62"/>
      <c r="W47" s="62"/>
      <c r="X47" s="62"/>
      <c r="Y47" s="62"/>
      <c r="Z47" s="62"/>
      <c r="AA47" s="62"/>
      <c r="AB47" s="62"/>
    </row>
    <row r="48" spans="1:28" s="1" customFormat="1" ht="19.5" thickBot="1">
      <c r="A48" s="134" t="s">
        <v>313</v>
      </c>
      <c r="B48" s="134"/>
      <c r="C48" s="158"/>
      <c r="D48" s="159"/>
      <c r="E48" s="159"/>
      <c r="F48" s="159"/>
      <c r="G48" s="159"/>
      <c r="H48" s="62"/>
      <c r="I48" s="29" t="s">
        <v>300</v>
      </c>
      <c r="J48" s="29"/>
      <c r="K48" s="208">
        <v>0.05</v>
      </c>
      <c r="L48" s="207"/>
      <c r="M48" s="207"/>
      <c r="N48" s="207"/>
      <c r="O48" s="207"/>
      <c r="P48" s="207"/>
      <c r="Q48" s="29"/>
      <c r="R48" s="29"/>
      <c r="S48" s="29"/>
      <c r="T48" s="62"/>
      <c r="U48" s="62"/>
      <c r="V48" s="62"/>
      <c r="W48" s="62"/>
      <c r="X48" s="62"/>
      <c r="Y48" s="62"/>
      <c r="Z48" s="62"/>
      <c r="AA48" s="62"/>
      <c r="AB48" s="62"/>
    </row>
    <row r="49" spans="1:28" s="1" customFormat="1" ht="16.5" thickTop="1">
      <c r="A49" s="197" t="s">
        <v>314</v>
      </c>
      <c r="B49" s="62"/>
      <c r="C49" s="62"/>
      <c r="D49" s="62"/>
      <c r="E49" s="62"/>
      <c r="F49" s="62"/>
      <c r="G49" s="62"/>
      <c r="H49" s="62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62"/>
      <c r="U49" s="62"/>
      <c r="V49" s="62"/>
      <c r="W49" s="62"/>
      <c r="X49" s="62"/>
      <c r="Y49" s="62"/>
      <c r="Z49" s="62"/>
      <c r="AA49" s="62"/>
      <c r="AB49" s="62"/>
    </row>
    <row r="50" spans="1:28" s="1" customFormat="1" ht="12.75">
      <c r="A50" s="62" t="s">
        <v>315</v>
      </c>
      <c r="B50" s="62"/>
      <c r="C50" s="189" t="s">
        <v>316</v>
      </c>
      <c r="D50" s="62"/>
      <c r="E50" s="62"/>
      <c r="F50" s="62"/>
      <c r="G50" s="62"/>
      <c r="H50" s="62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62"/>
      <c r="U50" s="62"/>
      <c r="V50" s="62"/>
      <c r="W50" s="62"/>
      <c r="X50" s="62"/>
      <c r="Y50" s="62"/>
      <c r="Z50" s="62"/>
      <c r="AA50" s="62"/>
      <c r="AB50" s="62"/>
    </row>
    <row r="51" spans="1:28" s="1" customFormat="1" ht="15" customHeight="1" thickBot="1">
      <c r="A51" s="62" t="s">
        <v>323</v>
      </c>
      <c r="B51" s="189" t="s">
        <v>324</v>
      </c>
      <c r="C51" s="189">
        <v>208</v>
      </c>
      <c r="D51" s="62"/>
      <c r="E51" s="62"/>
      <c r="F51" s="62"/>
      <c r="G51" s="62"/>
      <c r="H51" s="62"/>
      <c r="I51" s="134" t="s">
        <v>369</v>
      </c>
      <c r="J51" s="134"/>
      <c r="K51" s="134"/>
      <c r="L51" s="158"/>
      <c r="M51" s="159"/>
      <c r="N51" s="159"/>
      <c r="O51" s="159"/>
      <c r="P51" s="159"/>
      <c r="Q51" s="29"/>
      <c r="R51" s="29"/>
      <c r="S51" s="29"/>
      <c r="T51" s="62"/>
      <c r="U51" s="62"/>
      <c r="V51" s="62"/>
      <c r="W51" s="62"/>
      <c r="X51" s="62"/>
      <c r="Y51" s="62"/>
      <c r="Z51" s="62"/>
      <c r="AA51" s="62"/>
      <c r="AB51" s="62"/>
    </row>
    <row r="52" spans="1:28" s="1" customFormat="1" ht="13.5" thickTop="1">
      <c r="A52" s="62" t="s">
        <v>327</v>
      </c>
      <c r="B52" s="29"/>
      <c r="C52" s="515">
        <v>1</v>
      </c>
      <c r="D52" s="62"/>
      <c r="E52" s="62"/>
      <c r="F52" s="62"/>
      <c r="G52" s="62"/>
      <c r="H52" s="62"/>
      <c r="I52" s="38" t="s">
        <v>359</v>
      </c>
      <c r="J52" s="29"/>
      <c r="K52" s="255">
        <f>(K53*(1+K54))*(1+K55)</f>
        <v>0.34944000000000003</v>
      </c>
      <c r="L52" s="29"/>
      <c r="M52" s="29"/>
      <c r="N52" s="29"/>
      <c r="O52" s="29"/>
      <c r="P52" s="29"/>
      <c r="Q52" s="29"/>
      <c r="R52" s="29"/>
      <c r="S52" s="29"/>
      <c r="T52" s="62"/>
      <c r="U52" s="62"/>
      <c r="V52" s="62"/>
      <c r="W52" s="62"/>
      <c r="X52" s="62"/>
      <c r="Y52" s="62"/>
      <c r="Z52" s="62"/>
      <c r="AA52" s="62"/>
      <c r="AB52" s="62"/>
    </row>
    <row r="53" spans="1:28" s="1" customFormat="1" ht="12.75">
      <c r="A53" s="62" t="s">
        <v>317</v>
      </c>
      <c r="B53" s="62"/>
      <c r="C53" s="203" t="s">
        <v>275</v>
      </c>
      <c r="D53" s="62"/>
      <c r="E53" s="62"/>
      <c r="F53" s="62"/>
      <c r="G53" s="62"/>
      <c r="H53" s="62"/>
      <c r="I53" s="29" t="s">
        <v>360</v>
      </c>
      <c r="J53" s="29"/>
      <c r="K53" s="208">
        <v>0.3</v>
      </c>
      <c r="L53" s="29"/>
      <c r="M53" s="29"/>
      <c r="N53" s="29"/>
      <c r="O53" s="29"/>
      <c r="P53" s="29"/>
      <c r="Q53" s="29"/>
      <c r="R53" s="29"/>
      <c r="S53" s="29"/>
      <c r="T53" s="62"/>
      <c r="U53" s="62"/>
      <c r="V53" s="62"/>
      <c r="W53" s="62"/>
      <c r="X53" s="62"/>
      <c r="Y53" s="62"/>
      <c r="Z53" s="62"/>
      <c r="AA53" s="62"/>
      <c r="AB53" s="62"/>
    </row>
    <row r="54" spans="1:28" s="1" customFormat="1" ht="12.75">
      <c r="A54" s="62" t="s">
        <v>370</v>
      </c>
      <c r="B54" s="62"/>
      <c r="C54" s="204">
        <v>47208</v>
      </c>
      <c r="D54" s="62"/>
      <c r="E54" s="62"/>
      <c r="F54" s="62"/>
      <c r="G54" s="62"/>
      <c r="H54" s="62"/>
      <c r="I54" s="29" t="s">
        <v>357</v>
      </c>
      <c r="J54" s="29"/>
      <c r="K54" s="208">
        <v>0.12</v>
      </c>
      <c r="L54" s="29"/>
      <c r="M54" s="29"/>
      <c r="N54" s="29"/>
      <c r="O54" s="29"/>
      <c r="P54" s="29"/>
      <c r="Q54" s="29"/>
      <c r="R54" s="29"/>
      <c r="S54" s="29"/>
      <c r="T54" s="62"/>
      <c r="U54" s="62"/>
      <c r="V54" s="62"/>
      <c r="W54" s="62"/>
      <c r="X54" s="62"/>
      <c r="Y54" s="62"/>
      <c r="Z54" s="62"/>
      <c r="AA54" s="62"/>
      <c r="AB54" s="62"/>
    </row>
    <row r="55" spans="1:28" s="1" customFormat="1" ht="12.75">
      <c r="A55" s="62" t="s">
        <v>318</v>
      </c>
      <c r="B55" s="62"/>
      <c r="C55" s="193">
        <v>0.03</v>
      </c>
      <c r="D55" s="62"/>
      <c r="E55" s="62"/>
      <c r="F55" s="62"/>
      <c r="G55" s="62"/>
      <c r="H55" s="29"/>
      <c r="I55" s="29" t="s">
        <v>358</v>
      </c>
      <c r="J55" s="29"/>
      <c r="K55" s="208">
        <v>0.04</v>
      </c>
      <c r="L55" s="29"/>
      <c r="M55" s="29"/>
      <c r="N55" s="29"/>
      <c r="O55" s="29"/>
      <c r="P55" s="29"/>
      <c r="Q55" s="29"/>
      <c r="R55" s="29"/>
      <c r="S55" s="29"/>
      <c r="T55" s="62"/>
      <c r="U55" s="62"/>
      <c r="V55" s="62"/>
      <c r="W55" s="62"/>
      <c r="X55" s="62"/>
      <c r="Y55" s="62"/>
      <c r="Z55" s="62"/>
      <c r="AA55" s="62"/>
      <c r="AB55" s="62"/>
    </row>
    <row r="56" spans="1:28" s="1" customFormat="1" ht="12.75">
      <c r="A56" s="62" t="s">
        <v>319</v>
      </c>
      <c r="B56" s="62"/>
      <c r="C56" s="193">
        <v>0.03</v>
      </c>
      <c r="D56" s="62"/>
      <c r="E56" s="62"/>
      <c r="F56" s="62"/>
      <c r="G56" s="62"/>
      <c r="H56" s="62"/>
      <c r="I56" s="38" t="s">
        <v>361</v>
      </c>
      <c r="J56" s="29"/>
      <c r="K56" s="255">
        <f>(K57*(1+K58))*(1+K59)</f>
        <v>0.21548800000000004</v>
      </c>
      <c r="L56" s="29"/>
      <c r="M56" s="29"/>
      <c r="N56" s="29"/>
      <c r="O56" s="29"/>
      <c r="P56" s="29"/>
      <c r="Q56" s="29"/>
      <c r="R56" s="29"/>
      <c r="S56" s="29"/>
      <c r="T56" s="62"/>
      <c r="U56" s="62"/>
      <c r="V56" s="62"/>
      <c r="W56" s="62"/>
      <c r="X56" s="62"/>
      <c r="Y56" s="62"/>
      <c r="Z56" s="62"/>
      <c r="AA56" s="62"/>
      <c r="AB56" s="62"/>
    </row>
    <row r="57" spans="1:28" s="1" customFormat="1" ht="12.75">
      <c r="A57" s="62" t="s">
        <v>320</v>
      </c>
      <c r="B57" s="189" t="s">
        <v>321</v>
      </c>
      <c r="C57" s="209">
        <v>0.28000000000000003</v>
      </c>
      <c r="D57" s="62"/>
      <c r="E57" s="62"/>
      <c r="F57" s="62"/>
      <c r="G57" s="62"/>
      <c r="H57" s="62"/>
      <c r="I57" s="29" t="s">
        <v>362</v>
      </c>
      <c r="J57" s="29"/>
      <c r="K57" s="208">
        <v>0.185</v>
      </c>
      <c r="L57" s="29"/>
      <c r="M57" s="29"/>
      <c r="N57" s="29"/>
      <c r="O57" s="29"/>
      <c r="P57" s="29"/>
      <c r="Q57" s="29"/>
      <c r="R57" s="29"/>
      <c r="S57" s="29"/>
      <c r="T57" s="62"/>
      <c r="U57" s="62"/>
      <c r="V57" s="62"/>
      <c r="W57" s="62"/>
      <c r="X57" s="62"/>
      <c r="Y57" s="62"/>
      <c r="Z57" s="62"/>
      <c r="AA57" s="62"/>
      <c r="AB57" s="62"/>
    </row>
    <row r="58" spans="1:28" s="1" customFormat="1" ht="12.75">
      <c r="A58" s="62"/>
      <c r="B58" s="62"/>
      <c r="C58" s="62"/>
      <c r="D58" s="62"/>
      <c r="E58" s="62"/>
      <c r="F58" s="62"/>
      <c r="G58" s="62"/>
      <c r="H58" s="62"/>
      <c r="I58" s="29" t="s">
        <v>357</v>
      </c>
      <c r="J58" s="29"/>
      <c r="K58" s="208">
        <v>0.12</v>
      </c>
      <c r="L58" s="29"/>
      <c r="M58" s="29"/>
      <c r="N58" s="29"/>
      <c r="O58" s="29"/>
      <c r="P58" s="29"/>
      <c r="Q58" s="29"/>
      <c r="R58" s="29"/>
      <c r="S58" s="29"/>
      <c r="T58" s="62"/>
      <c r="U58" s="62"/>
      <c r="V58" s="62"/>
      <c r="W58" s="62"/>
      <c r="X58" s="62"/>
      <c r="Y58" s="62"/>
      <c r="Z58" s="62"/>
      <c r="AA58" s="62"/>
      <c r="AB58" s="62"/>
    </row>
    <row r="59" spans="1:28" s="1" customFormat="1" ht="15.75">
      <c r="A59" s="198" t="s">
        <v>322</v>
      </c>
      <c r="B59" s="199"/>
      <c r="C59" s="199"/>
      <c r="D59" s="199"/>
      <c r="E59" s="199"/>
      <c r="F59" s="199"/>
      <c r="G59" s="199"/>
      <c r="H59" s="62"/>
      <c r="I59" s="29" t="s">
        <v>358</v>
      </c>
      <c r="J59" s="29"/>
      <c r="K59" s="208">
        <v>0.04</v>
      </c>
      <c r="L59" s="29"/>
      <c r="M59" s="29"/>
      <c r="N59" s="29"/>
      <c r="O59" s="29"/>
      <c r="P59" s="29"/>
      <c r="Q59" s="29"/>
      <c r="R59" s="29"/>
      <c r="S59" s="29"/>
      <c r="T59" s="62"/>
      <c r="U59" s="62"/>
      <c r="V59" s="62"/>
      <c r="W59" s="62"/>
      <c r="X59" s="62"/>
      <c r="Y59" s="62"/>
      <c r="Z59" s="62"/>
      <c r="AA59" s="62"/>
      <c r="AB59" s="62"/>
    </row>
    <row r="60" spans="1:28" s="1" customFormat="1" ht="12.75">
      <c r="A60" s="62" t="s">
        <v>315</v>
      </c>
      <c r="B60" s="62"/>
      <c r="C60" s="189" t="s">
        <v>316</v>
      </c>
      <c r="D60" s="62"/>
      <c r="E60" s="62"/>
      <c r="F60" s="62"/>
      <c r="G60" s="62"/>
      <c r="H60" s="62"/>
      <c r="I60" s="29" t="s">
        <v>366</v>
      </c>
      <c r="J60" s="29"/>
      <c r="K60" s="189" t="s">
        <v>275</v>
      </c>
      <c r="L60" s="29"/>
      <c r="M60" s="29"/>
      <c r="N60" s="29"/>
      <c r="O60" s="29"/>
      <c r="P60" s="29"/>
      <c r="Q60" s="29"/>
      <c r="R60" s="29"/>
      <c r="S60" s="29"/>
      <c r="T60" s="62"/>
      <c r="U60" s="62"/>
      <c r="V60" s="62"/>
      <c r="W60" s="62"/>
      <c r="X60" s="62"/>
      <c r="Y60" s="62"/>
      <c r="Z60" s="62"/>
      <c r="AA60" s="62"/>
      <c r="AB60" s="62"/>
    </row>
    <row r="61" spans="1:28" s="1" customFormat="1" ht="12.75">
      <c r="A61" s="62" t="s">
        <v>323</v>
      </c>
      <c r="B61" s="189" t="s">
        <v>324</v>
      </c>
      <c r="C61" s="189">
        <v>250</v>
      </c>
      <c r="D61" s="62"/>
      <c r="E61" s="62"/>
      <c r="F61" s="62"/>
      <c r="G61" s="62"/>
      <c r="H61" s="62"/>
      <c r="I61" s="29" t="s">
        <v>367</v>
      </c>
      <c r="J61" s="209" t="s">
        <v>368</v>
      </c>
      <c r="K61" s="209">
        <v>15</v>
      </c>
      <c r="L61" s="29"/>
      <c r="M61" s="29"/>
      <c r="N61" s="29"/>
      <c r="O61" s="29"/>
      <c r="P61" s="29"/>
      <c r="Q61" s="29"/>
      <c r="R61" s="29"/>
      <c r="S61" s="29"/>
      <c r="T61" s="62"/>
      <c r="U61" s="62"/>
      <c r="V61" s="62"/>
      <c r="W61" s="62"/>
      <c r="X61" s="62"/>
      <c r="Y61" s="62"/>
      <c r="Z61" s="62"/>
      <c r="AA61" s="62"/>
      <c r="AB61" s="62"/>
    </row>
    <row r="62" spans="1:28" s="1" customFormat="1" ht="12.75">
      <c r="A62" s="62" t="s">
        <v>325</v>
      </c>
      <c r="B62" s="189" t="s">
        <v>324</v>
      </c>
      <c r="C62" s="189">
        <v>61</v>
      </c>
      <c r="D62" s="62"/>
      <c r="E62" s="62"/>
      <c r="F62" s="62"/>
      <c r="G62" s="62"/>
      <c r="H62" s="62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62"/>
      <c r="U62" s="62"/>
      <c r="V62" s="62"/>
      <c r="W62" s="62"/>
      <c r="X62" s="62"/>
      <c r="Y62" s="62"/>
      <c r="Z62" s="62"/>
      <c r="AA62" s="62"/>
      <c r="AB62" s="62"/>
    </row>
    <row r="63" spans="1:28" s="1" customFormat="1" ht="12.75">
      <c r="A63" s="62" t="s">
        <v>326</v>
      </c>
      <c r="B63" s="29"/>
      <c r="C63" s="204">
        <v>43313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29"/>
      <c r="Q63" s="29"/>
      <c r="R63" s="29"/>
      <c r="S63" s="29"/>
      <c r="T63" s="62"/>
      <c r="U63" s="62"/>
      <c r="V63" s="62"/>
      <c r="W63" s="62"/>
      <c r="X63" s="62"/>
      <c r="Y63" s="62"/>
      <c r="Z63" s="62"/>
      <c r="AA63" s="62"/>
      <c r="AB63" s="62"/>
    </row>
    <row r="64" spans="1:28" s="1" customFormat="1" ht="15.75">
      <c r="A64" s="62" t="s">
        <v>327</v>
      </c>
      <c r="B64" s="29"/>
      <c r="C64" s="515">
        <v>0.85</v>
      </c>
      <c r="D64" s="62"/>
      <c r="E64" s="62"/>
      <c r="F64" s="62"/>
      <c r="G64" s="62"/>
      <c r="H64" s="62"/>
      <c r="I64" s="198" t="s">
        <v>133</v>
      </c>
      <c r="J64" s="199"/>
      <c r="K64" s="199"/>
      <c r="L64" s="199"/>
      <c r="M64" s="199"/>
      <c r="N64" s="199"/>
      <c r="O64" s="199"/>
      <c r="P64" s="199"/>
      <c r="Q64" s="29"/>
      <c r="R64" s="29"/>
      <c r="S64" s="29"/>
      <c r="T64" s="62"/>
      <c r="U64" s="62"/>
      <c r="V64" s="62"/>
      <c r="W64" s="62"/>
      <c r="X64" s="62"/>
      <c r="Y64" s="62"/>
      <c r="Z64" s="62"/>
      <c r="AA64" s="62"/>
      <c r="AB64" s="62"/>
    </row>
    <row r="65" spans="1:28" s="1" customFormat="1" ht="12.75">
      <c r="A65" s="62" t="s">
        <v>318</v>
      </c>
      <c r="B65" s="62"/>
      <c r="C65" s="193">
        <v>0.03</v>
      </c>
      <c r="D65" s="62"/>
      <c r="E65" s="62"/>
      <c r="F65" s="62"/>
      <c r="G65" s="62"/>
      <c r="H65" s="62"/>
      <c r="I65" s="29" t="s">
        <v>214</v>
      </c>
      <c r="J65" s="29"/>
      <c r="K65" s="189" t="s">
        <v>363</v>
      </c>
      <c r="L65" s="29"/>
      <c r="M65" s="29"/>
      <c r="N65" s="29"/>
      <c r="O65" s="29"/>
      <c r="P65" s="29"/>
      <c r="Q65" s="29"/>
      <c r="R65" s="29"/>
      <c r="S65" s="29"/>
      <c r="T65" s="62"/>
      <c r="U65" s="62"/>
      <c r="V65" s="62"/>
      <c r="W65" s="62"/>
      <c r="X65" s="62"/>
      <c r="Y65" s="62"/>
      <c r="Z65" s="62"/>
      <c r="AA65" s="62"/>
      <c r="AB65" s="62"/>
    </row>
    <row r="66" spans="1:28" s="1" customFormat="1" ht="12.75">
      <c r="A66" s="62" t="s">
        <v>319</v>
      </c>
      <c r="B66" s="62"/>
      <c r="C66" s="193">
        <v>0.03</v>
      </c>
      <c r="D66" s="62"/>
      <c r="E66" s="62"/>
      <c r="F66" s="62"/>
      <c r="G66" s="62"/>
      <c r="H66" s="29"/>
      <c r="I66" s="29" t="s">
        <v>364</v>
      </c>
      <c r="J66" s="29"/>
      <c r="K66" s="194">
        <v>2.685076583346992E-2</v>
      </c>
      <c r="L66" s="29"/>
      <c r="M66" s="29"/>
      <c r="N66" s="29"/>
      <c r="O66" s="29"/>
      <c r="P66" s="29"/>
      <c r="Q66" s="29"/>
      <c r="R66" s="29"/>
      <c r="S66" s="29"/>
      <c r="T66" s="62"/>
      <c r="U66" s="62"/>
      <c r="V66" s="62"/>
      <c r="W66" s="62"/>
      <c r="X66" s="62"/>
      <c r="Y66" s="62"/>
      <c r="Z66" s="62"/>
      <c r="AA66" s="62"/>
      <c r="AB66" s="62"/>
    </row>
    <row r="67" spans="1:28" s="1" customFormat="1" ht="12.75">
      <c r="A67" s="62" t="s">
        <v>320</v>
      </c>
      <c r="B67" s="189" t="s">
        <v>321</v>
      </c>
      <c r="C67" s="209">
        <v>0.28000000000000003</v>
      </c>
      <c r="D67" s="62"/>
      <c r="E67" s="62"/>
      <c r="F67" s="62"/>
      <c r="G67" s="62"/>
      <c r="H67" s="62"/>
      <c r="I67" s="29" t="s">
        <v>290</v>
      </c>
      <c r="J67" s="29"/>
      <c r="K67" s="189" t="s">
        <v>365</v>
      </c>
      <c r="L67" s="29"/>
      <c r="M67" s="29"/>
      <c r="N67" s="29"/>
      <c r="O67" s="29"/>
      <c r="P67" s="29"/>
      <c r="Q67" s="29"/>
      <c r="R67" s="29"/>
      <c r="S67" s="29"/>
      <c r="T67" s="62"/>
      <c r="U67" s="62"/>
      <c r="V67" s="62"/>
      <c r="W67" s="62"/>
      <c r="X67" s="62"/>
      <c r="Y67" s="62"/>
      <c r="Z67" s="62"/>
      <c r="AA67" s="62"/>
      <c r="AB67" s="62"/>
    </row>
    <row r="68" spans="1:28" s="1" customFormat="1" ht="12.75">
      <c r="A68" s="62" t="s">
        <v>328</v>
      </c>
      <c r="B68" s="189" t="s">
        <v>321</v>
      </c>
      <c r="C68" s="189">
        <v>0.08</v>
      </c>
      <c r="D68" s="62"/>
      <c r="E68" s="62"/>
      <c r="F68" s="62"/>
      <c r="G68" s="62"/>
      <c r="H68" s="62"/>
      <c r="I68" s="29" t="s">
        <v>364</v>
      </c>
      <c r="J68" s="29"/>
      <c r="K68" s="190">
        <v>0.15</v>
      </c>
      <c r="L68" s="29"/>
      <c r="M68" s="29"/>
      <c r="N68" s="29"/>
      <c r="O68" s="29"/>
      <c r="P68" s="29"/>
      <c r="Q68" s="29"/>
      <c r="R68" s="29"/>
      <c r="S68" s="29"/>
      <c r="T68" s="62"/>
      <c r="U68" s="62"/>
      <c r="V68" s="62"/>
      <c r="W68" s="62"/>
      <c r="X68" s="62"/>
      <c r="Y68" s="62"/>
      <c r="Z68" s="62"/>
      <c r="AA68" s="62"/>
      <c r="AB68" s="62"/>
    </row>
    <row r="69" spans="1:28" s="1" customFormat="1" ht="12.75">
      <c r="A69" s="62"/>
      <c r="B69" s="62"/>
      <c r="C69" s="62"/>
      <c r="D69" s="62"/>
      <c r="E69" s="62"/>
      <c r="F69" s="62"/>
      <c r="G69" s="62"/>
      <c r="H69" s="62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62"/>
      <c r="U69" s="62"/>
      <c r="V69" s="62"/>
      <c r="W69" s="62"/>
      <c r="X69" s="62"/>
      <c r="Y69" s="62"/>
      <c r="Z69" s="62"/>
      <c r="AA69" s="62"/>
      <c r="AB69" s="62"/>
    </row>
    <row r="70" spans="1:28" s="1" customFormat="1" ht="15.75">
      <c r="A70" s="198" t="s">
        <v>329</v>
      </c>
      <c r="B70" s="199"/>
      <c r="C70" s="199"/>
      <c r="D70" s="199"/>
      <c r="E70" s="199"/>
      <c r="F70" s="199"/>
      <c r="G70" s="199"/>
      <c r="H70" s="62"/>
      <c r="I70" s="198" t="s">
        <v>679</v>
      </c>
      <c r="J70" s="199"/>
      <c r="K70" s="199"/>
      <c r="L70" s="199"/>
      <c r="M70" s="199"/>
      <c r="N70" s="199"/>
      <c r="O70" s="199"/>
      <c r="P70" s="199"/>
      <c r="Q70" s="29"/>
      <c r="R70" s="29"/>
      <c r="S70" s="29"/>
      <c r="T70" s="62"/>
      <c r="U70" s="62"/>
      <c r="V70" s="62"/>
      <c r="W70" s="62"/>
      <c r="X70" s="62"/>
      <c r="Y70" s="62"/>
      <c r="Z70" s="62"/>
      <c r="AA70" s="62"/>
      <c r="AB70" s="62"/>
    </row>
    <row r="71" spans="1:28" s="1" customFormat="1" ht="12.75">
      <c r="A71" s="62" t="s">
        <v>323</v>
      </c>
      <c r="B71" s="189" t="s">
        <v>324</v>
      </c>
      <c r="C71" s="189">
        <v>0</v>
      </c>
      <c r="D71" s="62"/>
      <c r="E71" s="62"/>
      <c r="F71" s="62"/>
      <c r="G71" s="62"/>
      <c r="H71" s="62"/>
      <c r="I71" s="29" t="s">
        <v>680</v>
      </c>
      <c r="J71" s="29"/>
      <c r="K71" s="208">
        <v>0</v>
      </c>
      <c r="L71" s="29"/>
      <c r="M71" s="29"/>
      <c r="N71" s="29"/>
      <c r="O71" s="29"/>
      <c r="P71" s="29"/>
      <c r="Q71" s="29"/>
      <c r="R71" s="29"/>
      <c r="S71" s="29"/>
      <c r="T71" s="62"/>
      <c r="U71" s="62"/>
      <c r="V71" s="62"/>
      <c r="W71" s="62"/>
      <c r="X71" s="62"/>
      <c r="Y71" s="62"/>
      <c r="Z71" s="62"/>
      <c r="AA71" s="62"/>
      <c r="AB71" s="62"/>
    </row>
    <row r="72" spans="1:28" s="1" customFormat="1" ht="12.75">
      <c r="A72" s="62" t="s">
        <v>330</v>
      </c>
      <c r="B72" s="29"/>
      <c r="C72" s="204">
        <v>44287</v>
      </c>
      <c r="D72" s="62"/>
      <c r="E72" s="62"/>
      <c r="F72" s="62"/>
      <c r="G72" s="62"/>
      <c r="H72" s="62"/>
      <c r="I72" s="29" t="s">
        <v>681</v>
      </c>
      <c r="J72" s="29"/>
      <c r="K72" s="208">
        <v>0.1</v>
      </c>
      <c r="L72" s="29"/>
      <c r="M72" s="29"/>
      <c r="N72" s="29"/>
      <c r="O72" s="29"/>
      <c r="P72" s="29"/>
      <c r="Q72" s="29"/>
      <c r="R72" s="29"/>
      <c r="S72" s="29"/>
      <c r="T72" s="62"/>
      <c r="U72" s="62"/>
      <c r="V72" s="62"/>
      <c r="W72" s="62"/>
      <c r="X72" s="62"/>
      <c r="Y72" s="62"/>
      <c r="Z72" s="62"/>
      <c r="AA72" s="62"/>
      <c r="AB72" s="62"/>
    </row>
    <row r="73" spans="1:28" s="1" customFormat="1" ht="12.75">
      <c r="A73" s="62" t="s">
        <v>327</v>
      </c>
      <c r="B73" s="29"/>
      <c r="C73" s="190">
        <v>0.55000000000000004</v>
      </c>
      <c r="D73" s="62"/>
      <c r="E73" s="62"/>
      <c r="F73" s="62"/>
      <c r="G73" s="62"/>
      <c r="H73" s="62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62"/>
      <c r="U73" s="62"/>
      <c r="V73" s="62"/>
      <c r="W73" s="62"/>
      <c r="X73" s="62"/>
      <c r="Y73" s="62"/>
      <c r="Z73" s="62"/>
      <c r="AA73" s="62"/>
      <c r="AB73" s="62"/>
    </row>
    <row r="74" spans="1:28" s="1" customFormat="1" ht="12.75">
      <c r="A74" s="62" t="s">
        <v>331</v>
      </c>
      <c r="B74" s="62"/>
      <c r="C74" s="200"/>
      <c r="D74" s="62"/>
      <c r="E74" s="62"/>
      <c r="F74" s="62"/>
      <c r="G74" s="62"/>
      <c r="H74" s="62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62"/>
      <c r="U74" s="62"/>
      <c r="V74" s="62"/>
      <c r="W74" s="62"/>
      <c r="X74" s="62"/>
      <c r="Y74" s="62"/>
      <c r="Z74" s="62"/>
      <c r="AA74" s="62"/>
      <c r="AB74" s="62"/>
    </row>
    <row r="75" spans="1:28" s="1" customFormat="1" ht="15.75">
      <c r="A75" s="62" t="s">
        <v>56</v>
      </c>
      <c r="B75" s="62"/>
      <c r="C75" s="189" t="s">
        <v>332</v>
      </c>
      <c r="D75" s="62"/>
      <c r="E75" s="62"/>
      <c r="F75" s="62"/>
      <c r="G75" s="62"/>
      <c r="H75" s="29"/>
      <c r="I75" s="484"/>
      <c r="J75" s="199"/>
      <c r="K75" s="199"/>
      <c r="L75" s="199"/>
      <c r="M75" s="199"/>
      <c r="N75" s="199"/>
      <c r="O75" s="199"/>
      <c r="P75" s="199"/>
      <c r="Q75" s="29"/>
      <c r="R75" s="29"/>
      <c r="S75" s="29"/>
      <c r="T75" s="62"/>
      <c r="U75" s="62"/>
      <c r="V75" s="62"/>
      <c r="W75" s="62"/>
      <c r="X75" s="62"/>
      <c r="Y75" s="62"/>
      <c r="Z75" s="62"/>
      <c r="AA75" s="62"/>
      <c r="AB75" s="62"/>
    </row>
    <row r="76" spans="1:28" s="1" customFormat="1" ht="12.75">
      <c r="A76" s="62" t="s">
        <v>333</v>
      </c>
      <c r="B76" s="62"/>
      <c r="C76" s="189" t="s">
        <v>332</v>
      </c>
      <c r="D76" s="62"/>
      <c r="E76" s="62"/>
      <c r="F76" s="62"/>
      <c r="G76" s="62"/>
      <c r="H76" s="29"/>
      <c r="I76" s="485"/>
      <c r="J76" s="29"/>
      <c r="K76" s="486"/>
      <c r="L76" s="486"/>
      <c r="M76" s="29"/>
      <c r="N76" s="29"/>
      <c r="O76" s="29"/>
      <c r="P76" s="29"/>
      <c r="Q76" s="29"/>
      <c r="R76" s="29"/>
      <c r="S76" s="29"/>
      <c r="T76" s="62"/>
      <c r="U76" s="62"/>
      <c r="V76" s="62"/>
      <c r="W76" s="62"/>
      <c r="X76" s="62"/>
      <c r="Y76" s="62"/>
      <c r="Z76" s="62"/>
      <c r="AA76" s="62"/>
      <c r="AB76" s="62"/>
    </row>
    <row r="77" spans="1:28" s="1" customFormat="1" ht="12.75">
      <c r="A77" s="62" t="s">
        <v>334</v>
      </c>
      <c r="B77" s="189" t="s">
        <v>321</v>
      </c>
      <c r="C77" s="205">
        <f>0.65*0+1.3</f>
        <v>1.3</v>
      </c>
      <c r="D77" s="62"/>
      <c r="E77" s="62"/>
      <c r="F77" s="62"/>
      <c r="G77" s="62"/>
      <c r="H77" s="29"/>
      <c r="I77" s="485"/>
      <c r="J77" s="29"/>
      <c r="K77" s="486"/>
      <c r="L77" s="29"/>
      <c r="M77" s="29"/>
      <c r="N77" s="29"/>
      <c r="O77" s="29"/>
      <c r="P77" s="29"/>
      <c r="Q77" s="29"/>
      <c r="R77" s="29"/>
      <c r="S77" s="29"/>
      <c r="T77" s="62"/>
      <c r="U77" s="62"/>
      <c r="V77" s="62"/>
      <c r="W77" s="62"/>
      <c r="X77" s="62"/>
      <c r="Y77" s="62"/>
      <c r="Z77" s="62"/>
      <c r="AA77" s="62"/>
      <c r="AB77" s="62"/>
    </row>
    <row r="78" spans="1:28" s="1" customFormat="1" ht="12.75">
      <c r="A78" s="62"/>
      <c r="B78" s="62"/>
      <c r="C78" s="62"/>
      <c r="D78" s="62"/>
      <c r="E78" s="62"/>
      <c r="F78" s="62"/>
      <c r="G78" s="62"/>
      <c r="H78" s="29"/>
      <c r="I78" s="485"/>
      <c r="J78" s="29"/>
      <c r="K78" s="486" t="s">
        <v>684</v>
      </c>
      <c r="L78" s="29"/>
      <c r="M78" s="29"/>
      <c r="N78" s="29"/>
      <c r="O78" s="29"/>
      <c r="P78" s="29"/>
      <c r="Q78" s="29"/>
      <c r="R78" s="29"/>
      <c r="S78" s="29"/>
      <c r="T78" s="62"/>
      <c r="U78" s="62"/>
      <c r="V78" s="62"/>
      <c r="W78" s="62"/>
      <c r="X78" s="62"/>
      <c r="Y78" s="62"/>
      <c r="Z78" s="62"/>
      <c r="AA78" s="62"/>
      <c r="AB78" s="62"/>
    </row>
    <row r="79" spans="1:28" s="1" customFormat="1" ht="15.75">
      <c r="A79" s="198" t="s">
        <v>335</v>
      </c>
      <c r="B79" s="199"/>
      <c r="C79" s="199"/>
      <c r="D79" s="199"/>
      <c r="E79" s="199"/>
      <c r="F79" s="199"/>
      <c r="G79" s="199"/>
      <c r="H79" s="29"/>
      <c r="I79" s="485"/>
      <c r="J79" s="29"/>
      <c r="K79" s="486" t="s">
        <v>685</v>
      </c>
      <c r="L79" s="29"/>
      <c r="M79" s="29"/>
      <c r="N79" s="29"/>
      <c r="O79" s="29"/>
      <c r="P79" s="29"/>
      <c r="Q79" s="29"/>
      <c r="R79" s="29"/>
      <c r="S79" s="29"/>
      <c r="T79" s="62"/>
      <c r="U79" s="62"/>
      <c r="V79" s="62"/>
      <c r="W79" s="62"/>
      <c r="X79" s="62"/>
      <c r="Y79" s="62"/>
      <c r="Z79" s="62"/>
      <c r="AA79" s="62"/>
      <c r="AB79" s="62"/>
    </row>
    <row r="80" spans="1:28" s="1" customFormat="1" ht="12.75">
      <c r="A80" s="62" t="s">
        <v>323</v>
      </c>
      <c r="B80" s="189" t="s">
        <v>324</v>
      </c>
      <c r="C80" s="516">
        <f>100*0</f>
        <v>0</v>
      </c>
      <c r="D80" s="29"/>
      <c r="E80" s="29"/>
      <c r="F80" s="29"/>
      <c r="G80" s="29"/>
      <c r="H80" s="62"/>
      <c r="I80" s="485"/>
      <c r="J80" s="29"/>
      <c r="K80" s="486" t="s">
        <v>686</v>
      </c>
      <c r="L80" s="29"/>
      <c r="M80" s="29"/>
      <c r="N80" s="29"/>
      <c r="O80" s="29"/>
      <c r="P80" s="29"/>
      <c r="Q80" s="29"/>
      <c r="R80" s="29"/>
      <c r="S80" s="29"/>
      <c r="T80" s="62"/>
      <c r="U80" s="62"/>
      <c r="V80" s="62"/>
      <c r="W80" s="62"/>
      <c r="X80" s="62"/>
      <c r="Y80" s="62"/>
      <c r="Z80" s="62"/>
      <c r="AA80" s="62"/>
      <c r="AB80" s="62"/>
    </row>
    <row r="81" spans="1:28" s="1" customFormat="1" ht="12.75">
      <c r="A81" s="62" t="s">
        <v>330</v>
      </c>
      <c r="B81" s="29"/>
      <c r="C81" s="204">
        <v>44287</v>
      </c>
      <c r="D81" s="29"/>
      <c r="E81" s="29"/>
      <c r="F81" s="29"/>
      <c r="G81" s="29"/>
      <c r="H81" s="62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62"/>
      <c r="U81" s="62"/>
      <c r="V81" s="62"/>
      <c r="W81" s="62"/>
      <c r="X81" s="62"/>
      <c r="Y81" s="62"/>
      <c r="Z81" s="62"/>
      <c r="AA81" s="62"/>
      <c r="AB81" s="62"/>
    </row>
    <row r="82" spans="1:28" s="1" customFormat="1" ht="12.75">
      <c r="A82" s="62" t="s">
        <v>689</v>
      </c>
      <c r="B82" s="29"/>
      <c r="C82" s="204">
        <v>45747</v>
      </c>
      <c r="D82" s="29"/>
      <c r="E82" s="29"/>
      <c r="F82" s="29"/>
      <c r="G82" s="29"/>
      <c r="H82" s="62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62"/>
      <c r="U82" s="62"/>
      <c r="V82" s="62"/>
      <c r="W82" s="62"/>
      <c r="X82" s="62"/>
      <c r="Y82" s="62"/>
      <c r="Z82" s="62"/>
      <c r="AA82" s="62"/>
      <c r="AB82" s="62"/>
    </row>
    <row r="83" spans="1:28" s="1" customFormat="1" ht="12.75">
      <c r="A83" s="62" t="s">
        <v>327</v>
      </c>
      <c r="B83" s="29"/>
      <c r="C83" s="515">
        <v>0.85</v>
      </c>
      <c r="D83" s="29"/>
      <c r="E83" s="29"/>
      <c r="F83" s="29"/>
      <c r="G83" s="29"/>
      <c r="H83" s="62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62"/>
      <c r="U83" s="62"/>
      <c r="V83" s="62"/>
      <c r="W83" s="62"/>
      <c r="X83" s="62"/>
      <c r="Y83" s="62"/>
      <c r="Z83" s="62"/>
      <c r="AA83" s="62"/>
      <c r="AB83" s="62"/>
    </row>
    <row r="84" spans="1:28" s="1" customFormat="1" ht="12.75">
      <c r="A84" s="62" t="s">
        <v>331</v>
      </c>
      <c r="B84" s="62"/>
      <c r="C84" s="200"/>
      <c r="D84" s="29"/>
      <c r="E84" s="29"/>
      <c r="F84" s="29"/>
      <c r="G84" s="29"/>
      <c r="H84" s="62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62"/>
      <c r="U84" s="62"/>
      <c r="V84" s="62"/>
      <c r="W84" s="62"/>
      <c r="X84" s="62"/>
      <c r="Y84" s="62"/>
      <c r="Z84" s="62"/>
      <c r="AA84" s="62"/>
      <c r="AB84" s="62"/>
    </row>
    <row r="85" spans="1:28" s="1" customFormat="1" ht="12.75">
      <c r="A85" s="62" t="s">
        <v>56</v>
      </c>
      <c r="B85" s="62"/>
      <c r="C85" s="189" t="s">
        <v>332</v>
      </c>
      <c r="D85" s="62"/>
      <c r="E85" s="62"/>
      <c r="F85" s="62"/>
      <c r="G85" s="62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62"/>
      <c r="U85" s="62"/>
      <c r="V85" s="62"/>
      <c r="W85" s="62"/>
      <c r="X85" s="62"/>
      <c r="Y85" s="62"/>
      <c r="Z85" s="62"/>
      <c r="AA85" s="62"/>
      <c r="AB85" s="62"/>
    </row>
    <row r="86" spans="1:28" s="1" customFormat="1" ht="12.75">
      <c r="A86" s="62" t="s">
        <v>129</v>
      </c>
      <c r="B86" s="62"/>
      <c r="C86" s="189" t="s">
        <v>332</v>
      </c>
      <c r="D86" s="62"/>
      <c r="E86" s="62"/>
      <c r="F86" s="62"/>
      <c r="G86" s="62"/>
      <c r="H86" s="62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62"/>
      <c r="U86" s="62"/>
      <c r="V86" s="62"/>
      <c r="W86" s="62"/>
      <c r="X86" s="62"/>
      <c r="Y86" s="62"/>
      <c r="Z86" s="62"/>
      <c r="AA86" s="62"/>
      <c r="AB86" s="62"/>
    </row>
    <row r="87" spans="1:28" s="1" customFormat="1" ht="12.75">
      <c r="A87" s="62" t="s">
        <v>46</v>
      </c>
      <c r="B87" s="189" t="s">
        <v>321</v>
      </c>
      <c r="C87" s="518">
        <v>1</v>
      </c>
      <c r="D87" s="62"/>
      <c r="E87" s="62"/>
      <c r="F87" s="62"/>
      <c r="G87" s="62"/>
      <c r="H87" s="29"/>
      <c r="I87" s="238"/>
      <c r="J87" s="36"/>
      <c r="K87" s="36"/>
      <c r="L87" s="36"/>
      <c r="M87" s="29"/>
      <c r="N87" s="29"/>
      <c r="O87" s="29"/>
      <c r="P87" s="29"/>
      <c r="Q87" s="29"/>
      <c r="R87" s="29"/>
      <c r="S87" s="29"/>
      <c r="T87" s="62"/>
      <c r="U87" s="62"/>
      <c r="V87" s="62"/>
      <c r="W87" s="62"/>
      <c r="X87" s="62"/>
      <c r="Y87" s="62"/>
      <c r="Z87" s="62"/>
      <c r="AA87" s="62"/>
      <c r="AB87" s="62"/>
    </row>
    <row r="88" spans="1:28" s="1" customFormat="1" ht="12.75">
      <c r="A88" s="62"/>
      <c r="B88" s="62"/>
      <c r="C88" s="62"/>
      <c r="D88" s="62"/>
      <c r="E88" s="62"/>
      <c r="F88" s="62"/>
      <c r="G88" s="62"/>
      <c r="H88" s="62"/>
      <c r="I88" s="238"/>
      <c r="J88" s="36"/>
      <c r="K88" s="36"/>
      <c r="L88" s="36"/>
      <c r="M88" s="29"/>
      <c r="N88" s="29"/>
      <c r="O88" s="29"/>
      <c r="P88" s="29"/>
      <c r="Q88" s="29"/>
      <c r="R88" s="29"/>
      <c r="S88" s="29"/>
      <c r="T88" s="62"/>
      <c r="U88" s="62"/>
      <c r="V88" s="62"/>
      <c r="W88" s="62"/>
      <c r="X88" s="62"/>
      <c r="Y88" s="62"/>
      <c r="Z88" s="62"/>
      <c r="AA88" s="62"/>
      <c r="AB88" s="62"/>
    </row>
    <row r="89" spans="1:28" s="1" customFormat="1" ht="15.75">
      <c r="A89" s="198" t="s">
        <v>336</v>
      </c>
      <c r="B89" s="199"/>
      <c r="C89" s="199"/>
      <c r="D89" s="199"/>
      <c r="E89" s="199"/>
      <c r="F89" s="199"/>
      <c r="G89" s="199"/>
      <c r="H89" s="62"/>
      <c r="I89" s="29"/>
      <c r="J89" s="239"/>
      <c r="K89" s="239"/>
      <c r="L89" s="239"/>
      <c r="M89" s="29"/>
      <c r="N89" s="29"/>
      <c r="O89" s="29"/>
      <c r="P89" s="29"/>
      <c r="Q89" s="29"/>
      <c r="R89" s="29"/>
      <c r="S89" s="29"/>
      <c r="T89" s="62"/>
      <c r="U89" s="62"/>
      <c r="V89" s="62"/>
      <c r="W89" s="62"/>
      <c r="X89" s="62"/>
      <c r="Y89" s="62"/>
      <c r="Z89" s="62"/>
      <c r="AA89" s="62"/>
      <c r="AB89" s="62"/>
    </row>
    <row r="90" spans="1:28" s="1" customFormat="1" ht="12.75">
      <c r="A90" s="62" t="s">
        <v>323</v>
      </c>
      <c r="B90" s="189" t="s">
        <v>324</v>
      </c>
      <c r="C90" s="189">
        <v>60</v>
      </c>
      <c r="D90" s="62"/>
      <c r="E90" s="62"/>
      <c r="F90" s="62"/>
      <c r="G90" s="62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62"/>
      <c r="U90" s="62"/>
      <c r="V90" s="62"/>
      <c r="W90" s="62"/>
      <c r="X90" s="62"/>
      <c r="Y90" s="62"/>
      <c r="Z90" s="62"/>
      <c r="AA90" s="62"/>
      <c r="AB90" s="62"/>
    </row>
    <row r="91" spans="1:28" s="1" customFormat="1" ht="12.75">
      <c r="A91" s="62" t="s">
        <v>327</v>
      </c>
      <c r="B91" s="29"/>
      <c r="C91" s="190">
        <v>0.85</v>
      </c>
      <c r="D91" s="29"/>
      <c r="E91" s="29"/>
      <c r="F91" s="29"/>
      <c r="G91" s="29"/>
      <c r="H91" s="62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62"/>
      <c r="U91" s="62"/>
      <c r="V91" s="62"/>
      <c r="W91" s="62"/>
      <c r="X91" s="62"/>
      <c r="Y91" s="62"/>
      <c r="Z91" s="62"/>
      <c r="AA91" s="62"/>
      <c r="AB91" s="62"/>
    </row>
    <row r="92" spans="1:28" s="1" customFormat="1" ht="12.75">
      <c r="A92" s="62" t="s">
        <v>337</v>
      </c>
      <c r="B92" s="62"/>
      <c r="C92" s="189" t="s">
        <v>332</v>
      </c>
      <c r="D92" s="62"/>
      <c r="E92" s="62"/>
      <c r="F92" s="62"/>
      <c r="G92" s="62"/>
      <c r="H92" s="62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62"/>
      <c r="U92" s="62"/>
      <c r="V92" s="62"/>
      <c r="W92" s="62"/>
      <c r="X92" s="62"/>
      <c r="Y92" s="62"/>
      <c r="Z92" s="62"/>
      <c r="AA92" s="62"/>
      <c r="AB92" s="62"/>
    </row>
    <row r="93" spans="1:28" s="1" customFormat="1" ht="12.75">
      <c r="A93" s="62"/>
      <c r="B93" s="62"/>
      <c r="C93" s="62"/>
      <c r="D93" s="62"/>
      <c r="E93" s="62"/>
      <c r="F93" s="62"/>
      <c r="G93" s="62"/>
      <c r="H93" s="62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62"/>
      <c r="U93" s="62"/>
      <c r="V93" s="62"/>
      <c r="W93" s="62"/>
      <c r="X93" s="62"/>
      <c r="Y93" s="62"/>
      <c r="Z93" s="62"/>
      <c r="AA93" s="62"/>
      <c r="AB93" s="62"/>
    </row>
    <row r="94" spans="1:28" s="1" customFormat="1" ht="15.75">
      <c r="A94" s="198" t="s">
        <v>338</v>
      </c>
      <c r="B94" s="199"/>
      <c r="C94" s="199"/>
      <c r="D94" s="199"/>
      <c r="E94" s="199"/>
      <c r="F94" s="199"/>
      <c r="G94" s="199"/>
      <c r="H94" s="62"/>
      <c r="I94" s="29"/>
      <c r="J94" s="29"/>
      <c r="K94" s="29"/>
      <c r="L94" s="29"/>
      <c r="M94" s="29"/>
      <c r="N94" s="29"/>
      <c r="O94" s="29"/>
      <c r="P94" s="29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</row>
    <row r="95" spans="1:28" s="1" customFormat="1" ht="12.75">
      <c r="A95" s="62" t="s">
        <v>339</v>
      </c>
      <c r="B95" s="189" t="s">
        <v>321</v>
      </c>
      <c r="C95" s="518">
        <f>3.8*0+2.9</f>
        <v>2.9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</row>
    <row r="96" spans="1:28" s="1" customFormat="1" ht="12.75">
      <c r="A96" s="62" t="s">
        <v>340</v>
      </c>
      <c r="B96" s="62"/>
      <c r="C96" s="515">
        <f>3%</f>
        <v>0.03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</row>
    <row r="97" spans="1:28" s="1" customFormat="1" ht="12.7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</row>
    <row r="98" spans="1:28" s="1" customFormat="1" ht="12.7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</row>
    <row r="99" spans="1:28" s="1" customFormat="1" ht="12.7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spans="1:28" s="1" customFormat="1">
      <c r="A100" s="14" t="s">
        <v>31</v>
      </c>
      <c r="B100" s="43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</row>
    <row r="101" spans="1:28" s="1" customFormat="1" ht="12.7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</row>
    <row r="102" spans="1:28" s="1" customFormat="1" ht="12.7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spans="1:28" s="1" customFormat="1" ht="12.7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spans="1:28" s="1" customFormat="1" ht="12.7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</row>
    <row r="105" spans="1:28" s="1" customFormat="1" ht="12.7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spans="1:28" s="1" customFormat="1" ht="12.7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spans="1:28" s="1" customFormat="1" ht="12.7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</row>
    <row r="108" spans="1:28" s="1" customFormat="1" ht="12.7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</row>
    <row r="109" spans="1:28" s="1" customFormat="1" ht="12.7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</row>
    <row r="110" spans="1:28" s="1" customFormat="1" ht="12.7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</row>
    <row r="111" spans="1:28" s="1" customFormat="1" ht="12.7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</row>
    <row r="112" spans="1:28" s="1" customFormat="1" ht="12.75">
      <c r="A112" s="62"/>
      <c r="B112" s="62"/>
      <c r="C112" s="62"/>
      <c r="D112" s="62"/>
      <c r="E112" s="62"/>
      <c r="F112" s="62"/>
      <c r="G112" s="171"/>
      <c r="H112" s="111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</row>
    <row r="113" spans="1:28" s="1" customFormat="1" ht="12.75">
      <c r="A113" s="62"/>
      <c r="B113" s="62"/>
      <c r="C113" s="62"/>
      <c r="D113" s="62"/>
      <c r="E113" s="62"/>
      <c r="F113" s="62"/>
      <c r="G113" s="111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</row>
    <row r="114" spans="1:28" s="1" customFormat="1" ht="12.7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</row>
    <row r="115" spans="1:28" s="1" customFormat="1" ht="12.7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</row>
    <row r="116" spans="1:28" s="1" customFormat="1" ht="12.7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</row>
    <row r="117" spans="1:28" s="1" customFormat="1" ht="12.75">
      <c r="A117" s="62"/>
      <c r="B117" s="62"/>
      <c r="C117" s="62"/>
      <c r="D117" s="62"/>
      <c r="E117" s="62"/>
      <c r="F117" s="62"/>
      <c r="G117" s="62"/>
      <c r="I117" s="62"/>
      <c r="J117" s="62"/>
      <c r="K117" s="62"/>
      <c r="L117" s="62"/>
      <c r="M117" s="62"/>
      <c r="N117" s="62"/>
      <c r="O117" s="62"/>
      <c r="P117" s="62"/>
    </row>
    <row r="118" spans="1:28" s="1" customFormat="1" ht="12.75">
      <c r="A118" s="62"/>
      <c r="B118" s="62"/>
      <c r="C118" s="62"/>
      <c r="D118" s="62"/>
      <c r="E118" s="62"/>
      <c r="F118" s="62"/>
      <c r="G118" s="62"/>
    </row>
    <row r="119" spans="1:28" s="1" customFormat="1" ht="12.75">
      <c r="A119" s="62"/>
      <c r="B119" s="62"/>
      <c r="C119" s="62"/>
      <c r="D119" s="62"/>
      <c r="E119" s="62"/>
      <c r="F119" s="62"/>
      <c r="G119" s="62"/>
    </row>
    <row r="120" spans="1:28" s="1" customFormat="1" ht="12.75"/>
    <row r="121" spans="1:28" s="1" customFormat="1" ht="12.75"/>
    <row r="122" spans="1:28" s="1" customFormat="1" ht="12.75"/>
    <row r="123" spans="1:28" s="1" customFormat="1" ht="12.75"/>
    <row r="124" spans="1:28" s="1" customFormat="1" ht="12.75"/>
    <row r="125" spans="1:28" s="1" customFormat="1" ht="12.75"/>
    <row r="126" spans="1:28" s="1" customFormat="1" ht="12.75"/>
    <row r="127" spans="1:28" s="1" customFormat="1" ht="12.75"/>
    <row r="128" spans="1: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pans="1:16" s="1" customFormat="1" ht="12.75"/>
    <row r="306" spans="1:16" s="1" customFormat="1" ht="12.75"/>
    <row r="307" spans="1:16" s="1" customFormat="1" ht="12.75"/>
    <row r="308" spans="1:16" s="1" customFormat="1" ht="12.75"/>
    <row r="309" spans="1:16" s="1" customFormat="1" ht="12.75"/>
    <row r="310" spans="1:16">
      <c r="A310" s="1"/>
      <c r="B310" s="1"/>
      <c r="C310" s="1"/>
      <c r="D310" s="1"/>
      <c r="E310" s="1"/>
      <c r="F310" s="1"/>
      <c r="G310" s="1"/>
      <c r="I310" s="1"/>
      <c r="J310" s="1"/>
      <c r="K310" s="1"/>
      <c r="L310" s="1"/>
      <c r="M310" s="1"/>
      <c r="N310" s="1"/>
      <c r="O310" s="1"/>
      <c r="P310" s="1"/>
    </row>
    <row r="311" spans="1:16">
      <c r="A311" s="1"/>
      <c r="B311" s="1"/>
      <c r="C311" s="1"/>
      <c r="D311" s="1"/>
      <c r="E311" s="1"/>
      <c r="F311" s="1"/>
      <c r="G311" s="1"/>
    </row>
    <row r="312" spans="1:16">
      <c r="A312" s="1"/>
      <c r="B312" s="1"/>
      <c r="C312" s="1"/>
      <c r="D312" s="1"/>
      <c r="E312" s="1"/>
      <c r="F312" s="1"/>
      <c r="G312" s="1"/>
    </row>
  </sheetData>
  <dataValidations count="13">
    <dataValidation type="list" allowBlank="1" showInputMessage="1" showErrorMessage="1" sqref="C53">
      <formula1>"Yes,No"</formula1>
    </dataValidation>
    <dataValidation type="list" allowBlank="1" showInputMessage="1" showErrorMessage="1" sqref="F1">
      <formula1>"With FGD,Without FGD"</formula1>
    </dataValidation>
    <dataValidation type="list" allowBlank="1" showInputMessage="1" showErrorMessage="1" sqref="K71">
      <formula1>"0%,1%,2%,1.50%"</formula1>
    </dataValidation>
    <dataValidation type="list" allowBlank="1" showInputMessage="1" showErrorMessage="1" sqref="K72">
      <formula1>"0%,5%,10%,15%,20%"</formula1>
    </dataValidation>
    <dataValidation type="list" allowBlank="1" showInputMessage="1" showErrorMessage="1" sqref="K76">
      <formula1>"Inverse Order,Cureent Instalment"</formula1>
    </dataValidation>
    <dataValidation type="list" allowBlank="1" showInputMessage="1" showErrorMessage="1" sqref="L76">
      <formula1>"81,108"</formula1>
    </dataValidation>
    <dataValidation type="list" allowBlank="1" showInputMessage="1" showErrorMessage="1" sqref="K77">
      <formula1>"Project Cost Reduction, No Reduction"</formula1>
    </dataValidation>
    <dataValidation type="list" allowBlank="1" showInputMessage="1" showErrorMessage="1" sqref="K78">
      <formula1>"YES,NO"</formula1>
    </dataValidation>
    <dataValidation type="list" allowBlank="1" showInputMessage="1" showErrorMessage="1" sqref="K79">
      <formula1>"Equity,Debt&amp;Equity"</formula1>
    </dataValidation>
    <dataValidation type="list" allowBlank="1" showInputMessage="1" showErrorMessage="1" sqref="K80">
      <formula1>"Till 2036,Co-terminus"</formula1>
    </dataValidation>
    <dataValidation type="list" allowBlank="1" showInputMessage="1" showErrorMessage="1" sqref="E102">
      <formula1>"75%,60%"</formula1>
    </dataValidation>
    <dataValidation type="list" allowBlank="1" showInputMessage="1" showErrorMessage="1" sqref="C52 C64">
      <formula1>"85%,100%"</formula1>
    </dataValidation>
    <dataValidation type="list" allowBlank="1" showInputMessage="1" showErrorMessage="1" sqref="C39">
      <formula1>"3%,0%"</formula1>
    </dataValidation>
  </dataValidations>
  <pageMargins left="0.7" right="0.7" top="0.75" bottom="0.75" header="0.3" footer="0.3"/>
  <pageSetup paperSize="9" scale="77" orientation="portrait" r:id="rId1"/>
  <colBreaks count="2" manualBreakCount="2">
    <brk id="7" max="1048575" man="1"/>
    <brk id="1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2"/>
  <sheetViews>
    <sheetView topLeftCell="B1" workbookViewId="0">
      <selection activeCell="O20" sqref="O20"/>
    </sheetView>
  </sheetViews>
  <sheetFormatPr defaultRowHeight="15"/>
  <cols>
    <col min="1" max="1" width="32.28515625" customWidth="1"/>
    <col min="3" max="3" width="16.85546875" bestFit="1" customWidth="1"/>
  </cols>
  <sheetData>
    <row r="1" spans="1:28" ht="18.75">
      <c r="A1" s="21" t="s">
        <v>29</v>
      </c>
      <c r="B1" s="4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15.75">
      <c r="A2" s="22" t="s">
        <v>264</v>
      </c>
      <c r="B2" s="4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s="1" customFormat="1" ht="12.7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s="1" customFormat="1" ht="13.5" thickBo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140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8" ht="15.75" thickTop="1">
      <c r="A5" s="641" t="s">
        <v>0</v>
      </c>
      <c r="B5" s="46"/>
      <c r="C5" s="19">
        <f>B6+1</f>
        <v>42461</v>
      </c>
      <c r="D5" s="19">
        <f>C6+1</f>
        <v>42826</v>
      </c>
      <c r="E5" s="19">
        <v>43191</v>
      </c>
      <c r="F5" s="19">
        <f>E6+1</f>
        <v>43556</v>
      </c>
      <c r="G5" s="19">
        <f>F6+1</f>
        <v>43922</v>
      </c>
      <c r="H5" s="19">
        <f t="shared" ref="H5:AB5" si="0">G6+1</f>
        <v>44287</v>
      </c>
      <c r="I5" s="19">
        <f t="shared" si="0"/>
        <v>44652</v>
      </c>
      <c r="J5" s="19">
        <f t="shared" si="0"/>
        <v>45017</v>
      </c>
      <c r="K5" s="19">
        <f t="shared" si="0"/>
        <v>45383</v>
      </c>
      <c r="L5" s="19">
        <f t="shared" si="0"/>
        <v>45748</v>
      </c>
      <c r="M5" s="19">
        <f t="shared" si="0"/>
        <v>46113</v>
      </c>
      <c r="N5" s="19">
        <f t="shared" si="0"/>
        <v>46478</v>
      </c>
      <c r="O5" s="19">
        <f t="shared" si="0"/>
        <v>46844</v>
      </c>
      <c r="P5" s="19">
        <f t="shared" si="0"/>
        <v>47209</v>
      </c>
      <c r="Q5" s="19">
        <f t="shared" si="0"/>
        <v>47574</v>
      </c>
      <c r="R5" s="19">
        <f t="shared" si="0"/>
        <v>47939</v>
      </c>
      <c r="S5" s="19">
        <f t="shared" si="0"/>
        <v>48305</v>
      </c>
      <c r="T5" s="19">
        <f t="shared" si="0"/>
        <v>48670</v>
      </c>
      <c r="U5" s="19">
        <f t="shared" si="0"/>
        <v>49035</v>
      </c>
      <c r="V5" s="19">
        <f t="shared" si="0"/>
        <v>49400</v>
      </c>
      <c r="W5" s="19">
        <f t="shared" si="0"/>
        <v>49766</v>
      </c>
      <c r="X5" s="19">
        <f t="shared" si="0"/>
        <v>50131</v>
      </c>
      <c r="Y5" s="19">
        <f t="shared" si="0"/>
        <v>50496</v>
      </c>
      <c r="Z5" s="19">
        <f t="shared" si="0"/>
        <v>50861</v>
      </c>
      <c r="AA5" s="19">
        <f t="shared" si="0"/>
        <v>51227</v>
      </c>
      <c r="AB5" s="19">
        <f t="shared" si="0"/>
        <v>51592</v>
      </c>
    </row>
    <row r="6" spans="1:28">
      <c r="A6" s="642"/>
      <c r="B6" s="6">
        <v>42460</v>
      </c>
      <c r="C6" s="6">
        <f>EOMONTH(B6,12)</f>
        <v>42825</v>
      </c>
      <c r="D6" s="6">
        <f>EOMONTH(C6,12)</f>
        <v>43190</v>
      </c>
      <c r="E6" s="6">
        <v>43555</v>
      </c>
      <c r="F6" s="6">
        <f>EOMONTH(E6,12)</f>
        <v>43921</v>
      </c>
      <c r="G6" s="6">
        <f t="shared" ref="G6:AB6" si="1">EOMONTH(F6,12)</f>
        <v>44286</v>
      </c>
      <c r="H6" s="6">
        <f t="shared" si="1"/>
        <v>44651</v>
      </c>
      <c r="I6" s="6">
        <f t="shared" si="1"/>
        <v>45016</v>
      </c>
      <c r="J6" s="6">
        <f t="shared" si="1"/>
        <v>45382</v>
      </c>
      <c r="K6" s="6">
        <f t="shared" si="1"/>
        <v>45747</v>
      </c>
      <c r="L6" s="6">
        <f t="shared" si="1"/>
        <v>46112</v>
      </c>
      <c r="M6" s="6">
        <f t="shared" si="1"/>
        <v>46477</v>
      </c>
      <c r="N6" s="6">
        <f t="shared" si="1"/>
        <v>46843</v>
      </c>
      <c r="O6" s="6">
        <f t="shared" si="1"/>
        <v>47208</v>
      </c>
      <c r="P6" s="6">
        <f t="shared" si="1"/>
        <v>47573</v>
      </c>
      <c r="Q6" s="6">
        <f t="shared" si="1"/>
        <v>47938</v>
      </c>
      <c r="R6" s="6">
        <f t="shared" si="1"/>
        <v>48304</v>
      </c>
      <c r="S6" s="6">
        <f t="shared" si="1"/>
        <v>48669</v>
      </c>
      <c r="T6" s="6">
        <f t="shared" si="1"/>
        <v>49034</v>
      </c>
      <c r="U6" s="6">
        <f t="shared" si="1"/>
        <v>49399</v>
      </c>
      <c r="V6" s="6">
        <f t="shared" si="1"/>
        <v>49765</v>
      </c>
      <c r="W6" s="6">
        <f t="shared" si="1"/>
        <v>50130</v>
      </c>
      <c r="X6" s="6">
        <f t="shared" si="1"/>
        <v>50495</v>
      </c>
      <c r="Y6" s="6">
        <f t="shared" si="1"/>
        <v>50860</v>
      </c>
      <c r="Z6" s="6">
        <f t="shared" si="1"/>
        <v>51226</v>
      </c>
      <c r="AA6" s="6">
        <f t="shared" si="1"/>
        <v>51591</v>
      </c>
      <c r="AB6" s="6">
        <f t="shared" si="1"/>
        <v>51956</v>
      </c>
    </row>
    <row r="7" spans="1:28">
      <c r="A7" s="643"/>
      <c r="B7" s="8">
        <f>YEAR(B6)</f>
        <v>2016</v>
      </c>
      <c r="C7" s="8">
        <f>YEAR(C6)</f>
        <v>2017</v>
      </c>
      <c r="D7" s="8">
        <f t="shared" ref="D7:AB7" si="2">YEAR(D6)</f>
        <v>2018</v>
      </c>
      <c r="E7" s="8">
        <f t="shared" si="2"/>
        <v>2019</v>
      </c>
      <c r="F7" s="8">
        <f t="shared" si="2"/>
        <v>2020</v>
      </c>
      <c r="G7" s="8">
        <f t="shared" si="2"/>
        <v>2021</v>
      </c>
      <c r="H7" s="8">
        <f t="shared" si="2"/>
        <v>2022</v>
      </c>
      <c r="I7" s="8">
        <f t="shared" si="2"/>
        <v>2023</v>
      </c>
      <c r="J7" s="8">
        <f t="shared" si="2"/>
        <v>2024</v>
      </c>
      <c r="K7" s="8">
        <f t="shared" si="2"/>
        <v>2025</v>
      </c>
      <c r="L7" s="8">
        <f t="shared" si="2"/>
        <v>2026</v>
      </c>
      <c r="M7" s="8">
        <f t="shared" si="2"/>
        <v>2027</v>
      </c>
      <c r="N7" s="8">
        <f t="shared" si="2"/>
        <v>2028</v>
      </c>
      <c r="O7" s="8">
        <f t="shared" si="2"/>
        <v>2029</v>
      </c>
      <c r="P7" s="8">
        <f t="shared" si="2"/>
        <v>2030</v>
      </c>
      <c r="Q7" s="8">
        <f t="shared" si="2"/>
        <v>2031</v>
      </c>
      <c r="R7" s="8">
        <f t="shared" si="2"/>
        <v>2032</v>
      </c>
      <c r="S7" s="8">
        <f t="shared" si="2"/>
        <v>2033</v>
      </c>
      <c r="T7" s="8">
        <f t="shared" si="2"/>
        <v>2034</v>
      </c>
      <c r="U7" s="8">
        <f t="shared" si="2"/>
        <v>2035</v>
      </c>
      <c r="V7" s="8">
        <f t="shared" si="2"/>
        <v>2036</v>
      </c>
      <c r="W7" s="8">
        <f t="shared" si="2"/>
        <v>2037</v>
      </c>
      <c r="X7" s="8">
        <f t="shared" si="2"/>
        <v>2038</v>
      </c>
      <c r="Y7" s="8">
        <f t="shared" si="2"/>
        <v>2039</v>
      </c>
      <c r="Z7" s="8">
        <f t="shared" si="2"/>
        <v>2040</v>
      </c>
      <c r="AA7" s="8">
        <f t="shared" si="2"/>
        <v>2041</v>
      </c>
      <c r="AB7" s="8">
        <f t="shared" si="2"/>
        <v>2042</v>
      </c>
    </row>
    <row r="8" spans="1:28" s="17" customFormat="1">
      <c r="A8" s="241" t="s">
        <v>371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</row>
    <row r="9" spans="1:28" s="1" customFormat="1" ht="12.75">
      <c r="A9" s="62" t="s">
        <v>136</v>
      </c>
      <c r="B9" s="62"/>
      <c r="C9" s="116"/>
      <c r="D9" s="116"/>
      <c r="E9" s="116">
        <f>'Financial Statement'!E27</f>
        <v>-45.625000000000114</v>
      </c>
      <c r="F9" s="116">
        <f>'Financial Statement'!F27</f>
        <v>359.72899999999993</v>
      </c>
      <c r="G9" s="116">
        <f ca="1">'Financial Statement'!G27</f>
        <v>311.83199999999977</v>
      </c>
      <c r="H9" s="116">
        <f ca="1">'Financial Statement'!H27</f>
        <v>242.0302426880445</v>
      </c>
      <c r="I9" s="116">
        <f ca="1">'Financial Statement'!I27</f>
        <v>261.30125338708638</v>
      </c>
      <c r="J9" s="116">
        <f ca="1">'Financial Statement'!J27</f>
        <v>293.52968878866477</v>
      </c>
      <c r="K9" s="116">
        <f ca="1">'Financial Statement'!K27</f>
        <v>342.32982467255022</v>
      </c>
      <c r="L9" s="116">
        <f ca="1">'Financial Statement'!L27</f>
        <v>397.88938001570705</v>
      </c>
      <c r="M9" s="116">
        <f ca="1">'Financial Statement'!M27</f>
        <v>468.03021337477935</v>
      </c>
      <c r="N9" s="116">
        <f ca="1">'Financial Statement'!N27</f>
        <v>549.92658564836665</v>
      </c>
      <c r="O9" s="116">
        <f ca="1">'Financial Statement'!O27</f>
        <v>626.46722607188167</v>
      </c>
      <c r="P9" s="116">
        <f ca="1">'Financial Statement'!P27</f>
        <v>274.4402711805003</v>
      </c>
      <c r="Q9" s="116">
        <f ca="1">'Financial Statement'!Q27</f>
        <v>333.24988883452284</v>
      </c>
      <c r="R9" s="116">
        <f ca="1">'Financial Statement'!R27</f>
        <v>174.17663444421225</v>
      </c>
      <c r="S9" s="116">
        <f ca="1">'Financial Statement'!S27</f>
        <v>183.67473800495441</v>
      </c>
      <c r="T9" s="116">
        <f ca="1">'Financial Statement'!T27</f>
        <v>205.79401465931466</v>
      </c>
      <c r="U9" s="116">
        <f ca="1">'Financial Statement'!U27</f>
        <v>235.59390858605499</v>
      </c>
      <c r="V9" s="116">
        <f ca="1">'Financial Statement'!V27</f>
        <v>240.48979189607488</v>
      </c>
      <c r="W9" s="116"/>
      <c r="X9" s="116"/>
      <c r="Y9" s="116"/>
      <c r="Z9" s="116"/>
      <c r="AA9" s="116"/>
      <c r="AB9" s="116"/>
    </row>
    <row r="10" spans="1:28" s="1" customFormat="1" ht="12.75">
      <c r="A10" s="62" t="s">
        <v>135</v>
      </c>
      <c r="B10" s="62"/>
      <c r="C10" s="116"/>
      <c r="D10" s="116"/>
      <c r="E10" s="116"/>
      <c r="F10" s="116"/>
      <c r="G10" s="116">
        <f ca="1">'Financial Statement'!G25</f>
        <v>93.83</v>
      </c>
      <c r="H10" s="116">
        <f ca="1">'Financial Statement'!H25</f>
        <v>0</v>
      </c>
      <c r="I10" s="116">
        <f ca="1">'Financial Statement'!I25</f>
        <v>0</v>
      </c>
      <c r="J10" s="116">
        <f ca="1">'Financial Statement'!J25</f>
        <v>0</v>
      </c>
      <c r="K10" s="116">
        <f ca="1">'Financial Statement'!K25</f>
        <v>0</v>
      </c>
      <c r="L10" s="116">
        <f ca="1">'Financial Statement'!L25</f>
        <v>0</v>
      </c>
      <c r="M10" s="116">
        <f ca="1">'Financial Statement'!M25</f>
        <v>0</v>
      </c>
      <c r="N10" s="116">
        <f ca="1">'Financial Statement'!N25</f>
        <v>0</v>
      </c>
      <c r="O10" s="116">
        <f ca="1">'Financial Statement'!O25</f>
        <v>0</v>
      </c>
      <c r="P10" s="116">
        <f ca="1">'Financial Statement'!P25</f>
        <v>0</v>
      </c>
      <c r="Q10" s="116">
        <f ca="1">'Financial Statement'!Q25</f>
        <v>0</v>
      </c>
      <c r="R10" s="116">
        <f ca="1">'Financial Statement'!R25</f>
        <v>137.36451265537573</v>
      </c>
      <c r="S10" s="116">
        <f ca="1">'Financial Statement'!S25</f>
        <v>145.32989433111618</v>
      </c>
      <c r="T10" s="116">
        <f ca="1">'Financial Statement'!T25</f>
        <v>156.82497786627931</v>
      </c>
      <c r="U10" s="116">
        <f ca="1">'Financial Statement'!U25</f>
        <v>170.29528391398949</v>
      </c>
      <c r="V10" s="116">
        <f ca="1">'Financial Statement'!V25</f>
        <v>174.87180541091979</v>
      </c>
      <c r="W10" s="116"/>
      <c r="X10" s="116"/>
      <c r="Y10" s="116"/>
      <c r="Z10" s="116"/>
      <c r="AA10" s="116"/>
      <c r="AB10" s="116"/>
    </row>
    <row r="11" spans="1:28" s="1" customFormat="1" ht="12.75">
      <c r="A11" s="62" t="s">
        <v>133</v>
      </c>
      <c r="B11" s="62"/>
      <c r="C11" s="116"/>
      <c r="D11" s="116"/>
      <c r="E11" s="116">
        <f>'Financial Statement'!E22</f>
        <v>307.505</v>
      </c>
      <c r="F11" s="116">
        <f>'Financial Statement'!F22</f>
        <v>325.10000000000002</v>
      </c>
      <c r="G11" s="116">
        <f>'Financial Statement'!G22</f>
        <v>322.04000000000002</v>
      </c>
      <c r="H11" s="116">
        <f ca="1">'Financial Statement'!H22</f>
        <v>311.43826747784306</v>
      </c>
      <c r="I11" s="116">
        <f ca="1">'Financial Statement'!I22</f>
        <v>322.9197041048817</v>
      </c>
      <c r="J11" s="116">
        <f ca="1">'Financial Statement'!J22</f>
        <v>328.75813352613363</v>
      </c>
      <c r="K11" s="116">
        <f ca="1">'Financial Statement'!K22</f>
        <v>328.75813352613386</v>
      </c>
      <c r="L11" s="116">
        <f ca="1">'Financial Statement'!L22</f>
        <v>328.75813352613386</v>
      </c>
      <c r="M11" s="116">
        <f ca="1">'Financial Statement'!M22</f>
        <v>328.75813352613386</v>
      </c>
      <c r="N11" s="116">
        <f ca="1">'Financial Statement'!N22</f>
        <v>328.75813352613386</v>
      </c>
      <c r="O11" s="116">
        <f ca="1">'Financial Statement'!O22</f>
        <v>328.75813352613386</v>
      </c>
      <c r="P11" s="116">
        <f ca="1">'Financial Statement'!P22</f>
        <v>328.75813352613341</v>
      </c>
      <c r="Q11" s="116">
        <f ca="1">'Financial Statement'!Q22</f>
        <v>328.75813352613386</v>
      </c>
      <c r="R11" s="116">
        <f ca="1">'Financial Statement'!R22</f>
        <v>328.75813352613386</v>
      </c>
      <c r="S11" s="116">
        <f ca="1">'Financial Statement'!S22</f>
        <v>328.75813352613386</v>
      </c>
      <c r="T11" s="116">
        <f ca="1">'Financial Statement'!T22</f>
        <v>328.75813352613386</v>
      </c>
      <c r="U11" s="116">
        <f ca="1">'Financial Statement'!U22</f>
        <v>328.75813352613386</v>
      </c>
      <c r="V11" s="116">
        <f ca="1">'Financial Statement'!V22</f>
        <v>328.75813352613386</v>
      </c>
      <c r="W11" s="116"/>
      <c r="X11" s="116"/>
      <c r="Y11" s="116"/>
      <c r="Z11" s="116"/>
      <c r="AA11" s="116"/>
      <c r="AB11" s="116"/>
    </row>
    <row r="12" spans="1:28" s="1" customFormat="1" ht="12.75">
      <c r="A12" s="62" t="s">
        <v>372</v>
      </c>
      <c r="B12" s="62"/>
      <c r="C12" s="114"/>
      <c r="D12" s="114"/>
      <c r="E12" s="114">
        <f>'Financial Statement'!E18</f>
        <v>712.67800000000011</v>
      </c>
      <c r="F12" s="114">
        <f>'Financial Statement'!F18</f>
        <v>639.322</v>
      </c>
      <c r="G12" s="114">
        <f>'Financial Statement'!G18</f>
        <v>596.4</v>
      </c>
      <c r="H12" s="114">
        <f ca="1">'Financial Statement'!H18</f>
        <v>566.75187002803295</v>
      </c>
      <c r="I12" s="114">
        <f ca="1">'Financial Statement'!I18</f>
        <v>543.24643104755398</v>
      </c>
      <c r="J12" s="114">
        <f ca="1">'Financial Statement'!J18</f>
        <v>521.2027295355058</v>
      </c>
      <c r="K12" s="114">
        <f ca="1">'Financial Statement'!K18</f>
        <v>479.00284405430028</v>
      </c>
      <c r="L12" s="114">
        <f ca="1">'Financial Statement'!L18</f>
        <v>435.57799930853986</v>
      </c>
      <c r="M12" s="114">
        <f ca="1">'Financial Statement'!M18</f>
        <v>389.91718618395498</v>
      </c>
      <c r="N12" s="114">
        <f ca="1">'Financial Statement'!N18</f>
        <v>347.17620547980647</v>
      </c>
      <c r="O12" s="114">
        <f ca="1">'Financial Statement'!O18</f>
        <v>303.33478073185171</v>
      </c>
      <c r="P12" s="114">
        <f ca="1">'Financial Statement'!P18</f>
        <v>256.82095630247596</v>
      </c>
      <c r="Q12" s="114">
        <f ca="1">'Financial Statement'!Q18</f>
        <v>210.25566091904281</v>
      </c>
      <c r="R12" s="114">
        <f ca="1">'Financial Statement'!R18</f>
        <v>164.6019966672954</v>
      </c>
      <c r="S12" s="114">
        <f ca="1">'Financial Statement'!S18</f>
        <v>118.10519244042739</v>
      </c>
      <c r="T12" s="114">
        <f ca="1">'Financial Statement'!T18</f>
        <v>71.156460780205506</v>
      </c>
      <c r="U12" s="114">
        <f ca="1">'Financial Statement'!U18</f>
        <v>13.740162713545509</v>
      </c>
      <c r="V12" s="114">
        <f ca="1">'Financial Statement'!V18</f>
        <v>3.8736971395337515E-2</v>
      </c>
      <c r="W12" s="114"/>
      <c r="X12" s="114"/>
      <c r="Y12" s="114"/>
      <c r="Z12" s="114"/>
      <c r="AA12" s="114"/>
      <c r="AB12" s="114"/>
    </row>
    <row r="13" spans="1:28" s="1" customFormat="1" ht="12.75">
      <c r="A13" s="62" t="s">
        <v>212</v>
      </c>
      <c r="B13" s="62"/>
      <c r="C13" s="116"/>
      <c r="D13" s="116"/>
      <c r="E13" s="116">
        <f>'Financial Statement'!E19*0</f>
        <v>0</v>
      </c>
      <c r="F13" s="116">
        <f>'Financial Statement'!F19</f>
        <v>59.225999999999999</v>
      </c>
      <c r="G13" s="116">
        <f>'Financial Statement'!G19</f>
        <v>43.58</v>
      </c>
      <c r="H13" s="116">
        <f ca="1">'Financial Statement'!H19</f>
        <v>47.291444867510187</v>
      </c>
      <c r="I13" s="116">
        <f ca="1">'Financial Statement'!I19</f>
        <v>46.264178850722828</v>
      </c>
      <c r="J13" s="116">
        <f ca="1">'Financial Statement'!J19</f>
        <v>46.842883599696066</v>
      </c>
      <c r="K13" s="116">
        <f ca="1">'Financial Statement'!K19</f>
        <v>47.456167809396796</v>
      </c>
      <c r="L13" s="116">
        <f ca="1">'Financial Statement'!L19</f>
        <v>48.06952054306128</v>
      </c>
      <c r="M13" s="116">
        <f ca="1">'Financial Statement'!M19</f>
        <v>48.849902564752696</v>
      </c>
      <c r="N13" s="116">
        <f ca="1">'Financial Statement'!N19</f>
        <v>49.842839746891968</v>
      </c>
      <c r="O13" s="116">
        <f ca="1">'Financial Statement'!O19</f>
        <v>50.853033907149666</v>
      </c>
      <c r="P13" s="116">
        <f ca="1">'Financial Statement'!P19</f>
        <v>45.896498146296707</v>
      </c>
      <c r="Q13" s="116">
        <f ca="1">'Financial Statement'!Q19</f>
        <v>40.853349783599491</v>
      </c>
      <c r="R13" s="116">
        <f ca="1">'Financial Statement'!R19</f>
        <v>41.237331258317802</v>
      </c>
      <c r="S13" s="116">
        <f ca="1">'Financial Statement'!S19</f>
        <v>41.445644795872624</v>
      </c>
      <c r="T13" s="116">
        <f ca="1">'Financial Statement'!T19</f>
        <v>41.943589577181065</v>
      </c>
      <c r="U13" s="116">
        <f ca="1">'Financial Statement'!U19</f>
        <v>42.589178198531314</v>
      </c>
      <c r="V13" s="116">
        <f ca="1">'Financial Statement'!V19</f>
        <v>43.318686398985783</v>
      </c>
      <c r="W13" s="116"/>
      <c r="X13" s="116"/>
      <c r="Y13" s="116"/>
      <c r="Z13" s="116"/>
      <c r="AA13" s="116"/>
      <c r="AB13" s="116"/>
    </row>
    <row r="14" spans="1:28" s="4" customFormat="1">
      <c r="A14" s="37"/>
      <c r="B14" s="50"/>
      <c r="C14" s="10"/>
      <c r="D14" s="10"/>
      <c r="E14" s="10">
        <f t="shared" ref="E14:U14" si="3">SUM(E9:E13)</f>
        <v>974.55799999999999</v>
      </c>
      <c r="F14" s="10">
        <f t="shared" si="3"/>
        <v>1383.377</v>
      </c>
      <c r="G14" s="10">
        <f t="shared" ca="1" si="3"/>
        <v>1367.6819999999998</v>
      </c>
      <c r="H14" s="10">
        <f t="shared" ca="1" si="3"/>
        <v>1167.5118250614305</v>
      </c>
      <c r="I14" s="10">
        <f t="shared" ca="1" si="3"/>
        <v>1173.7315673902449</v>
      </c>
      <c r="J14" s="10">
        <f t="shared" ca="1" si="3"/>
        <v>1190.3334354500003</v>
      </c>
      <c r="K14" s="10">
        <f t="shared" ca="1" si="3"/>
        <v>1197.5469700623812</v>
      </c>
      <c r="L14" s="10">
        <f t="shared" ca="1" si="3"/>
        <v>1210.2950333934421</v>
      </c>
      <c r="M14" s="10">
        <f t="shared" ca="1" si="3"/>
        <v>1235.5554356496209</v>
      </c>
      <c r="N14" s="10">
        <f t="shared" ca="1" si="3"/>
        <v>1275.7037644011989</v>
      </c>
      <c r="O14" s="10">
        <f t="shared" ca="1" si="3"/>
        <v>1309.4131742370168</v>
      </c>
      <c r="P14" s="10">
        <f t="shared" ca="1" si="3"/>
        <v>905.91585915540634</v>
      </c>
      <c r="Q14" s="10">
        <f t="shared" ca="1" si="3"/>
        <v>913.117033063299</v>
      </c>
      <c r="R14" s="10">
        <f ca="1">SUM(R9:R13)</f>
        <v>846.1386085513351</v>
      </c>
      <c r="S14" s="10">
        <f t="shared" ca="1" si="3"/>
        <v>817.31360309850447</v>
      </c>
      <c r="T14" s="10">
        <f t="shared" ca="1" si="3"/>
        <v>804.47717640911446</v>
      </c>
      <c r="U14" s="10">
        <f t="shared" ca="1" si="3"/>
        <v>790.97666693825511</v>
      </c>
      <c r="V14" s="10">
        <f t="shared" ref="V14" ca="1" si="4">SUM(V9:V13)</f>
        <v>787.4771542035096</v>
      </c>
      <c r="W14" s="10"/>
      <c r="X14" s="10"/>
      <c r="Y14" s="10"/>
      <c r="Z14" s="10"/>
      <c r="AA14" s="10"/>
      <c r="AB14" s="10"/>
    </row>
    <row r="15" spans="1:28" s="1" customFormat="1" ht="12.7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s="1" customFormat="1" ht="12.75">
      <c r="A16" s="62" t="s">
        <v>118</v>
      </c>
      <c r="B16" s="62"/>
      <c r="C16" s="62"/>
      <c r="D16" s="62"/>
      <c r="E16" s="116">
        <f>-'Financial Statement'!E107</f>
        <v>0</v>
      </c>
      <c r="F16" s="116">
        <f>IF(Assumption!K76="inverse order",-'Financial Statement'!F107-Assumption!L76,-'Financial Statement'!F107)</f>
        <v>198.84</v>
      </c>
      <c r="G16" s="116">
        <f>-'Financial Statement'!G107</f>
        <v>167.61169999999998</v>
      </c>
      <c r="H16" s="116">
        <f>-'Financial Statement'!H107-200</f>
        <v>257.17650000000003</v>
      </c>
      <c r="I16" s="116">
        <f ca="1">-'Financial Statement'!I107</f>
        <v>326.70389488905289</v>
      </c>
      <c r="J16" s="116">
        <f ca="1">-'Financial Statement'!J107</f>
        <v>404.1843897781057</v>
      </c>
      <c r="K16" s="116">
        <f ca="1">-'Financial Statement'!K107</f>
        <v>432.68463977810575</v>
      </c>
      <c r="L16" s="116">
        <f ca="1">-'Financial Statement'!L107</f>
        <v>461.8492897781058</v>
      </c>
      <c r="M16" s="116">
        <f ca="1">-'Financial Statement'!M107</f>
        <v>460.00786350036901</v>
      </c>
      <c r="N16" s="116">
        <f ca="1">-'Financial Statement'!N107</f>
        <v>439.24178466715864</v>
      </c>
      <c r="O16" s="116">
        <f ca="1">-'Financial Statement'!O107</f>
        <v>456.47678466715865</v>
      </c>
      <c r="P16" s="116">
        <f ca="1">-'Financial Statement'!P107</f>
        <v>484.01893722263225</v>
      </c>
      <c r="Q16" s="116">
        <f ca="1">-'Financial Statement'!Q107</f>
        <v>475.17489488905289</v>
      </c>
      <c r="R16" s="116">
        <f ca="1">-'Financial Statement'!R107</f>
        <v>475.17489488905289</v>
      </c>
      <c r="S16" s="116">
        <f ca="1">-'Financial Statement'!S107</f>
        <v>477.97441861131614</v>
      </c>
      <c r="T16" s="116">
        <f ca="1">-'Financial Statement'!T107</f>
        <v>486.37298977810576</v>
      </c>
      <c r="U16" s="116">
        <f ca="1">-'Financial Statement'!U107</f>
        <v>485.573572555846</v>
      </c>
      <c r="V16" s="116">
        <f ca="1">-'Financial Statement'!V107</f>
        <v>2.7995237222632205</v>
      </c>
      <c r="W16" s="116"/>
      <c r="X16" s="116"/>
      <c r="Y16" s="116"/>
      <c r="Z16" s="116"/>
      <c r="AA16" s="116"/>
      <c r="AB16" s="116"/>
    </row>
    <row r="17" spans="1:28" s="1" customFormat="1" ht="12.75">
      <c r="A17" s="62" t="s">
        <v>373</v>
      </c>
      <c r="B17" s="62"/>
      <c r="C17" s="62"/>
      <c r="D17" s="62"/>
      <c r="E17" s="116">
        <f>E12+E13</f>
        <v>712.67800000000011</v>
      </c>
      <c r="F17" s="505">
        <f>F12+F13</f>
        <v>698.548</v>
      </c>
      <c r="G17" s="116">
        <f t="shared" ref="G17:U17" si="5">G12+G13</f>
        <v>639.98</v>
      </c>
      <c r="H17" s="116">
        <f t="shared" ca="1" si="5"/>
        <v>614.04331489554318</v>
      </c>
      <c r="I17" s="116">
        <f t="shared" ca="1" si="5"/>
        <v>589.51060989827681</v>
      </c>
      <c r="J17" s="116">
        <f t="shared" ca="1" si="5"/>
        <v>568.04561313520185</v>
      </c>
      <c r="K17" s="116">
        <f t="shared" ca="1" si="5"/>
        <v>526.45901186369713</v>
      </c>
      <c r="L17" s="116">
        <f t="shared" ca="1" si="5"/>
        <v>483.64751985160115</v>
      </c>
      <c r="M17" s="116">
        <f t="shared" ca="1" si="5"/>
        <v>438.76708874870769</v>
      </c>
      <c r="N17" s="116">
        <f t="shared" ca="1" si="5"/>
        <v>397.01904522669844</v>
      </c>
      <c r="O17" s="116">
        <f t="shared" ca="1" si="5"/>
        <v>354.18781463900137</v>
      </c>
      <c r="P17" s="116">
        <f t="shared" ca="1" si="5"/>
        <v>302.71745444877268</v>
      </c>
      <c r="Q17" s="116">
        <f t="shared" ca="1" si="5"/>
        <v>251.10901070264231</v>
      </c>
      <c r="R17" s="116">
        <f t="shared" ca="1" si="5"/>
        <v>205.83932792561319</v>
      </c>
      <c r="S17" s="116">
        <f t="shared" ca="1" si="5"/>
        <v>159.55083723630003</v>
      </c>
      <c r="T17" s="116">
        <f t="shared" ca="1" si="5"/>
        <v>113.10005035738658</v>
      </c>
      <c r="U17" s="116">
        <f t="shared" ca="1" si="5"/>
        <v>56.329340912076823</v>
      </c>
      <c r="V17" s="116">
        <f t="shared" ref="V17" ca="1" si="6">V12+V13</f>
        <v>43.35742337038112</v>
      </c>
      <c r="W17" s="116"/>
      <c r="X17" s="116"/>
      <c r="Y17" s="116"/>
      <c r="Z17" s="116"/>
      <c r="AA17" s="116"/>
      <c r="AB17" s="116"/>
    </row>
    <row r="18" spans="1:28" s="4" customFormat="1">
      <c r="A18" s="37"/>
      <c r="B18" s="50"/>
      <c r="C18" s="10"/>
      <c r="D18" s="10"/>
      <c r="E18" s="10">
        <f>E16+E17</f>
        <v>712.67800000000011</v>
      </c>
      <c r="F18" s="10">
        <f t="shared" ref="F18:U18" si="7">F16+F17</f>
        <v>897.38800000000003</v>
      </c>
      <c r="G18" s="10">
        <f t="shared" si="7"/>
        <v>807.59169999999995</v>
      </c>
      <c r="H18" s="10">
        <f t="shared" ca="1" si="7"/>
        <v>871.21981489554321</v>
      </c>
      <c r="I18" s="10">
        <f t="shared" ca="1" si="7"/>
        <v>916.2145047873297</v>
      </c>
      <c r="J18" s="10">
        <f t="shared" ca="1" si="7"/>
        <v>972.23000291330754</v>
      </c>
      <c r="K18" s="10">
        <f t="shared" ca="1" si="7"/>
        <v>959.14365164180288</v>
      </c>
      <c r="L18" s="10">
        <f t="shared" ca="1" si="7"/>
        <v>945.49680962970695</v>
      </c>
      <c r="M18" s="10">
        <f t="shared" ca="1" si="7"/>
        <v>898.7749522490767</v>
      </c>
      <c r="N18" s="10">
        <f t="shared" ca="1" si="7"/>
        <v>836.26082989385714</v>
      </c>
      <c r="O18" s="10">
        <f t="shared" ca="1" si="7"/>
        <v>810.66459930615997</v>
      </c>
      <c r="P18" s="10">
        <f t="shared" ca="1" si="7"/>
        <v>786.73639167140493</v>
      </c>
      <c r="Q18" s="10">
        <f t="shared" ca="1" si="7"/>
        <v>726.2839055916952</v>
      </c>
      <c r="R18" s="10">
        <f t="shared" ca="1" si="7"/>
        <v>681.01422281466603</v>
      </c>
      <c r="S18" s="10">
        <f t="shared" ca="1" si="7"/>
        <v>637.52525584761611</v>
      </c>
      <c r="T18" s="10">
        <f t="shared" ca="1" si="7"/>
        <v>599.47304013549228</v>
      </c>
      <c r="U18" s="10">
        <f t="shared" ca="1" si="7"/>
        <v>541.90291346792287</v>
      </c>
      <c r="V18" s="10">
        <f t="shared" ref="V18" ca="1" si="8">V16+V17</f>
        <v>46.156947092644344</v>
      </c>
      <c r="W18" s="10"/>
      <c r="X18" s="10"/>
      <c r="Y18" s="10"/>
      <c r="Z18" s="10"/>
      <c r="AA18" s="10"/>
      <c r="AB18" s="10"/>
    </row>
    <row r="19" spans="1:28" s="1" customFormat="1" ht="12.75">
      <c r="A19" s="62"/>
      <c r="B19" s="62" t="s">
        <v>378</v>
      </c>
      <c r="C19" s="62"/>
      <c r="D19" s="62" t="s">
        <v>682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s="4" customFormat="1">
      <c r="A20" s="37" t="s">
        <v>374</v>
      </c>
      <c r="B20" s="67">
        <f ca="1">MIN(F20:U20)</f>
        <v>1.1514858963506278</v>
      </c>
      <c r="C20" s="67"/>
      <c r="D20" s="67">
        <f ca="1">SUM(G14:V14)/SUM(G18:V18)</f>
        <v>1.4117826373985225</v>
      </c>
      <c r="E20" s="67">
        <f>E14/E18</f>
        <v>1.3674590768902644</v>
      </c>
      <c r="F20" s="67">
        <f>F14/F18</f>
        <v>1.5415595038043743</v>
      </c>
      <c r="G20" s="67">
        <f t="shared" ref="G20:U20" ca="1" si="9">G14/G18</f>
        <v>1.6935315209405939</v>
      </c>
      <c r="H20" s="67">
        <f t="shared" ca="1" si="9"/>
        <v>1.3400886952983408</v>
      </c>
      <c r="I20" s="482">
        <f t="shared" ca="1" si="9"/>
        <v>1.2810663455526603</v>
      </c>
      <c r="J20" s="67">
        <f t="shared" ca="1" si="9"/>
        <v>1.224333163843063</v>
      </c>
      <c r="K20" s="67">
        <f t="shared" ca="1" si="9"/>
        <v>1.2485585115561098</v>
      </c>
      <c r="L20" s="67">
        <f t="shared" ca="1" si="9"/>
        <v>1.2800625248724429</v>
      </c>
      <c r="M20" s="67">
        <f t="shared" ca="1" si="9"/>
        <v>1.3747105797260943</v>
      </c>
      <c r="N20" s="67">
        <f t="shared" ca="1" si="9"/>
        <v>1.5254854930406321</v>
      </c>
      <c r="O20" s="67">
        <f t="shared" ca="1" si="9"/>
        <v>1.6152341860711952</v>
      </c>
      <c r="P20" s="482">
        <f t="shared" ca="1" si="9"/>
        <v>1.1514858963506278</v>
      </c>
      <c r="Q20" s="67">
        <f t="shared" ca="1" si="9"/>
        <v>1.2572453086639626</v>
      </c>
      <c r="R20" s="482">
        <f t="shared" ca="1" si="9"/>
        <v>1.2424683364969995</v>
      </c>
      <c r="S20" s="67">
        <f t="shared" ca="1" si="9"/>
        <v>1.2820097644788242</v>
      </c>
      <c r="T20" s="67">
        <f t="shared" ca="1" si="9"/>
        <v>1.3419739046601451</v>
      </c>
      <c r="U20" s="67">
        <f t="shared" ca="1" si="9"/>
        <v>1.4596280021385708</v>
      </c>
      <c r="V20" s="67">
        <f t="shared" ref="V20" ca="1" si="10">V14/V18</f>
        <v>17.06085873970212</v>
      </c>
      <c r="W20" s="67"/>
      <c r="X20" s="67"/>
      <c r="Y20" s="67"/>
      <c r="Z20" s="67"/>
      <c r="AA20" s="67"/>
      <c r="AB20" s="67"/>
    </row>
    <row r="21" spans="1:28" s="1" customFormat="1" ht="12.75">
      <c r="A21" s="62"/>
      <c r="B21" s="62"/>
      <c r="C21" s="11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140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s="1" customFormat="1" ht="12.75">
      <c r="A22" s="62" t="s">
        <v>703</v>
      </c>
      <c r="B22" s="62"/>
      <c r="C22" s="112"/>
      <c r="D22" s="62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75"/>
      <c r="X22" s="62"/>
      <c r="Y22" s="62"/>
      <c r="Z22" s="62"/>
      <c r="AA22" s="62"/>
      <c r="AB22" s="62"/>
    </row>
    <row r="23" spans="1:28" s="1" customFormat="1" ht="12.75">
      <c r="A23" s="62"/>
      <c r="B23" s="62"/>
      <c r="C23" s="112"/>
      <c r="D23" s="62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62"/>
      <c r="W23" s="62"/>
      <c r="X23" s="62"/>
      <c r="Y23" s="62"/>
      <c r="Z23" s="62"/>
      <c r="AA23" s="62"/>
      <c r="AB23" s="62"/>
    </row>
    <row r="24" spans="1:28" s="1" customFormat="1" ht="12.75">
      <c r="A24" s="62" t="s">
        <v>697</v>
      </c>
      <c r="B24" s="62"/>
      <c r="C24" s="112"/>
      <c r="D24" s="62"/>
      <c r="E24" s="140"/>
      <c r="F24" s="140"/>
      <c r="G24" s="140">
        <f ca="1">G14-G18</f>
        <v>560.09029999999984</v>
      </c>
      <c r="H24" s="140">
        <f ca="1">H14-H18</f>
        <v>296.29201016588729</v>
      </c>
      <c r="I24" s="140">
        <f t="shared" ref="I24:V24" ca="1" si="11">I14-I18</f>
        <v>257.51706260291519</v>
      </c>
      <c r="J24" s="140">
        <f t="shared" ca="1" si="11"/>
        <v>218.10343253669271</v>
      </c>
      <c r="K24" s="140">
        <f t="shared" ca="1" si="11"/>
        <v>238.40331842057833</v>
      </c>
      <c r="L24" s="140">
        <f t="shared" ca="1" si="11"/>
        <v>264.79822376373511</v>
      </c>
      <c r="M24" s="140">
        <f t="shared" ca="1" si="11"/>
        <v>336.7804834005442</v>
      </c>
      <c r="N24" s="140">
        <f t="shared" ca="1" si="11"/>
        <v>439.44293450734176</v>
      </c>
      <c r="O24" s="140">
        <f t="shared" ca="1" si="11"/>
        <v>498.74857493085688</v>
      </c>
      <c r="P24" s="140">
        <f ca="1">P14-P18</f>
        <v>119.17946748400141</v>
      </c>
      <c r="Q24" s="140">
        <f ca="1">(Q14-Q18)*0</f>
        <v>0</v>
      </c>
      <c r="R24" s="140">
        <f ca="1">(R14-R18)*0</f>
        <v>0</v>
      </c>
      <c r="S24" s="140">
        <f ca="1">(S14-S18)*0</f>
        <v>0</v>
      </c>
      <c r="T24" s="140">
        <f t="shared" ca="1" si="11"/>
        <v>205.00413627362218</v>
      </c>
      <c r="U24" s="140">
        <f ca="1">(U14-U18)*0</f>
        <v>0</v>
      </c>
      <c r="V24" s="140">
        <f t="shared" ca="1" si="11"/>
        <v>741.32020711086523</v>
      </c>
      <c r="W24" s="62"/>
      <c r="X24" s="62"/>
      <c r="Y24" s="62"/>
      <c r="Z24" s="62"/>
      <c r="AA24" s="62"/>
      <c r="AB24" s="62"/>
    </row>
    <row r="25" spans="1:28" s="1" customFormat="1" ht="12.75">
      <c r="A25" s="62" t="s">
        <v>698</v>
      </c>
      <c r="B25" s="62"/>
      <c r="C25" s="112"/>
      <c r="D25" s="62"/>
      <c r="E25" s="140"/>
      <c r="F25" s="140"/>
      <c r="G25" s="140">
        <f ca="1">IF(G20&lt;=1.2,G18*0,G18*1.2)</f>
        <v>969.11003999999991</v>
      </c>
      <c r="H25" s="140">
        <f t="shared" ref="H25" ca="1" si="12">IF(H20&gt;=1.2,H18*1.2,H18*1.1)</f>
        <v>1045.4637778746519</v>
      </c>
      <c r="I25" s="140">
        <f ca="1">IF(I20&gt;=1.2,I18*1.2,I18*1)</f>
        <v>1099.4574057447956</v>
      </c>
      <c r="J25" s="140">
        <f ca="1">IF(J20&gt;=1.2,J18*1.2,J18*1)</f>
        <v>1166.6760034959691</v>
      </c>
      <c r="K25" s="140">
        <f ca="1">IF(K20&gt;=1.2,K18*1.2,K18*1)</f>
        <v>1150.9723819701635</v>
      </c>
      <c r="L25" s="140">
        <f ca="1">IF(L20&gt;=1.2,L18*1.2,L18*1)</f>
        <v>1134.5961715556482</v>
      </c>
      <c r="M25" s="140">
        <f ca="1">IF(M20&gt;=1.2,M18*1.2,M18*1.1)</f>
        <v>1078.529942698892</v>
      </c>
      <c r="N25" s="140">
        <f ca="1">IF(N20&gt;=1.2,N18*1.2,N18*1.1)</f>
        <v>1003.5129958726285</v>
      </c>
      <c r="O25" s="140">
        <f ca="1">IF(O20&gt;=1.2,O18*1.2,O18*1.1)</f>
        <v>972.7975191673919</v>
      </c>
      <c r="P25" s="140">
        <f ca="1">IF(P20&lt;=1,P18*0,P18*P20)</f>
        <v>905.91585915540634</v>
      </c>
      <c r="Q25" s="140">
        <f t="shared" ref="Q25:U25" ca="1" si="13">IF(Q20&lt;=1,Q18*0,Q18*1)</f>
        <v>726.2839055916952</v>
      </c>
      <c r="R25" s="140">
        <f t="shared" ca="1" si="13"/>
        <v>681.01422281466603</v>
      </c>
      <c r="S25" s="140">
        <f t="shared" ca="1" si="13"/>
        <v>637.52525584761611</v>
      </c>
      <c r="T25" s="140">
        <f ca="1">IF(T20&lt;=1,T18*0,T18*1)</f>
        <v>599.47304013549228</v>
      </c>
      <c r="U25" s="140">
        <f t="shared" ca="1" si="13"/>
        <v>541.90291346792287</v>
      </c>
      <c r="V25" s="140">
        <f ca="1">IF(V20&lt;=1,V18*0,V18*1.2)</f>
        <v>55.388336511173215</v>
      </c>
      <c r="W25" s="62"/>
      <c r="X25" s="62"/>
      <c r="Y25" s="62"/>
      <c r="Z25" s="62"/>
      <c r="AA25" s="62"/>
      <c r="AB25" s="62"/>
    </row>
    <row r="26" spans="1:28" s="1" customFormat="1" ht="12.75">
      <c r="A26" s="62" t="s">
        <v>699</v>
      </c>
      <c r="B26" s="62"/>
      <c r="C26" s="112"/>
      <c r="D26" s="62"/>
      <c r="E26" s="140"/>
      <c r="F26" s="140"/>
      <c r="G26" s="140">
        <f ca="1">G14-G25</f>
        <v>398.57195999999988</v>
      </c>
      <c r="H26" s="140">
        <f ca="1">H14-H25</f>
        <v>122.0480471867786</v>
      </c>
      <c r="I26" s="140">
        <f t="shared" ref="I26:V26" ca="1" si="14">I14-I25</f>
        <v>74.27416164544934</v>
      </c>
      <c r="J26" s="140">
        <f t="shared" ca="1" si="14"/>
        <v>23.657431954031154</v>
      </c>
      <c r="K26" s="140">
        <f t="shared" ca="1" si="14"/>
        <v>46.574588092217709</v>
      </c>
      <c r="L26" s="140">
        <f t="shared" ca="1" si="14"/>
        <v>75.698861837793856</v>
      </c>
      <c r="M26" s="140">
        <f t="shared" ca="1" si="14"/>
        <v>157.0254929507289</v>
      </c>
      <c r="N26" s="140">
        <f t="shared" ca="1" si="14"/>
        <v>272.1907685285704</v>
      </c>
      <c r="O26" s="140">
        <f t="shared" ca="1" si="14"/>
        <v>336.61565506962495</v>
      </c>
      <c r="P26" s="140">
        <f t="shared" ca="1" si="14"/>
        <v>0</v>
      </c>
      <c r="Q26" s="140">
        <f t="shared" ca="1" si="14"/>
        <v>186.8331274716038</v>
      </c>
      <c r="R26" s="140">
        <f t="shared" ca="1" si="14"/>
        <v>165.12438573666907</v>
      </c>
      <c r="S26" s="140">
        <f t="shared" ca="1" si="14"/>
        <v>179.78834725088836</v>
      </c>
      <c r="T26" s="140">
        <f t="shared" ca="1" si="14"/>
        <v>205.00413627362218</v>
      </c>
      <c r="U26" s="140">
        <f t="shared" ca="1" si="14"/>
        <v>249.07375347033224</v>
      </c>
      <c r="V26" s="140">
        <f t="shared" ca="1" si="14"/>
        <v>732.08881769233642</v>
      </c>
      <c r="W26" s="62"/>
      <c r="X26" s="62"/>
      <c r="Y26" s="62"/>
      <c r="Z26" s="62"/>
      <c r="AA26" s="62"/>
      <c r="AB26" s="62"/>
    </row>
    <row r="27" spans="1:28" s="1" customFormat="1" ht="12.75">
      <c r="A27" s="62"/>
      <c r="B27" s="62"/>
      <c r="C27" s="112"/>
      <c r="D27" s="62"/>
      <c r="E27" s="140"/>
      <c r="F27" s="140"/>
      <c r="G27" s="140"/>
      <c r="H27" s="140"/>
      <c r="I27" s="140"/>
      <c r="J27" s="140"/>
      <c r="K27" s="140"/>
      <c r="L27" s="140"/>
      <c r="M27" s="140"/>
      <c r="N27" s="112"/>
      <c r="O27" s="112"/>
      <c r="P27" s="112"/>
      <c r="Q27" s="112"/>
      <c r="R27" s="112"/>
      <c r="S27" s="112"/>
      <c r="T27" s="112"/>
      <c r="U27" s="112"/>
      <c r="V27" s="62"/>
      <c r="W27" s="62"/>
      <c r="X27" s="62"/>
      <c r="Y27" s="62"/>
      <c r="Z27" s="62"/>
      <c r="AA27" s="62"/>
      <c r="AB27" s="62"/>
    </row>
    <row r="28" spans="1:28" s="1" customFormat="1" ht="12.75">
      <c r="A28" s="62"/>
      <c r="B28" s="62"/>
      <c r="C28" s="112"/>
      <c r="D28" s="62"/>
      <c r="E28" s="140"/>
      <c r="F28" s="140"/>
      <c r="G28" s="140"/>
      <c r="H28" s="140"/>
      <c r="I28" s="140"/>
      <c r="J28" s="140"/>
      <c r="K28" s="140"/>
      <c r="L28" s="140"/>
      <c r="M28" s="140"/>
      <c r="N28" s="112"/>
      <c r="O28" s="112"/>
      <c r="P28" s="112"/>
      <c r="Q28" s="112"/>
      <c r="R28" s="112"/>
      <c r="S28" s="112"/>
      <c r="T28" s="112"/>
      <c r="U28" s="112"/>
      <c r="V28" s="62"/>
      <c r="W28" s="62"/>
      <c r="X28" s="62"/>
      <c r="Y28" s="62"/>
      <c r="Z28" s="62"/>
      <c r="AA28" s="62"/>
      <c r="AB28" s="62"/>
    </row>
    <row r="29" spans="1:28" s="1" customFormat="1" ht="12.75">
      <c r="A29" s="598" t="s">
        <v>700</v>
      </c>
      <c r="B29" s="598">
        <v>1.2</v>
      </c>
      <c r="C29" s="599">
        <v>0.5</v>
      </c>
      <c r="D29" s="598"/>
      <c r="E29" s="598"/>
      <c r="F29" s="598"/>
      <c r="G29" s="600">
        <f ca="1">IF(G20&lt;$B$31,(G14-G18)*$C$31,IF(AND(G20&gt;$B$31,G20&lt;=$B$29),(G14-(G18*$B$31))*$C$30,IF(G20&gt;$B$29,(G14-(G18*$B$29)))*$C$29))</f>
        <v>199.28597999999994</v>
      </c>
      <c r="H29" s="600">
        <f t="shared" ref="H29:V29" ca="1" si="15">IF(H20&lt;$B$31,(H14-H18)*$C$31,IF(AND(H20&gt;$B$31,H20&lt;=$B$29),(H14-(H18*$B$31))*$C$30,IF(H20&gt;$B$29,(H14-(H18*$B$29)))*$C$29))</f>
        <v>61.024023593389302</v>
      </c>
      <c r="I29" s="600">
        <f ca="1">IF(I20&lt;$B$31,(I14-I18)*$C$31,IF(AND(I20&gt;$B$31,I20&lt;=$B$29),(I14-(I18*$B$31))*$C$30,IF(I20&gt;$B$29,(I14-(I18*$B$29)))*$C$29))</f>
        <v>37.13708082272467</v>
      </c>
      <c r="J29" s="600">
        <f t="shared" ca="1" si="15"/>
        <v>11.828715977015577</v>
      </c>
      <c r="K29" s="600">
        <f t="shared" ca="1" si="15"/>
        <v>23.287294046108855</v>
      </c>
      <c r="L29" s="600">
        <f t="shared" ca="1" si="15"/>
        <v>37.849430918896928</v>
      </c>
      <c r="M29" s="600">
        <f t="shared" ca="1" si="15"/>
        <v>78.512746475364452</v>
      </c>
      <c r="N29" s="600">
        <f t="shared" ca="1" si="15"/>
        <v>136.0953842642852</v>
      </c>
      <c r="O29" s="600">
        <f t="shared" ca="1" si="15"/>
        <v>168.30782753481247</v>
      </c>
      <c r="P29" s="600">
        <f ca="1">IF(P20&lt;$B$31,(P14-P18)*$C$31,IF(AND(P20&gt;$B$31,P20&lt;=$B$29),(P14-(P18*$B$31))*$C$30,IF(P20&gt;$B$29,(P14-(P18*$B$29)))*$C$29))*0</f>
        <v>0</v>
      </c>
      <c r="Q29" s="600">
        <f ca="1">IF(Q20&lt;$B$31,(Q14-Q18)*$C$31,IF(AND(Q20&gt;$B$31,Q20&lt;=$B$29),(Q14-(Q18*$B$31))*$C$30,IF(Q20&gt;$B$29,(Q14-(Q18*$B$29)))*$C$29))*0</f>
        <v>0</v>
      </c>
      <c r="R29" s="600">
        <f ca="1">IF(R20&lt;$B$31,(R14-R18)*$C$31,IF(AND(R20&gt;$B$31,R20&lt;=$B$29),(R14-(R18*$B$31))*$C$30,IF(R20&gt;$B$29,(R14-(R18*$B$29)))*$C$29))*0</f>
        <v>0</v>
      </c>
      <c r="S29" s="600">
        <f ca="1">IF(S20&lt;$B$31,(S14-S18)*$C$31,IF(AND(S20&gt;$B$31,S20&lt;=$B$29),(S14-(S18*$B$31))*$C$30,IF(S20&gt;$B$29,(S14-(S18*$B$29)))*$C$29))*0</f>
        <v>0</v>
      </c>
      <c r="T29" s="600">
        <f t="shared" ca="1" si="15"/>
        <v>42.554764123261862</v>
      </c>
      <c r="U29" s="600">
        <f ca="1">IF(U20&lt;$B$31,(U14-U18)*$C$31,IF(AND(U20&gt;$B$31,U20&lt;=$B$29),(U14-(U18*$B$31))*$C$30,IF(U20&gt;$B$29,(U14-(U18*$B$29)))*$C$29))*0</f>
        <v>0</v>
      </c>
      <c r="V29" s="600">
        <f t="shared" ca="1" si="15"/>
        <v>366.04440884616821</v>
      </c>
      <c r="W29" s="62"/>
      <c r="X29" s="62"/>
      <c r="Y29" s="62"/>
      <c r="Z29" s="62"/>
      <c r="AA29" s="62"/>
      <c r="AB29" s="62"/>
    </row>
    <row r="30" spans="1:28" s="1" customFormat="1" ht="12.75">
      <c r="A30" s="598"/>
      <c r="B30" s="598" t="s">
        <v>701</v>
      </c>
      <c r="C30" s="599">
        <v>0.6</v>
      </c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  <c r="U30" s="598"/>
      <c r="V30" s="598"/>
      <c r="W30" s="62"/>
      <c r="X30" s="62"/>
      <c r="Y30" s="62"/>
      <c r="Z30" s="62"/>
      <c r="AA30" s="62"/>
      <c r="AB30" s="62"/>
    </row>
    <row r="31" spans="1:28" s="1" customFormat="1" ht="12.75">
      <c r="A31" s="598"/>
      <c r="B31" s="598">
        <v>1.1000000000000001</v>
      </c>
      <c r="C31" s="599">
        <v>0.9</v>
      </c>
      <c r="D31" s="598"/>
      <c r="E31" s="598"/>
      <c r="F31" s="598"/>
      <c r="G31" s="598"/>
      <c r="H31" s="598"/>
      <c r="I31" s="598"/>
      <c r="J31" s="598"/>
      <c r="K31" s="598"/>
      <c r="L31" s="598"/>
      <c r="M31" s="598"/>
      <c r="N31" s="598"/>
      <c r="O31" s="598"/>
      <c r="P31" s="598"/>
      <c r="Q31" s="598"/>
      <c r="R31" s="598"/>
      <c r="S31" s="598"/>
      <c r="T31" s="598"/>
      <c r="U31" s="598"/>
      <c r="V31" s="598"/>
      <c r="W31" s="62"/>
      <c r="X31" s="62"/>
      <c r="Y31" s="62"/>
      <c r="Z31" s="62"/>
      <c r="AA31" s="62"/>
      <c r="AB31" s="62"/>
    </row>
    <row r="32" spans="1:28" s="1" customFormat="1" ht="12.75">
      <c r="A32" s="62"/>
      <c r="B32" s="62"/>
      <c r="C32" s="112"/>
      <c r="D32" s="62"/>
      <c r="E32" s="140"/>
      <c r="F32" s="140"/>
      <c r="G32" s="140"/>
      <c r="H32" s="140"/>
      <c r="I32" s="140"/>
      <c r="J32" s="140"/>
      <c r="K32" s="140"/>
      <c r="L32" s="140"/>
      <c r="M32" s="140"/>
      <c r="N32" s="112"/>
      <c r="O32" s="112"/>
      <c r="P32" s="112"/>
      <c r="Q32" s="112"/>
      <c r="R32" s="112"/>
      <c r="S32" s="112"/>
      <c r="T32" s="112"/>
      <c r="U32" s="112"/>
      <c r="V32" s="62"/>
      <c r="W32" s="62"/>
      <c r="X32" s="62"/>
      <c r="Y32" s="62"/>
      <c r="Z32" s="62"/>
      <c r="AA32" s="62"/>
      <c r="AB32" s="62"/>
    </row>
    <row r="33" spans="1:64" s="1" customFormat="1" ht="12.75" hidden="1">
      <c r="A33" s="62"/>
      <c r="B33" s="62"/>
      <c r="C33" s="112"/>
      <c r="D33" s="62"/>
      <c r="E33" s="140"/>
      <c r="F33" s="140"/>
      <c r="G33" s="600">
        <v>199.28597999999994</v>
      </c>
      <c r="H33" s="600">
        <v>81.593625843308473</v>
      </c>
      <c r="I33" s="600">
        <v>57.879723938101051</v>
      </c>
      <c r="J33" s="600">
        <v>28.496038635058881</v>
      </c>
      <c r="K33" s="600">
        <v>37.845058490698534</v>
      </c>
      <c r="L33" s="600">
        <v>50.104152614993495</v>
      </c>
      <c r="M33" s="600">
        <v>88.30068522473448</v>
      </c>
      <c r="N33" s="600">
        <v>143.09055105820721</v>
      </c>
      <c r="O33" s="600">
        <v>172.64277866402904</v>
      </c>
      <c r="P33" s="600">
        <v>0</v>
      </c>
      <c r="Q33" s="600">
        <v>0</v>
      </c>
      <c r="R33" s="600">
        <v>0</v>
      </c>
      <c r="S33" s="600">
        <v>0</v>
      </c>
      <c r="T33" s="600">
        <v>66.364095695218339</v>
      </c>
      <c r="U33" s="600">
        <v>0</v>
      </c>
      <c r="V33" s="600">
        <v>352.19108099406407</v>
      </c>
      <c r="W33" s="62"/>
      <c r="X33" s="62"/>
      <c r="Y33" s="62"/>
      <c r="Z33" s="62"/>
      <c r="AA33" s="62"/>
      <c r="AB33" s="62"/>
    </row>
    <row r="34" spans="1:64" s="1" customFormat="1" ht="12.75" hidden="1">
      <c r="A34" s="62"/>
      <c r="B34" s="62"/>
      <c r="C34" s="112"/>
      <c r="D34" s="62"/>
      <c r="E34" s="140"/>
      <c r="F34" s="140"/>
      <c r="G34" s="140"/>
      <c r="H34" s="140"/>
      <c r="I34" s="140"/>
      <c r="J34" s="140"/>
      <c r="K34" s="140"/>
      <c r="L34" s="140"/>
      <c r="M34" s="140"/>
      <c r="N34" s="112"/>
      <c r="O34" s="112"/>
      <c r="P34" s="112"/>
      <c r="Q34" s="112"/>
      <c r="R34" s="112"/>
      <c r="S34" s="112"/>
      <c r="T34" s="112"/>
      <c r="U34" s="112"/>
      <c r="V34" s="62"/>
      <c r="W34" s="62"/>
      <c r="X34" s="62"/>
      <c r="Y34" s="62"/>
      <c r="Z34" s="62"/>
      <c r="AA34" s="62"/>
      <c r="AB34" s="62"/>
    </row>
    <row r="35" spans="1:64" s="17" customFormat="1" hidden="1">
      <c r="A35" s="106"/>
      <c r="B35" s="106"/>
      <c r="C35" s="106"/>
      <c r="D35" s="106"/>
      <c r="E35" s="106"/>
      <c r="F35" s="106"/>
      <c r="G35" s="6">
        <v>44377</v>
      </c>
      <c r="H35" s="6">
        <v>44469</v>
      </c>
      <c r="I35" s="6">
        <v>44561</v>
      </c>
      <c r="J35" s="6">
        <v>44651</v>
      </c>
      <c r="K35" s="6">
        <v>44742</v>
      </c>
      <c r="L35" s="6">
        <v>44834</v>
      </c>
      <c r="M35" s="6">
        <v>44926</v>
      </c>
      <c r="N35" s="6">
        <v>45016</v>
      </c>
      <c r="O35" s="6">
        <v>45107</v>
      </c>
      <c r="P35" s="6">
        <v>45199</v>
      </c>
      <c r="Q35" s="6">
        <v>45291</v>
      </c>
      <c r="R35" s="6">
        <v>45382</v>
      </c>
      <c r="S35" s="6">
        <v>45473</v>
      </c>
      <c r="T35" s="6">
        <v>45565</v>
      </c>
      <c r="U35" s="6">
        <v>45657</v>
      </c>
      <c r="V35" s="6">
        <v>45747</v>
      </c>
      <c r="W35" s="6">
        <v>45838</v>
      </c>
      <c r="X35" s="6">
        <v>45930</v>
      </c>
      <c r="Y35" s="6">
        <v>46022</v>
      </c>
      <c r="Z35" s="6">
        <v>46112</v>
      </c>
      <c r="AA35" s="6">
        <v>46203</v>
      </c>
      <c r="AB35" s="6">
        <v>46295</v>
      </c>
      <c r="AC35" s="6">
        <v>46387</v>
      </c>
      <c r="AD35" s="6">
        <v>46477</v>
      </c>
      <c r="AE35" s="6">
        <v>46568</v>
      </c>
      <c r="AF35" s="6">
        <v>46660</v>
      </c>
      <c r="AG35" s="6">
        <v>46752</v>
      </c>
      <c r="AH35" s="6">
        <v>46843</v>
      </c>
      <c r="AI35" s="6">
        <v>46934</v>
      </c>
      <c r="AJ35" s="6">
        <v>47026</v>
      </c>
      <c r="AK35" s="6">
        <v>47118</v>
      </c>
      <c r="AL35" s="6">
        <v>47208</v>
      </c>
      <c r="AM35" s="6">
        <v>47299</v>
      </c>
      <c r="AN35" s="6">
        <v>47391</v>
      </c>
      <c r="AO35" s="6">
        <v>47483</v>
      </c>
      <c r="AP35" s="6">
        <v>47573</v>
      </c>
      <c r="AQ35" s="6">
        <v>47664</v>
      </c>
      <c r="AR35" s="6">
        <v>47756</v>
      </c>
      <c r="AS35" s="6">
        <v>47848</v>
      </c>
      <c r="AT35" s="6">
        <v>47938</v>
      </c>
      <c r="AU35" s="6">
        <v>48029</v>
      </c>
      <c r="AV35" s="6">
        <v>48121</v>
      </c>
      <c r="AW35" s="6">
        <v>48213</v>
      </c>
      <c r="AX35" s="6">
        <v>48304</v>
      </c>
      <c r="AY35" s="6">
        <v>48395</v>
      </c>
      <c r="AZ35" s="6">
        <v>48487</v>
      </c>
      <c r="BA35" s="6">
        <v>48579</v>
      </c>
      <c r="BB35" s="6">
        <v>48669</v>
      </c>
      <c r="BC35" s="6">
        <v>48760</v>
      </c>
      <c r="BD35" s="6">
        <v>48852</v>
      </c>
      <c r="BE35" s="6">
        <v>48944</v>
      </c>
      <c r="BF35" s="6">
        <v>49034</v>
      </c>
      <c r="BG35" s="6">
        <v>49125</v>
      </c>
      <c r="BH35" s="6">
        <v>49217</v>
      </c>
      <c r="BI35" s="6">
        <v>49309</v>
      </c>
      <c r="BJ35" s="6">
        <v>49399</v>
      </c>
      <c r="BK35" s="6">
        <v>49490</v>
      </c>
      <c r="BL35" s="6">
        <v>49582</v>
      </c>
    </row>
    <row r="36" spans="1:64" s="17" customFormat="1" hidden="1">
      <c r="A36" s="106"/>
      <c r="B36" s="106"/>
      <c r="C36" s="106"/>
      <c r="D36" s="106"/>
      <c r="E36" s="106"/>
      <c r="F36" s="106"/>
      <c r="G36" s="132">
        <v>2022</v>
      </c>
      <c r="H36" s="132">
        <v>2022</v>
      </c>
      <c r="I36" s="132">
        <v>2022</v>
      </c>
      <c r="J36" s="132">
        <v>2022</v>
      </c>
      <c r="K36" s="132">
        <v>2023</v>
      </c>
      <c r="L36" s="132">
        <v>2023</v>
      </c>
      <c r="M36" s="132">
        <v>2023</v>
      </c>
      <c r="N36" s="132">
        <v>2023</v>
      </c>
      <c r="O36" s="132">
        <v>2024</v>
      </c>
      <c r="P36" s="132">
        <v>2024</v>
      </c>
      <c r="Q36" s="132">
        <v>2024</v>
      </c>
      <c r="R36" s="132">
        <v>2024</v>
      </c>
      <c r="S36" s="132">
        <v>2025</v>
      </c>
      <c r="T36" s="132">
        <v>2025</v>
      </c>
      <c r="U36" s="132">
        <v>2025</v>
      </c>
      <c r="V36" s="132">
        <v>2025</v>
      </c>
      <c r="W36" s="132">
        <v>2026</v>
      </c>
      <c r="X36" s="132">
        <v>2026</v>
      </c>
      <c r="Y36" s="132">
        <v>2026</v>
      </c>
      <c r="Z36" s="132">
        <v>2026</v>
      </c>
      <c r="AA36" s="132">
        <v>2027</v>
      </c>
      <c r="AB36" s="132">
        <v>2027</v>
      </c>
      <c r="AC36" s="132">
        <v>2027</v>
      </c>
      <c r="AD36" s="132">
        <v>2027</v>
      </c>
      <c r="AE36" s="132">
        <v>2028</v>
      </c>
      <c r="AF36" s="132">
        <v>2028</v>
      </c>
      <c r="AG36" s="132">
        <v>2028</v>
      </c>
      <c r="AH36" s="132">
        <v>2028</v>
      </c>
      <c r="AI36" s="132">
        <v>2029</v>
      </c>
      <c r="AJ36" s="132">
        <v>2029</v>
      </c>
      <c r="AK36" s="132">
        <v>2029</v>
      </c>
      <c r="AL36" s="132">
        <v>2029</v>
      </c>
      <c r="AM36" s="132">
        <v>2030</v>
      </c>
      <c r="AN36" s="132">
        <v>2030</v>
      </c>
      <c r="AO36" s="132">
        <v>2030</v>
      </c>
      <c r="AP36" s="132">
        <v>2030</v>
      </c>
      <c r="AQ36" s="132">
        <v>2031</v>
      </c>
      <c r="AR36" s="132">
        <v>2031</v>
      </c>
      <c r="AS36" s="132">
        <v>2031</v>
      </c>
      <c r="AT36" s="132">
        <v>2031</v>
      </c>
      <c r="AU36" s="132">
        <v>2032</v>
      </c>
      <c r="AV36" s="132">
        <v>2032</v>
      </c>
      <c r="AW36" s="132">
        <v>2032</v>
      </c>
      <c r="AX36" s="132">
        <v>2032</v>
      </c>
      <c r="AY36" s="132">
        <v>2033</v>
      </c>
      <c r="AZ36" s="132">
        <v>2033</v>
      </c>
      <c r="BA36" s="132">
        <v>2033</v>
      </c>
      <c r="BB36" s="132">
        <v>2033</v>
      </c>
      <c r="BC36" s="132">
        <v>2034</v>
      </c>
      <c r="BD36" s="132">
        <v>2034</v>
      </c>
      <c r="BE36" s="132">
        <v>2034</v>
      </c>
      <c r="BF36" s="132">
        <v>2034</v>
      </c>
      <c r="BG36" s="132">
        <v>2035</v>
      </c>
      <c r="BH36" s="132">
        <v>2035</v>
      </c>
      <c r="BI36" s="132">
        <v>2035</v>
      </c>
      <c r="BJ36" s="132">
        <v>2035</v>
      </c>
      <c r="BK36" s="132">
        <v>2036</v>
      </c>
      <c r="BL36" s="132">
        <v>2036</v>
      </c>
    </row>
    <row r="37" spans="1:64" s="17" customFormat="1" hidden="1">
      <c r="A37" s="106"/>
      <c r="B37" s="106"/>
      <c r="C37" s="106"/>
      <c r="D37" s="106"/>
      <c r="E37" s="106"/>
      <c r="F37" s="106"/>
      <c r="G37" s="269">
        <f>$G$33/4</f>
        <v>49.821494999999985</v>
      </c>
      <c r="H37" s="269">
        <f t="shared" ref="H37:J37" si="16">$G$33/4</f>
        <v>49.821494999999985</v>
      </c>
      <c r="I37" s="269">
        <f t="shared" si="16"/>
        <v>49.821494999999985</v>
      </c>
      <c r="J37" s="269">
        <f t="shared" si="16"/>
        <v>49.821494999999985</v>
      </c>
      <c r="K37" s="269">
        <f>$H$33/4</f>
        <v>20.398406460827118</v>
      </c>
      <c r="L37" s="269">
        <f t="shared" ref="L37:N37" si="17">$H$33/4</f>
        <v>20.398406460827118</v>
      </c>
      <c r="M37" s="269">
        <f t="shared" si="17"/>
        <v>20.398406460827118</v>
      </c>
      <c r="N37" s="269">
        <f t="shared" si="17"/>
        <v>20.398406460827118</v>
      </c>
      <c r="O37" s="269">
        <f>$I$33/4</f>
        <v>14.469930984525263</v>
      </c>
      <c r="P37" s="269">
        <f t="shared" ref="P37:R37" si="18">$I$33/4</f>
        <v>14.469930984525263</v>
      </c>
      <c r="Q37" s="269">
        <f t="shared" si="18"/>
        <v>14.469930984525263</v>
      </c>
      <c r="R37" s="269">
        <f t="shared" si="18"/>
        <v>14.469930984525263</v>
      </c>
      <c r="S37" s="269">
        <f>$J$33/4</f>
        <v>7.1240096587647201</v>
      </c>
      <c r="T37" s="269">
        <f t="shared" ref="T37:V37" si="19">$J$33/4</f>
        <v>7.1240096587647201</v>
      </c>
      <c r="U37" s="269">
        <f t="shared" si="19"/>
        <v>7.1240096587647201</v>
      </c>
      <c r="V37" s="269">
        <f t="shared" si="19"/>
        <v>7.1240096587647201</v>
      </c>
      <c r="W37" s="106"/>
      <c r="X37" s="106"/>
      <c r="Y37" s="106"/>
      <c r="Z37" s="106"/>
      <c r="AA37" s="106"/>
      <c r="AB37" s="106"/>
    </row>
    <row r="38" spans="1:64" s="17" customFormat="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</row>
    <row r="39" spans="1:64" s="17" customForma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</row>
    <row r="40" spans="1:64" s="17" customForma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</row>
    <row r="41" spans="1:64" s="17" customFormat="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</row>
    <row r="42" spans="1:64" s="17" customForma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</row>
    <row r="43" spans="1:64" s="17" customFormat="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</row>
    <row r="44" spans="1:64" s="17" customForma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</row>
    <row r="45" spans="1:64" s="17" customFormat="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</row>
    <row r="46" spans="1:64" s="17" customForma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</row>
    <row r="47" spans="1:64" s="17" customFormat="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</row>
    <row r="48" spans="1:64" s="17" customForma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</row>
    <row r="49" spans="1:28" s="17" customFormat="1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</row>
    <row r="50" spans="1:28" s="17" customFormat="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</row>
    <row r="51" spans="1:28" s="17" customForma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</row>
    <row r="52" spans="1:28" s="17" customForma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</row>
  </sheetData>
  <mergeCells count="1">
    <mergeCell ref="A5:A7"/>
  </mergeCells>
  <conditionalFormatting sqref="E20:V20">
    <cfRule type="cellIs" dxfId="1" priority="7" operator="lessThan">
      <formula>1</formula>
    </cfRule>
  </conditionalFormatting>
  <conditionalFormatting sqref="P20:U20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5"/>
  <sheetViews>
    <sheetView zoomScaleNormal="100" zoomScaleSheetLayoutView="115" workbookViewId="0">
      <pane xSplit="2" ySplit="7" topLeftCell="C100" activePane="bottomRight" state="frozen"/>
      <selection pane="topRight" activeCell="C1" sqref="C1"/>
      <selection pane="bottomLeft" activeCell="A8" sqref="A8"/>
      <selection pane="bottomRight" activeCell="F107" sqref="F107"/>
    </sheetView>
  </sheetViews>
  <sheetFormatPr defaultRowHeight="15"/>
  <cols>
    <col min="1" max="1" width="34.7109375" style="4" customWidth="1"/>
    <col min="2" max="3" width="9.140625" style="4"/>
    <col min="4" max="4" width="10" style="4" bestFit="1" customWidth="1"/>
    <col min="5" max="5" width="9.140625" style="4"/>
    <col min="6" max="6" width="9.42578125" style="4" bestFit="1" customWidth="1"/>
    <col min="7" max="7" width="9.28515625" style="4" bestFit="1" customWidth="1"/>
    <col min="8" max="8" width="10.140625" style="4" bestFit="1" customWidth="1"/>
    <col min="9" max="11" width="10" style="4" bestFit="1" customWidth="1"/>
    <col min="12" max="22" width="9.28515625" style="4" bestFit="1" customWidth="1"/>
    <col min="23" max="23" width="9.140625" style="4"/>
    <col min="24" max="29" width="0" style="4" hidden="1" customWidth="1"/>
    <col min="30" max="16384" width="9.140625" style="4"/>
  </cols>
  <sheetData>
    <row r="1" spans="1:30" s="535" customFormat="1" ht="18.75">
      <c r="A1" s="21" t="s">
        <v>29</v>
      </c>
      <c r="B1" s="277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</row>
    <row r="2" spans="1:30" s="535" customFormat="1" ht="15.75">
      <c r="A2" s="22" t="s">
        <v>123</v>
      </c>
      <c r="B2" s="277"/>
      <c r="C2" s="278"/>
      <c r="D2" s="278"/>
      <c r="E2" s="278"/>
      <c r="F2" s="278"/>
      <c r="G2" s="278"/>
      <c r="H2" s="278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278"/>
      <c r="X2" s="278"/>
      <c r="Y2" s="278"/>
      <c r="Z2" s="278"/>
      <c r="AA2" s="278"/>
      <c r="AB2" s="278"/>
    </row>
    <row r="3" spans="1:30" s="535" customFormat="1">
      <c r="E3" s="537"/>
      <c r="F3" s="538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</row>
    <row r="4" spans="1:30" s="535" customFormat="1" ht="19.5" thickBot="1">
      <c r="A4" s="540" t="s">
        <v>124</v>
      </c>
      <c r="C4" s="310" t="s">
        <v>291</v>
      </c>
      <c r="D4" s="310" t="s">
        <v>291</v>
      </c>
      <c r="E4" s="310" t="s">
        <v>291</v>
      </c>
      <c r="F4" s="310" t="s">
        <v>291</v>
      </c>
      <c r="G4" s="575" t="s">
        <v>291</v>
      </c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</row>
    <row r="5" spans="1:30" s="535" customFormat="1" ht="15.75" thickTop="1">
      <c r="A5" s="644" t="s">
        <v>0</v>
      </c>
      <c r="B5" s="541"/>
      <c r="C5" s="542">
        <f>B6+1</f>
        <v>42461</v>
      </c>
      <c r="D5" s="542">
        <f>C6+1</f>
        <v>42826</v>
      </c>
      <c r="E5" s="542">
        <v>43191</v>
      </c>
      <c r="F5" s="542">
        <f>E6+1</f>
        <v>43556</v>
      </c>
      <c r="G5" s="542">
        <f>F6+1</f>
        <v>43922</v>
      </c>
      <c r="H5" s="542">
        <f t="shared" ref="H5:AB5" si="0">G6+1</f>
        <v>44287</v>
      </c>
      <c r="I5" s="542">
        <f t="shared" si="0"/>
        <v>44652</v>
      </c>
      <c r="J5" s="542">
        <f t="shared" si="0"/>
        <v>45017</v>
      </c>
      <c r="K5" s="542">
        <f t="shared" si="0"/>
        <v>45383</v>
      </c>
      <c r="L5" s="542">
        <f t="shared" si="0"/>
        <v>45748</v>
      </c>
      <c r="M5" s="542">
        <f t="shared" si="0"/>
        <v>46113</v>
      </c>
      <c r="N5" s="542">
        <f t="shared" si="0"/>
        <v>46478</v>
      </c>
      <c r="O5" s="542">
        <f t="shared" si="0"/>
        <v>46844</v>
      </c>
      <c r="P5" s="542">
        <f t="shared" si="0"/>
        <v>47209</v>
      </c>
      <c r="Q5" s="542">
        <f t="shared" si="0"/>
        <v>47574</v>
      </c>
      <c r="R5" s="542">
        <f t="shared" si="0"/>
        <v>47939</v>
      </c>
      <c r="S5" s="542">
        <f t="shared" si="0"/>
        <v>48305</v>
      </c>
      <c r="T5" s="542">
        <f t="shared" si="0"/>
        <v>48670</v>
      </c>
      <c r="U5" s="542">
        <f t="shared" si="0"/>
        <v>49035</v>
      </c>
      <c r="V5" s="542">
        <f t="shared" si="0"/>
        <v>49400</v>
      </c>
      <c r="W5" s="542">
        <f t="shared" si="0"/>
        <v>49766</v>
      </c>
      <c r="X5" s="542">
        <f t="shared" si="0"/>
        <v>50131</v>
      </c>
      <c r="Y5" s="542">
        <f t="shared" si="0"/>
        <v>50496</v>
      </c>
      <c r="Z5" s="542">
        <f t="shared" si="0"/>
        <v>50861</v>
      </c>
      <c r="AA5" s="542">
        <f t="shared" si="0"/>
        <v>51227</v>
      </c>
      <c r="AB5" s="542">
        <f t="shared" si="0"/>
        <v>51592</v>
      </c>
    </row>
    <row r="6" spans="1:30" s="535" customFormat="1">
      <c r="A6" s="645"/>
      <c r="B6" s="543">
        <v>42460</v>
      </c>
      <c r="C6" s="543">
        <f>EOMONTH(B6,12)</f>
        <v>42825</v>
      </c>
      <c r="D6" s="543">
        <f>EOMONTH(C6,12)</f>
        <v>43190</v>
      </c>
      <c r="E6" s="543">
        <v>43555</v>
      </c>
      <c r="F6" s="543">
        <f>EOMONTH(E6,12)</f>
        <v>43921</v>
      </c>
      <c r="G6" s="543">
        <f t="shared" ref="G6:AB6" si="1">EOMONTH(F6,12)</f>
        <v>44286</v>
      </c>
      <c r="H6" s="543">
        <f t="shared" si="1"/>
        <v>44651</v>
      </c>
      <c r="I6" s="543">
        <f t="shared" si="1"/>
        <v>45016</v>
      </c>
      <c r="J6" s="543">
        <f t="shared" si="1"/>
        <v>45382</v>
      </c>
      <c r="K6" s="543">
        <f t="shared" si="1"/>
        <v>45747</v>
      </c>
      <c r="L6" s="543">
        <f t="shared" si="1"/>
        <v>46112</v>
      </c>
      <c r="M6" s="543">
        <f t="shared" si="1"/>
        <v>46477</v>
      </c>
      <c r="N6" s="543">
        <f t="shared" si="1"/>
        <v>46843</v>
      </c>
      <c r="O6" s="543">
        <f t="shared" si="1"/>
        <v>47208</v>
      </c>
      <c r="P6" s="543">
        <f t="shared" si="1"/>
        <v>47573</v>
      </c>
      <c r="Q6" s="543">
        <f t="shared" si="1"/>
        <v>47938</v>
      </c>
      <c r="R6" s="543">
        <f t="shared" si="1"/>
        <v>48304</v>
      </c>
      <c r="S6" s="543">
        <f t="shared" si="1"/>
        <v>48669</v>
      </c>
      <c r="T6" s="543">
        <f t="shared" si="1"/>
        <v>49034</v>
      </c>
      <c r="U6" s="543">
        <f t="shared" si="1"/>
        <v>49399</v>
      </c>
      <c r="V6" s="543">
        <f t="shared" si="1"/>
        <v>49765</v>
      </c>
      <c r="W6" s="543">
        <f t="shared" si="1"/>
        <v>50130</v>
      </c>
      <c r="X6" s="543">
        <f t="shared" si="1"/>
        <v>50495</v>
      </c>
      <c r="Y6" s="543">
        <f t="shared" si="1"/>
        <v>50860</v>
      </c>
      <c r="Z6" s="543">
        <f t="shared" si="1"/>
        <v>51226</v>
      </c>
      <c r="AA6" s="543">
        <f t="shared" si="1"/>
        <v>51591</v>
      </c>
      <c r="AB6" s="543">
        <f t="shared" si="1"/>
        <v>51956</v>
      </c>
    </row>
    <row r="7" spans="1:30" s="535" customFormat="1">
      <c r="A7" s="646"/>
      <c r="B7" s="544">
        <f>YEAR(B6)</f>
        <v>2016</v>
      </c>
      <c r="C7" s="544">
        <f>YEAR(C6)</f>
        <v>2017</v>
      </c>
      <c r="D7" s="544">
        <f t="shared" ref="D7:AB7" si="2">YEAR(D6)</f>
        <v>2018</v>
      </c>
      <c r="E7" s="544">
        <f t="shared" si="2"/>
        <v>2019</v>
      </c>
      <c r="F7" s="544">
        <f t="shared" si="2"/>
        <v>2020</v>
      </c>
      <c r="G7" s="544">
        <f t="shared" si="2"/>
        <v>2021</v>
      </c>
      <c r="H7" s="544">
        <f t="shared" si="2"/>
        <v>2022</v>
      </c>
      <c r="I7" s="544">
        <f t="shared" si="2"/>
        <v>2023</v>
      </c>
      <c r="J7" s="544">
        <f t="shared" si="2"/>
        <v>2024</v>
      </c>
      <c r="K7" s="544">
        <f t="shared" si="2"/>
        <v>2025</v>
      </c>
      <c r="L7" s="544">
        <f t="shared" si="2"/>
        <v>2026</v>
      </c>
      <c r="M7" s="544">
        <f t="shared" si="2"/>
        <v>2027</v>
      </c>
      <c r="N7" s="544">
        <f t="shared" si="2"/>
        <v>2028</v>
      </c>
      <c r="O7" s="544">
        <f t="shared" si="2"/>
        <v>2029</v>
      </c>
      <c r="P7" s="544">
        <f t="shared" si="2"/>
        <v>2030</v>
      </c>
      <c r="Q7" s="544">
        <f t="shared" si="2"/>
        <v>2031</v>
      </c>
      <c r="R7" s="544">
        <f t="shared" si="2"/>
        <v>2032</v>
      </c>
      <c r="S7" s="544">
        <f t="shared" si="2"/>
        <v>2033</v>
      </c>
      <c r="T7" s="544">
        <f t="shared" si="2"/>
        <v>2034</v>
      </c>
      <c r="U7" s="544">
        <f t="shared" si="2"/>
        <v>2035</v>
      </c>
      <c r="V7" s="544">
        <f t="shared" si="2"/>
        <v>2036</v>
      </c>
      <c r="W7" s="544">
        <f t="shared" si="2"/>
        <v>2037</v>
      </c>
      <c r="X7" s="544">
        <f t="shared" si="2"/>
        <v>2038</v>
      </c>
      <c r="Y7" s="544">
        <f t="shared" si="2"/>
        <v>2039</v>
      </c>
      <c r="Z7" s="544">
        <f t="shared" si="2"/>
        <v>2040</v>
      </c>
      <c r="AA7" s="544">
        <f t="shared" si="2"/>
        <v>2041</v>
      </c>
      <c r="AB7" s="544">
        <f t="shared" si="2"/>
        <v>2042</v>
      </c>
    </row>
    <row r="8" spans="1:30" s="310" customFormat="1" ht="12.75">
      <c r="A8" s="310" t="s">
        <v>125</v>
      </c>
      <c r="C8" s="545">
        <v>1977.184</v>
      </c>
      <c r="D8" s="502">
        <v>2342.5419999999999</v>
      </c>
      <c r="E8" s="502">
        <v>2825.989</v>
      </c>
      <c r="F8" s="546">
        <f>Revenue!F13</f>
        <v>2930.82</v>
      </c>
      <c r="G8" s="502">
        <f ca="1">Revenue!G13*0+2813.04</f>
        <v>2813.04</v>
      </c>
      <c r="H8" s="546">
        <f ca="1">Revenue!H13</f>
        <v>2691.7798057941586</v>
      </c>
      <c r="I8" s="546">
        <f ca="1">Revenue!I13</f>
        <v>2746.2763821113413</v>
      </c>
      <c r="J8" s="546">
        <f ca="1">Revenue!J13</f>
        <v>2808.7438453419404</v>
      </c>
      <c r="K8" s="546">
        <f ca="1">Revenue!K13</f>
        <v>2830.999515354571</v>
      </c>
      <c r="L8" s="546">
        <f ca="1">Revenue!L13</f>
        <v>2865.575226992305</v>
      </c>
      <c r="M8" s="546">
        <f ca="1">Revenue!M13</f>
        <v>2912.4057736589793</v>
      </c>
      <c r="N8" s="546">
        <f ca="1">Revenue!N13</f>
        <v>2976.8873479417862</v>
      </c>
      <c r="O8" s="546">
        <f ca="1">Revenue!O13</f>
        <v>3025.5886456207895</v>
      </c>
      <c r="P8" s="546">
        <f ca="1">Revenue!P13</f>
        <v>2646.6481984481679</v>
      </c>
      <c r="Q8" s="546">
        <f ca="1">Revenue!Q13</f>
        <v>2684.4924740000824</v>
      </c>
      <c r="R8" s="546">
        <f ca="1">Revenue!R13</f>
        <v>2655.8494429838006</v>
      </c>
      <c r="S8" s="546">
        <f ca="1">Revenue!S13</f>
        <v>2660.7679511191204</v>
      </c>
      <c r="T8" s="546">
        <f ca="1">Revenue!T13</f>
        <v>2687.2124641914429</v>
      </c>
      <c r="U8" s="546">
        <f ca="1">Revenue!U13</f>
        <v>2714.0259209918581</v>
      </c>
      <c r="V8" s="546">
        <f ca="1">Revenue!V13</f>
        <v>2749.1361490751865</v>
      </c>
      <c r="W8" s="502">
        <f ca="1">Revenue!W13</f>
        <v>2800.4360153641815</v>
      </c>
      <c r="X8" s="502">
        <f ca="1">Revenue!X13</f>
        <v>2853.8859436751882</v>
      </c>
      <c r="Y8" s="502">
        <f ca="1">Revenue!Y13</f>
        <v>2909.6617079065554</v>
      </c>
      <c r="Z8" s="502">
        <f ca="1">Revenue!Z13</f>
        <v>3001.1327383658954</v>
      </c>
      <c r="AA8" s="502">
        <f ca="1">Revenue!AA13</f>
        <v>3054.7232226565093</v>
      </c>
      <c r="AB8" s="502">
        <f ca="1">Revenue!AB13</f>
        <v>3120.8749789244625</v>
      </c>
    </row>
    <row r="9" spans="1:30" s="310" customFormat="1" ht="12.75">
      <c r="A9" s="310" t="s">
        <v>126</v>
      </c>
      <c r="B9" s="547">
        <f>Assumption!K15</f>
        <v>0.03</v>
      </c>
      <c r="C9" s="512">
        <v>120.432</v>
      </c>
      <c r="D9" s="502">
        <v>46.145000000000003</v>
      </c>
      <c r="E9" s="512">
        <v>55.547000000000004</v>
      </c>
      <c r="F9" s="510">
        <f>194.97</f>
        <v>194.97</v>
      </c>
      <c r="G9" s="512">
        <v>116.68</v>
      </c>
      <c r="H9" s="510">
        <f ca="1">AVERAGE(G51:H51)*$B$9+H50*$B$9</f>
        <v>28.425191350179624</v>
      </c>
      <c r="I9" s="510">
        <f t="shared" ref="I9:AB9" ca="1" si="3">AVERAGE(H51:I51)*$B$9+I50*$B$9</f>
        <v>39.495175079586986</v>
      </c>
      <c r="J9" s="510">
        <f t="shared" ca="1" si="3"/>
        <v>48.103696774677644</v>
      </c>
      <c r="K9" s="510">
        <f t="shared" ca="1" si="3"/>
        <v>57.268359657408567</v>
      </c>
      <c r="L9" s="510">
        <f t="shared" ca="1" si="3"/>
        <v>64.821413747793443</v>
      </c>
      <c r="M9" s="510">
        <f t="shared" ca="1" si="3"/>
        <v>73.822696290617458</v>
      </c>
      <c r="N9" s="510">
        <f t="shared" ca="1" si="3"/>
        <v>85.41103431671479</v>
      </c>
      <c r="O9" s="510">
        <f t="shared" ca="1" si="3"/>
        <v>99.419647001284758</v>
      </c>
      <c r="P9" s="510">
        <f t="shared" ca="1" si="3"/>
        <v>109.32284457290019</v>
      </c>
      <c r="Q9" s="510">
        <f t="shared" ca="1" si="3"/>
        <v>114.54957069227362</v>
      </c>
      <c r="R9" s="510">
        <f t="shared" ca="1" si="3"/>
        <v>117.75464168597512</v>
      </c>
      <c r="S9" s="510">
        <f t="shared" ca="1" si="3"/>
        <v>118.68674214854606</v>
      </c>
      <c r="T9" s="510">
        <f t="shared" ca="1" si="3"/>
        <v>119.88268298819145</v>
      </c>
      <c r="U9" s="510">
        <f t="shared" ca="1" si="3"/>
        <v>121.71688585305023</v>
      </c>
      <c r="V9" s="510">
        <f t="shared" ca="1" si="3"/>
        <v>131.3095784125089</v>
      </c>
      <c r="W9" s="510">
        <f t="shared" ca="1" si="3"/>
        <v>148.50747115724451</v>
      </c>
      <c r="X9" s="510">
        <f t="shared" ca="1" si="3"/>
        <v>153.85575148175195</v>
      </c>
      <c r="Y9" s="510">
        <f t="shared" ca="1" si="3"/>
        <v>171.77210657182525</v>
      </c>
      <c r="Z9" s="510">
        <f t="shared" ca="1" si="3"/>
        <v>190.476295985626</v>
      </c>
      <c r="AA9" s="510">
        <f t="shared" ca="1" si="3"/>
        <v>209.99592392939181</v>
      </c>
      <c r="AB9" s="510">
        <f t="shared" ca="1" si="3"/>
        <v>230.83398131226963</v>
      </c>
      <c r="AC9" s="510"/>
      <c r="AD9" s="510"/>
    </row>
    <row r="10" spans="1:30" s="310" customFormat="1" ht="12.75">
      <c r="A10" s="310" t="s">
        <v>213</v>
      </c>
      <c r="C10" s="502">
        <v>1.9E-2</v>
      </c>
      <c r="D10" s="502">
        <v>9.5000000000000001E-2</v>
      </c>
      <c r="F10" s="510">
        <v>-0.24399999999999999</v>
      </c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</row>
    <row r="11" spans="1:30">
      <c r="A11" s="548" t="s">
        <v>127</v>
      </c>
      <c r="B11" s="49"/>
      <c r="C11" s="549">
        <f>SUM(C8:C10)</f>
        <v>2097.6349999999998</v>
      </c>
      <c r="D11" s="549">
        <v>2388.7819999999997</v>
      </c>
      <c r="E11" s="549">
        <v>2881.5360000000001</v>
      </c>
      <c r="F11" s="550">
        <f t="shared" ref="F11:AB11" si="4">SUM(F8:F10)</f>
        <v>3125.5459999999998</v>
      </c>
      <c r="G11" s="550">
        <f t="shared" ca="1" si="4"/>
        <v>2929.72</v>
      </c>
      <c r="H11" s="550">
        <f t="shared" ca="1" si="4"/>
        <v>2720.2049971443384</v>
      </c>
      <c r="I11" s="550">
        <f t="shared" ca="1" si="4"/>
        <v>2785.7715571909284</v>
      </c>
      <c r="J11" s="550">
        <f t="shared" ca="1" si="4"/>
        <v>2856.8475421166181</v>
      </c>
      <c r="K11" s="550">
        <f t="shared" ca="1" si="4"/>
        <v>2888.2678750119794</v>
      </c>
      <c r="L11" s="550">
        <f t="shared" ca="1" si="4"/>
        <v>2930.3966407400985</v>
      </c>
      <c r="M11" s="550">
        <f t="shared" ca="1" si="4"/>
        <v>2986.2284699495967</v>
      </c>
      <c r="N11" s="550">
        <f t="shared" ca="1" si="4"/>
        <v>3062.2983822585011</v>
      </c>
      <c r="O11" s="550">
        <f t="shared" ca="1" si="4"/>
        <v>3125.0082926220744</v>
      </c>
      <c r="P11" s="550">
        <f t="shared" ca="1" si="4"/>
        <v>2755.971043021068</v>
      </c>
      <c r="Q11" s="550">
        <f t="shared" ca="1" si="4"/>
        <v>2799.0420446923563</v>
      </c>
      <c r="R11" s="550">
        <f t="shared" ca="1" si="4"/>
        <v>2773.6040846697756</v>
      </c>
      <c r="S11" s="550">
        <f t="shared" ca="1" si="4"/>
        <v>2779.4546932676667</v>
      </c>
      <c r="T11" s="550">
        <f t="shared" ca="1" si="4"/>
        <v>2807.0951471796343</v>
      </c>
      <c r="U11" s="550">
        <f ca="1">SUM(U8:U10)</f>
        <v>2835.7428068449085</v>
      </c>
      <c r="V11" s="550">
        <f t="shared" ca="1" si="4"/>
        <v>2880.4457274876954</v>
      </c>
      <c r="W11" s="549">
        <f t="shared" ca="1" si="4"/>
        <v>2948.9434865214262</v>
      </c>
      <c r="X11" s="549">
        <f t="shared" ca="1" si="4"/>
        <v>3007.7416951569403</v>
      </c>
      <c r="Y11" s="549">
        <f t="shared" ca="1" si="4"/>
        <v>3081.4338144783806</v>
      </c>
      <c r="Z11" s="549">
        <f t="shared" ca="1" si="4"/>
        <v>3191.6090343515216</v>
      </c>
      <c r="AA11" s="549">
        <f t="shared" ca="1" si="4"/>
        <v>3264.7191465859009</v>
      </c>
      <c r="AB11" s="549">
        <f t="shared" ca="1" si="4"/>
        <v>3351.7089602367323</v>
      </c>
    </row>
    <row r="12" spans="1:30" s="310" customFormat="1" ht="12.75">
      <c r="D12" s="502"/>
      <c r="F12" s="510"/>
      <c r="G12" s="510">
        <f t="shared" ref="G12:M12" si="5">G14+G15-40</f>
        <v>244.34000000000003</v>
      </c>
      <c r="H12" s="510">
        <f t="shared" si="5"/>
        <v>213.82671831981432</v>
      </c>
      <c r="I12" s="510">
        <f t="shared" si="5"/>
        <v>261.30036245535439</v>
      </c>
      <c r="J12" s="510">
        <f t="shared" si="5"/>
        <v>299.94050772739877</v>
      </c>
      <c r="K12" s="510">
        <f t="shared" si="5"/>
        <v>315.15565896117266</v>
      </c>
      <c r="L12" s="510">
        <f t="shared" si="5"/>
        <v>331.56222400923508</v>
      </c>
      <c r="M12" s="510">
        <f t="shared" si="5"/>
        <v>348.77028949308885</v>
      </c>
      <c r="N12" s="510">
        <f t="shared" ref="N12:T12" si="6">N14+N15-40</f>
        <v>367.32300793267865</v>
      </c>
      <c r="O12" s="510">
        <f t="shared" si="6"/>
        <v>385.7509210816653</v>
      </c>
      <c r="P12" s="510">
        <f>P14+P15-40</f>
        <v>405.60848067382466</v>
      </c>
      <c r="Q12" s="510">
        <f t="shared" si="6"/>
        <v>426.43772737212248</v>
      </c>
      <c r="R12" s="510">
        <f t="shared" si="6"/>
        <v>448.88179056026718</v>
      </c>
      <c r="S12" s="510">
        <f t="shared" si="6"/>
        <v>471.20545496321404</v>
      </c>
      <c r="T12" s="510">
        <f t="shared" si="6"/>
        <v>495.24708653905031</v>
      </c>
      <c r="U12" s="510">
        <f>U14+U15-40</f>
        <v>520.46694917889681</v>
      </c>
      <c r="V12" s="510"/>
    </row>
    <row r="13" spans="1:30" s="310" customFormat="1" ht="12.75">
      <c r="A13" s="310" t="s">
        <v>128</v>
      </c>
      <c r="C13" s="502">
        <v>1162.375</v>
      </c>
      <c r="D13" s="502">
        <v>1263.7149999999999</v>
      </c>
      <c r="E13" s="502">
        <v>1669.1590000000001</v>
      </c>
      <c r="F13" s="546">
        <v>1399.04</v>
      </c>
      <c r="G13" s="546">
        <f>1277.698</f>
        <v>1277.6980000000001</v>
      </c>
      <c r="H13" s="546">
        <f>'Fuel &amp; O&amp;M'!H59</f>
        <v>1298.8664537630934</v>
      </c>
      <c r="I13" s="546">
        <f>'Fuel &amp; O&amp;M'!I59</f>
        <v>1310.7396273453292</v>
      </c>
      <c r="J13" s="546">
        <f>'Fuel &amp; O&amp;M'!J59</f>
        <v>1326.5735989392192</v>
      </c>
      <c r="K13" s="546">
        <f>'Fuel &amp; O&amp;M'!K59</f>
        <v>1335.5652459884257</v>
      </c>
      <c r="L13" s="546">
        <f>'Fuel &amp; O&amp;M'!L59</f>
        <v>1348.5393833374214</v>
      </c>
      <c r="M13" s="546">
        <f>'Fuel &amp; O&amp;M'!M59</f>
        <v>1361.9027448068869</v>
      </c>
      <c r="N13" s="546">
        <f>'Fuel &amp; O&amp;M'!N59</f>
        <v>1379.2716099246236</v>
      </c>
      <c r="O13" s="546">
        <f>'Fuel &amp; O&amp;M'!O59</f>
        <v>1389.8441973033923</v>
      </c>
      <c r="P13" s="546">
        <f>'Fuel &amp; O&amp;M'!P59</f>
        <v>1404.4467031918368</v>
      </c>
      <c r="Q13" s="546">
        <f>'Fuel &amp; O&amp;M'!Q59</f>
        <v>1419.4872842569348</v>
      </c>
      <c r="R13" s="546">
        <f>'Fuel &amp; O&amp;M'!R59</f>
        <v>1438.5836855581733</v>
      </c>
      <c r="S13" s="546">
        <f>'Fuel &amp; O&amp;M'!S59</f>
        <v>1450.9356352059481</v>
      </c>
      <c r="T13" s="546">
        <f>'Fuel &amp; O&amp;M'!T59</f>
        <v>1467.3708842314695</v>
      </c>
      <c r="U13" s="546">
        <f>'Fuel &amp; O&amp;M'!U59</f>
        <v>1484.2991907277565</v>
      </c>
      <c r="V13" s="546">
        <f>'Fuel &amp; O&amp;M'!V59</f>
        <v>1505.3399492231192</v>
      </c>
      <c r="W13" s="502">
        <f>'Fuel &amp; O&amp;M'!W59</f>
        <v>1519.6945867808427</v>
      </c>
      <c r="X13" s="502">
        <f>'Fuel &amp; O&amp;M'!X59</f>
        <v>1538.1926043536109</v>
      </c>
      <c r="Y13" s="502">
        <f>'Fuel &amp; O&amp;M'!Y59</f>
        <v>1557.2455624535621</v>
      </c>
      <c r="Z13" s="502">
        <f>'Fuel &amp; O&amp;M'!Z59</f>
        <v>1580.4747121006994</v>
      </c>
      <c r="AA13" s="502">
        <f>'Fuel &amp; O&amp;M'!AA59</f>
        <v>1597.08339254475</v>
      </c>
      <c r="AB13" s="502">
        <f>'Fuel &amp; O&amp;M'!AB59</f>
        <v>1617.9030742904351</v>
      </c>
    </row>
    <row r="14" spans="1:30" s="310" customFormat="1" ht="12.75">
      <c r="A14" s="310" t="s">
        <v>129</v>
      </c>
      <c r="C14" s="502">
        <f>153.443+41.052</f>
        <v>194.495</v>
      </c>
      <c r="D14" s="502">
        <v>226.833</v>
      </c>
      <c r="E14" s="502">
        <v>237.81900000000002</v>
      </c>
      <c r="F14" s="546">
        <v>343.12900000000002</v>
      </c>
      <c r="G14" s="546">
        <f>236.75+47.59</f>
        <v>284.34000000000003</v>
      </c>
      <c r="H14" s="546">
        <f>'Fuel &amp; O&amp;M'!H98</f>
        <v>253.82671831981432</v>
      </c>
      <c r="I14" s="546">
        <f>'Fuel &amp; O&amp;M'!I98</f>
        <v>270.28223301840006</v>
      </c>
      <c r="J14" s="546">
        <f>'Fuel &amp; O&amp;M'!J98</f>
        <v>286.8891694485863</v>
      </c>
      <c r="K14" s="546">
        <f>'Fuel &amp; O&amp;M'!K98</f>
        <v>300.93101472167774</v>
      </c>
      <c r="L14" s="546">
        <f>'Fuel &amp; O&amp;M'!L98</f>
        <v>315.97756545776167</v>
      </c>
      <c r="M14" s="546">
        <f>'Fuel &amp; O&amp;M'!M98</f>
        <v>331.77644373064976</v>
      </c>
      <c r="N14" s="546">
        <f>'Fuel &amp; O&amp;M'!N98</f>
        <v>348.71557852206575</v>
      </c>
      <c r="O14" s="546">
        <f>'Fuel &amp; O&amp;M'!O98</f>
        <v>365.78352921304133</v>
      </c>
      <c r="P14" s="546">
        <f>'Fuel &amp; O&amp;M'!P98</f>
        <v>384.07270567369341</v>
      </c>
      <c r="Q14" s="546">
        <f>'Fuel &amp; O&amp;M'!Q98</f>
        <v>403.27634095737807</v>
      </c>
      <c r="R14" s="546">
        <f>'Fuel &amp; O&amp;M'!R98</f>
        <v>423.86596516593676</v>
      </c>
      <c r="S14" s="546">
        <f>'Fuel &amp; O&amp;M'!S98</f>
        <v>444.61216590550947</v>
      </c>
      <c r="T14" s="546">
        <f>'Fuel &amp; O&amp;M'!T98</f>
        <v>466.84277420078502</v>
      </c>
      <c r="U14" s="546">
        <f>'Fuel &amp; O&amp;M'!U98</f>
        <v>490.18491291082427</v>
      </c>
      <c r="V14" s="546">
        <f>'Fuel &amp; O&amp;M'!V98</f>
        <v>515.21172982147857</v>
      </c>
      <c r="W14" s="502">
        <f>'Fuel &amp; O&amp;M'!W98</f>
        <v>540.4288664841838</v>
      </c>
      <c r="X14" s="502">
        <f>'Fuel &amp; O&amp;M'!X98</f>
        <v>567.45030980839294</v>
      </c>
      <c r="Y14" s="502">
        <f>'Fuel &amp; O&amp;M'!Y98</f>
        <v>595.82282529881263</v>
      </c>
      <c r="Z14" s="502">
        <f>'Fuel &amp; O&amp;M'!Z98</f>
        <v>626.2430776713187</v>
      </c>
      <c r="AA14" s="502">
        <f>'Fuel &amp; O&amp;M'!AA98</f>
        <v>656.89466489194103</v>
      </c>
      <c r="AB14" s="502">
        <f>'Fuel &amp; O&amp;M'!AB98</f>
        <v>689.73939813653817</v>
      </c>
    </row>
    <row r="15" spans="1:30" s="310" customFormat="1" ht="12.75">
      <c r="A15" s="310" t="s">
        <v>641</v>
      </c>
      <c r="C15" s="502"/>
      <c r="D15" s="502"/>
      <c r="E15" s="502">
        <v>0</v>
      </c>
      <c r="F15" s="546">
        <f>IF(Assumption!$F$1="With FGD",'FGD Input'!D189,0)</f>
        <v>0</v>
      </c>
      <c r="G15" s="546">
        <f>IF(Assumption!$F$1="With FGD",'FGD Input'!E189,0)</f>
        <v>0</v>
      </c>
      <c r="H15" s="546">
        <f>IF(Assumption!$F$1="With FGD",'FGD Input'!F189,0)</f>
        <v>0</v>
      </c>
      <c r="I15" s="546">
        <f>IF(Assumption!$F$1="With FGD",'FGD Input'!G189,0)</f>
        <v>31.018129436954347</v>
      </c>
      <c r="J15" s="546">
        <f>IF(Assumption!$F$1="With FGD",'FGD Input'!H189,0)</f>
        <v>53.05133827881248</v>
      </c>
      <c r="K15" s="546">
        <f>IF(Assumption!$F$1="With FGD",'FGD Input'!I189,0)</f>
        <v>54.224644239494936</v>
      </c>
      <c r="L15" s="546">
        <f>IF(Assumption!$F$1="With FGD",'FGD Input'!J189,0)</f>
        <v>55.584658551473396</v>
      </c>
      <c r="M15" s="546">
        <f>IF(Assumption!$F$1="With FGD",'FGD Input'!K189,0)</f>
        <v>56.993845762439122</v>
      </c>
      <c r="N15" s="546">
        <f>IF(Assumption!$F$1="With FGD",'FGD Input'!L189,0)</f>
        <v>58.607429410612887</v>
      </c>
      <c r="O15" s="546">
        <f>IF(Assumption!$F$1="With FGD",'FGD Input'!M189,0)</f>
        <v>59.967391868623963</v>
      </c>
      <c r="P15" s="546">
        <f>IF(Assumption!$F$1="With FGD",'FGD Input'!N189,0)</f>
        <v>61.535775000131252</v>
      </c>
      <c r="Q15" s="546">
        <f>IF(Assumption!$F$1="With FGD",'FGD Input'!O189,0)</f>
        <v>63.161386414744399</v>
      </c>
      <c r="R15" s="546">
        <f>IF(Assumption!$F$1="With FGD",'FGD Input'!P189,0)</f>
        <v>65.01582539433042</v>
      </c>
      <c r="S15" s="546">
        <f>IF(Assumption!$F$1="With FGD",'FGD Input'!Q189,0)</f>
        <v>66.593289057704595</v>
      </c>
      <c r="T15" s="546">
        <f>IF(Assumption!$F$1="With FGD",'FGD Input'!R189,0)</f>
        <v>68.404312338265342</v>
      </c>
      <c r="U15" s="546">
        <f>IF(Assumption!$F$1="With FGD",'FGD Input'!S189,0)</f>
        <v>70.282036268072602</v>
      </c>
      <c r="V15" s="546">
        <f>IF(Assumption!$F$1="With FGD",'FGD Input'!T189,0)</f>
        <v>72.416894239588061</v>
      </c>
      <c r="W15" s="502">
        <f>IF(Assumption!$F$1="With FGD",'FGD Input'!U189,0)</f>
        <v>74.248173653889864</v>
      </c>
      <c r="X15" s="502">
        <f>IF(Assumption!$F$1="With FGD",'FGD Input'!V189,0)</f>
        <v>76.342159506656031</v>
      </c>
      <c r="Y15" s="502">
        <f>IF(Assumption!$F$1="With FGD",'FGD Input'!W189,0)</f>
        <v>78.514000687550876</v>
      </c>
      <c r="Z15" s="502">
        <f>IF(Assumption!$F$1="With FGD",'FGD Input'!X189,0)</f>
        <v>80.975818476714934</v>
      </c>
      <c r="AA15" s="502">
        <f>IF(Assumption!$F$1="With FGD",'FGD Input'!Y189,0)</f>
        <v>83.103729036416652</v>
      </c>
      <c r="AB15" s="502">
        <f>IF(Assumption!$F$1="With FGD",'FGD Input'!Z189,0)</f>
        <v>19.400033139795312</v>
      </c>
    </row>
    <row r="16" spans="1:30">
      <c r="A16" s="548" t="s">
        <v>130</v>
      </c>
      <c r="B16" s="49"/>
      <c r="C16" s="549">
        <f t="shared" ref="C16" si="7">C11-SUM(C13:C14)</f>
        <v>740.76499999999987</v>
      </c>
      <c r="D16" s="549">
        <v>898.2339999999997</v>
      </c>
      <c r="E16" s="549">
        <v>974.55799999999999</v>
      </c>
      <c r="F16" s="550">
        <f>F11-SUM(F13:F15)</f>
        <v>1383.377</v>
      </c>
      <c r="G16" s="550">
        <f t="shared" ref="G16:AB16" ca="1" si="8">G11-SUM(G13:G15)</f>
        <v>1367.6819999999998</v>
      </c>
      <c r="H16" s="588">
        <f t="shared" ca="1" si="8"/>
        <v>1167.5118250614307</v>
      </c>
      <c r="I16" s="588">
        <f t="shared" ca="1" si="8"/>
        <v>1173.7315673902449</v>
      </c>
      <c r="J16" s="588">
        <f t="shared" ca="1" si="8"/>
        <v>1190.3334354500003</v>
      </c>
      <c r="K16" s="588">
        <f t="shared" ca="1" si="8"/>
        <v>1197.5469700623812</v>
      </c>
      <c r="L16" s="588">
        <f t="shared" ca="1" si="8"/>
        <v>1210.2950333934421</v>
      </c>
      <c r="M16" s="588">
        <f t="shared" ca="1" si="8"/>
        <v>1235.5554356496209</v>
      </c>
      <c r="N16" s="588">
        <f t="shared" ca="1" si="8"/>
        <v>1275.7037644011989</v>
      </c>
      <c r="O16" s="588">
        <f t="shared" ca="1" si="8"/>
        <v>1309.4131742370168</v>
      </c>
      <c r="P16" s="588">
        <f t="shared" ca="1" si="8"/>
        <v>905.91585915540645</v>
      </c>
      <c r="Q16" s="588">
        <f t="shared" ca="1" si="8"/>
        <v>913.117033063299</v>
      </c>
      <c r="R16" s="588">
        <f t="shared" ca="1" si="8"/>
        <v>846.13860855133498</v>
      </c>
      <c r="S16" s="588">
        <f t="shared" ca="1" si="8"/>
        <v>817.31360309850447</v>
      </c>
      <c r="T16" s="588">
        <f t="shared" ca="1" si="8"/>
        <v>804.47717640911446</v>
      </c>
      <c r="U16" s="588">
        <f t="shared" ca="1" si="8"/>
        <v>790.97666693825522</v>
      </c>
      <c r="V16" s="588">
        <f t="shared" ca="1" si="8"/>
        <v>787.4771542035096</v>
      </c>
      <c r="W16" s="589">
        <f t="shared" ca="1" si="8"/>
        <v>814.5718596025099</v>
      </c>
      <c r="X16" s="589">
        <f t="shared" ca="1" si="8"/>
        <v>825.75662148828042</v>
      </c>
      <c r="Y16" s="589">
        <f t="shared" ca="1" si="8"/>
        <v>849.85142603845497</v>
      </c>
      <c r="Z16" s="589">
        <f t="shared" ca="1" si="8"/>
        <v>903.91542610278884</v>
      </c>
      <c r="AA16" s="589">
        <f t="shared" ca="1" si="8"/>
        <v>927.63736011279343</v>
      </c>
      <c r="AB16" s="589">
        <f t="shared" ca="1" si="8"/>
        <v>1024.666454669964</v>
      </c>
    </row>
    <row r="17" spans="1:32" s="310" customFormat="1" ht="12.75">
      <c r="D17" s="502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</row>
    <row r="18" spans="1:32" s="310" customFormat="1" ht="12.75">
      <c r="A18" s="310" t="s">
        <v>131</v>
      </c>
      <c r="C18" s="502">
        <v>787.60599999999999</v>
      </c>
      <c r="D18" s="502">
        <v>714.755</v>
      </c>
      <c r="E18" s="502">
        <v>712.67800000000011</v>
      </c>
      <c r="F18" s="546">
        <f>698.548-59.226</f>
        <v>639.322</v>
      </c>
      <c r="G18" s="546">
        <f>596.4</f>
        <v>596.4</v>
      </c>
      <c r="H18" s="546">
        <f ca="1">IF(Assumption!$F$1="With FGD",SUMIF('FGD Phasing'!$D$84:$CH$84,'Financial Statement'!H7,'FGD Phasing'!$D$92:$CH$92)+SUMIF('Finance Cost'!$D$7:$BS$7,H7,'Finance Cost'!$D$25:$BS$25)+SUMIF('Finance Cost'!$D$7:$BS$7,'Financial Statement'!H7,'Finance Cost'!$D$31:$BS$31)+SUMIF('FGD Phasing'!$E$38:$AC$38,'Financial Statement'!H7,'FGD Phasing'!$E$59:$AC$59),SUMIF('Finance Cost'!$D$7:$BS$7,H7,'Finance Cost'!$D$25:$BS$25)+SUMIF('Finance Cost'!$D$7:$BS$7,'Financial Statement'!H7,'Finance Cost'!$D$31:$BS$31))</f>
        <v>566.75187002803295</v>
      </c>
      <c r="I18" s="546">
        <f ca="1">IF(Assumption!$F$1="With FGD",SUMIF('FGD Phasing'!$D$84:$CH$84,'Financial Statement'!I7,'FGD Phasing'!$D$92:$CH$92)+SUMIF('Finance Cost'!$D$7:$BS$7,I7,'Finance Cost'!$D$25:$BS$25)+SUMIF('Finance Cost'!$D$7:$BS$7,'Financial Statement'!I7,'Finance Cost'!$D$31:$BS$31)+SUMIF('FGD Phasing'!$E$38:$AC$38,'Financial Statement'!I7,'FGD Phasing'!$E$59:$AC$59),SUMIF('Finance Cost'!$D$7:$BS$7,I7,'Finance Cost'!$D$25:$BS$25)+SUMIF('Finance Cost'!$D$7:$BS$7,'Financial Statement'!I7,'Finance Cost'!$D$31:$BS$31))</f>
        <v>543.24643104755398</v>
      </c>
      <c r="J18" s="546">
        <f ca="1">IF(Assumption!$F$1="With FGD",SUMIF('FGD Phasing'!$D$84:$CH$84,'Financial Statement'!J7,'FGD Phasing'!$D$92:$CH$92)+SUMIF('Finance Cost'!$D$7:$BS$7,J7,'Finance Cost'!$D$25:$BS$25)+SUMIF('Finance Cost'!$D$7:$BS$7,'Financial Statement'!J7,'Finance Cost'!$D$31:$BS$31)+SUMIF('FGD Phasing'!$E$38:$AC$38,'Financial Statement'!J7,'FGD Phasing'!$E$59:$AC$59),SUMIF('Finance Cost'!$D$7:$BS$7,J7,'Finance Cost'!$D$25:$BS$25)+SUMIF('Finance Cost'!$D$7:$BS$7,'Financial Statement'!J7,'Finance Cost'!$D$31:$BS$31))</f>
        <v>521.2027295355058</v>
      </c>
      <c r="K18" s="546">
        <f ca="1">IF(Assumption!$F$1="With FGD",SUMIF('FGD Phasing'!$D$84:$CH$84,'Financial Statement'!K7,'FGD Phasing'!$D$92:$CH$92)+SUMIF('Finance Cost'!$D$7:$BS$7,K7,'Finance Cost'!$D$25:$BS$25)+SUMIF('Finance Cost'!$D$7:$BS$7,'Financial Statement'!K7,'Finance Cost'!$D$31:$BS$31)+SUMIF('FGD Phasing'!$E$38:$AC$38,'Financial Statement'!K7,'FGD Phasing'!$E$59:$AC$59),SUMIF('Finance Cost'!$D$7:$BS$7,K7,'Finance Cost'!$D$25:$BS$25)+SUMIF('Finance Cost'!$D$7:$BS$7,'Financial Statement'!K7,'Finance Cost'!$D$31:$BS$31))</f>
        <v>479.00284405430028</v>
      </c>
      <c r="L18" s="546">
        <f ca="1">IF(Assumption!$F$1="With FGD",SUMIF('FGD Phasing'!$D$84:$CH$84,'Financial Statement'!L7,'FGD Phasing'!$D$92:$CH$92)+SUMIF('Finance Cost'!$D$7:$BS$7,L7,'Finance Cost'!$D$25:$BS$25)+SUMIF('Finance Cost'!$D$7:$BS$7,'Financial Statement'!L7,'Finance Cost'!$D$31:$BS$31)+SUMIF('FGD Phasing'!$E$38:$AC$38,'Financial Statement'!L7,'FGD Phasing'!$E$59:$AC$59),SUMIF('Finance Cost'!$D$7:$BS$7,L7,'Finance Cost'!$D$25:$BS$25)+SUMIF('Finance Cost'!$D$7:$BS$7,'Financial Statement'!L7,'Finance Cost'!$D$31:$BS$31))</f>
        <v>435.57799930853986</v>
      </c>
      <c r="M18" s="546">
        <f ca="1">IF(Assumption!$F$1="With FGD",SUMIF('FGD Phasing'!$D$84:$CH$84,'Financial Statement'!M7,'FGD Phasing'!$D$92:$CH$92)+SUMIF('Finance Cost'!$D$7:$BS$7,M7,'Finance Cost'!$D$25:$BS$25)+SUMIF('Finance Cost'!$D$7:$BS$7,'Financial Statement'!M7,'Finance Cost'!$D$31:$BS$31)+SUMIF('FGD Phasing'!$E$38:$AC$38,'Financial Statement'!M7,'FGD Phasing'!$E$59:$AC$59),SUMIF('Finance Cost'!$D$7:$BS$7,M7,'Finance Cost'!$D$25:$BS$25)+SUMIF('Finance Cost'!$D$7:$BS$7,'Financial Statement'!M7,'Finance Cost'!$D$31:$BS$31))</f>
        <v>389.91718618395498</v>
      </c>
      <c r="N18" s="546">
        <f ca="1">IF(Assumption!$F$1="With FGD",SUMIF('FGD Phasing'!$D$84:$CH$84,'Financial Statement'!N7,'FGD Phasing'!$D$92:$CH$92)+SUMIF('Finance Cost'!$D$7:$BS$7,N7,'Finance Cost'!$D$25:$BS$25)+SUMIF('Finance Cost'!$D$7:$BS$7,'Financial Statement'!N7,'Finance Cost'!$D$31:$BS$31)+SUMIF('FGD Phasing'!$E$38:$AC$38,'Financial Statement'!N7,'FGD Phasing'!$E$59:$AC$59),SUMIF('Finance Cost'!$D$7:$BS$7,N7,'Finance Cost'!$D$25:$BS$25)+SUMIF('Finance Cost'!$D$7:$BS$7,'Financial Statement'!N7,'Finance Cost'!$D$31:$BS$31))</f>
        <v>347.17620547980647</v>
      </c>
      <c r="O18" s="546">
        <f ca="1">IF(Assumption!$F$1="With FGD",SUMIF('FGD Phasing'!$D$84:$CH$84,'Financial Statement'!O7,'FGD Phasing'!$D$92:$CH$92)+SUMIF('Finance Cost'!$D$7:$BS$7,O7,'Finance Cost'!$D$25:$BS$25)+SUMIF('Finance Cost'!$D$7:$BS$7,'Financial Statement'!O7,'Finance Cost'!$D$31:$BS$31)+SUMIF('FGD Phasing'!$E$38:$AC$38,'Financial Statement'!O7,'FGD Phasing'!$E$59:$AC$59),SUMIF('Finance Cost'!$D$7:$BS$7,O7,'Finance Cost'!$D$25:$BS$25)+SUMIF('Finance Cost'!$D$7:$BS$7,'Financial Statement'!O7,'Finance Cost'!$D$31:$BS$31))</f>
        <v>303.33478073185171</v>
      </c>
      <c r="P18" s="546">
        <f ca="1">IF(Assumption!$F$1="With FGD",SUMIF('FGD Phasing'!$D$84:$CH$84,'Financial Statement'!P7,'FGD Phasing'!$D$92:$CH$92)+SUMIF('Finance Cost'!$D$7:$BS$7,P7,'Finance Cost'!$D$25:$BS$25)+SUMIF('Finance Cost'!$D$7:$BS$7,'Financial Statement'!P7,'Finance Cost'!$D$31:$BS$31)+SUMIF('FGD Phasing'!$E$38:$AC$38,'Financial Statement'!P7,'FGD Phasing'!$E$59:$AC$59),SUMIF('Finance Cost'!$D$7:$BS$7,P7,'Finance Cost'!$D$25:$BS$25)+SUMIF('Finance Cost'!$D$7:$BS$7,'Financial Statement'!P7,'Finance Cost'!$D$31:$BS$31))</f>
        <v>256.82095630247596</v>
      </c>
      <c r="Q18" s="546">
        <f ca="1">IF(Assumption!$F$1="With FGD",SUMIF('FGD Phasing'!$D$84:$CH$84,'Financial Statement'!Q7,'FGD Phasing'!$D$92:$CH$92)+SUMIF('Finance Cost'!$D$7:$BS$7,Q7,'Finance Cost'!$D$25:$BS$25)+SUMIF('Finance Cost'!$D$7:$BS$7,'Financial Statement'!Q7,'Finance Cost'!$D$31:$BS$31)+SUMIF('FGD Phasing'!$E$38:$AC$38,'Financial Statement'!Q7,'FGD Phasing'!$E$59:$AC$59),SUMIF('Finance Cost'!$D$7:$BS$7,Q7,'Finance Cost'!$D$25:$BS$25)+SUMIF('Finance Cost'!$D$7:$BS$7,'Financial Statement'!Q7,'Finance Cost'!$D$31:$BS$31))</f>
        <v>210.25566091904281</v>
      </c>
      <c r="R18" s="546">
        <f ca="1">IF(Assumption!$F$1="With FGD",SUMIF('FGD Phasing'!$D$84:$CH$84,'Financial Statement'!R7,'FGD Phasing'!$D$92:$CH$92)+SUMIF('Finance Cost'!$D$7:$BS$7,R7,'Finance Cost'!$D$25:$BS$25)+SUMIF('Finance Cost'!$D$7:$BS$7,'Financial Statement'!R7,'Finance Cost'!$D$31:$BS$31)+SUMIF('FGD Phasing'!$E$38:$AC$38,'Financial Statement'!R7,'FGD Phasing'!$E$59:$AC$59),SUMIF('Finance Cost'!$D$7:$BS$7,R7,'Finance Cost'!$D$25:$BS$25)+SUMIF('Finance Cost'!$D$7:$BS$7,'Financial Statement'!R7,'Finance Cost'!$D$31:$BS$31))</f>
        <v>164.6019966672954</v>
      </c>
      <c r="S18" s="546">
        <f ca="1">IF(Assumption!$F$1="With FGD",SUMIF('FGD Phasing'!$D$84:$CH$84,'Financial Statement'!S7,'FGD Phasing'!$D$92:$CH$92)+SUMIF('Finance Cost'!$D$7:$BS$7,S7,'Finance Cost'!$D$25:$BS$25)+SUMIF('Finance Cost'!$D$7:$BS$7,'Financial Statement'!S7,'Finance Cost'!$D$31:$BS$31)+SUMIF('FGD Phasing'!$E$38:$AC$38,'Financial Statement'!S7,'FGD Phasing'!$E$59:$AC$59),SUMIF('Finance Cost'!$D$7:$BS$7,S7,'Finance Cost'!$D$25:$BS$25)+SUMIF('Finance Cost'!$D$7:$BS$7,'Financial Statement'!S7,'Finance Cost'!$D$31:$BS$31))</f>
        <v>118.10519244042739</v>
      </c>
      <c r="T18" s="546">
        <f ca="1">IF(Assumption!$F$1="With FGD",SUMIF('FGD Phasing'!$D$84:$CH$84,'Financial Statement'!T7,'FGD Phasing'!$D$92:$CH$92)+SUMIF('Finance Cost'!$D$7:$BS$7,T7,'Finance Cost'!$D$25:$BS$25)+SUMIF('Finance Cost'!$D$7:$BS$7,'Financial Statement'!T7,'Finance Cost'!$D$31:$BS$31)+SUMIF('FGD Phasing'!$E$38:$AC$38,'Financial Statement'!T7,'FGD Phasing'!$E$59:$AC$59),SUMIF('Finance Cost'!$D$7:$BS$7,T7,'Finance Cost'!$D$25:$BS$25)+SUMIF('Finance Cost'!$D$7:$BS$7,'Financial Statement'!T7,'Finance Cost'!$D$31:$BS$31))</f>
        <v>71.156460780205506</v>
      </c>
      <c r="U18" s="546">
        <f ca="1">IF(Assumption!$F$1="With FGD",SUMIF('FGD Phasing'!$D$84:$CH$84,'Financial Statement'!U7,'FGD Phasing'!$D$92:$CH$92)+SUMIF('Finance Cost'!$D$7:$BS$7,U7,'Finance Cost'!$D$25:$BS$25)+SUMIF('Finance Cost'!$D$7:$BS$7,'Financial Statement'!U7,'Finance Cost'!$D$31:$BS$31)+SUMIF('FGD Phasing'!$E$38:$AC$38,'Financial Statement'!U7,'FGD Phasing'!$E$59:$AC$59),SUMIF('Finance Cost'!$D$7:$BS$7,U7,'Finance Cost'!$D$25:$BS$25)+SUMIF('Finance Cost'!$D$7:$BS$7,'Financial Statement'!U7,'Finance Cost'!$D$31:$BS$31))</f>
        <v>13.740162713545509</v>
      </c>
      <c r="V18" s="546">
        <f ca="1">IF(Assumption!$F$1="With FGD",SUMIF('FGD Phasing'!$D$84:$CH$84,'Financial Statement'!V7,'FGD Phasing'!$D$92:$CH$92)+SUMIF('Finance Cost'!$D$7:$BS$7,V7,'Finance Cost'!$D$25:$BS$25)+SUMIF('Finance Cost'!$D$7:$BS$7,'Financial Statement'!V7,'Finance Cost'!$D$31:$BS$31)+SUMIF('FGD Phasing'!$E$38:$AC$38,'Financial Statement'!V7,'FGD Phasing'!$E$59:$AC$59),SUMIF('Finance Cost'!$D$7:$BS$7,V7,'Finance Cost'!$D$25:$BS$25)+SUMIF('Finance Cost'!$D$7:$BS$7,'Financial Statement'!V7,'Finance Cost'!$D$31:$BS$31))</f>
        <v>3.8736971395337515E-2</v>
      </c>
      <c r="W18" s="502">
        <f ca="1">IF(Assumption!$F$1="With FGD",SUMIF('FGD Phasing'!$D$84:$CH$84,'Financial Statement'!W7,'FGD Phasing'!$D$92:$CH$92)+SUMIF('Finance Cost'!$D$7:$BS$7,W7,'Finance Cost'!$D$25:$BS$25)+SUMIF('Finance Cost'!$D$7:$BS$7,'Financial Statement'!W7,'Finance Cost'!$D$31:$BS$31)+SUMIF('FGD Phasing'!$E$38:$AC$38,'Financial Statement'!W7,'FGD Phasing'!$E$59:$AC$59),SUMIF('Finance Cost'!$D$7:$BS$7,W7,'Finance Cost'!$D$25:$BS$25)+SUMIF('Finance Cost'!$D$7:$BS$7,'Financial Statement'!W7,'Finance Cost'!$D$31:$BS$31))</f>
        <v>2.1294965790730202E-14</v>
      </c>
      <c r="X18" s="502">
        <f ca="1">IF(Assumption!$F$1="With FGD",SUMIF('FGD Phasing'!$D$84:$CH$84,'Financial Statement'!X7,'FGD Phasing'!$D$92:$CH$92)+SUMIF('Finance Cost'!$D$7:$BS$7,X7,'Finance Cost'!$D$25:$BS$25)+SUMIF('Finance Cost'!$D$7:$BS$7,'Financial Statement'!X7,'Finance Cost'!$D$31:$BS$31)+SUMIF('FGD Phasing'!$E$38:$AC$38,'Financial Statement'!X7,'FGD Phasing'!$E$59:$AC$59),SUMIF('Finance Cost'!$D$7:$BS$7,X7,'Finance Cost'!$D$25:$BS$25)+SUMIF('Finance Cost'!$D$7:$BS$7,'Financial Statement'!X7,'Finance Cost'!$D$31:$BS$31))</f>
        <v>2.1294965790730202E-14</v>
      </c>
      <c r="Y18" s="502">
        <f ca="1">IF(Assumption!$F$1="With FGD",SUMIF('FGD Phasing'!$D$84:$CH$84,'Financial Statement'!Y7,'FGD Phasing'!$D$92:$CH$92)+SUMIF('Finance Cost'!$D$7:$BS$7,Y7,'Finance Cost'!$D$25:$BS$25)+SUMIF('Finance Cost'!$D$7:$BS$7,'Financial Statement'!Y7,'Finance Cost'!$D$31:$BS$31)+SUMIF('FGD Phasing'!$E$38:$AC$38,'Financial Statement'!Y7,'FGD Phasing'!$E$59:$AC$59),SUMIF('Finance Cost'!$D$7:$BS$7,Y7,'Finance Cost'!$D$25:$BS$25)+SUMIF('Finance Cost'!$D$7:$BS$7,'Financial Statement'!Y7,'Finance Cost'!$D$31:$BS$31))</f>
        <v>2.1294965790730202E-14</v>
      </c>
      <c r="Z18" s="502">
        <f ca="1">IF(Assumption!$F$1="With FGD",SUMIF('FGD Phasing'!$D$84:$CH$84,'Financial Statement'!Z7,'FGD Phasing'!$D$92:$CH$92)+SUMIF('Finance Cost'!$D$7:$BS$7,Z7,'Finance Cost'!$D$25:$BS$25)+SUMIF('Finance Cost'!$D$7:$BS$7,'Financial Statement'!Z7,'Finance Cost'!$D$31:$BS$31)+SUMIF('FGD Phasing'!$E$38:$AC$38,'Financial Statement'!Z7,'FGD Phasing'!$E$59:$AC$59),SUMIF('Finance Cost'!$D$7:$BS$7,Z7,'Finance Cost'!$D$25:$BS$25)+SUMIF('Finance Cost'!$D$7:$BS$7,'Financial Statement'!Z7,'Finance Cost'!$D$31:$BS$31))</f>
        <v>5.3091558546752004E-15</v>
      </c>
      <c r="AA18" s="502">
        <f>IF(Assumption!$F$1="With FGD",SUMIF('FGD Phasing'!$D$84:$CH$84,'Financial Statement'!AA7,'FGD Phasing'!$D$92:$CH$92)+SUMIF('Finance Cost'!$D$7:$BS$7,AA7,'Finance Cost'!$D$25:$BS$25)+SUMIF('Finance Cost'!$D$7:$BS$7,'Financial Statement'!AA7,'Finance Cost'!$D$31:$BS$31),SUMIF('Finance Cost'!$D$7:$BS$7,AA7,'Finance Cost'!$D$25:$BS$25)+SUMIF('Finance Cost'!$D$7:$BS$7,'Financial Statement'!AA7,'Finance Cost'!$D$31:$BS$31))</f>
        <v>0</v>
      </c>
      <c r="AB18" s="502">
        <f>IF(Assumption!$F$1="With FGD",SUMIF('FGD Phasing'!$D$84:$CH$84,'Financial Statement'!AB7,'FGD Phasing'!$D$92:$CH$92)+SUMIF('Finance Cost'!$D$7:$BS$7,AB7,'Finance Cost'!$D$25:$BS$25)+SUMIF('Finance Cost'!$D$7:$BS$7,'Financial Statement'!AB7,'Finance Cost'!$D$31:$BS$31),SUMIF('Finance Cost'!$D$7:$BS$7,AB7,'Finance Cost'!$D$25:$BS$25)+SUMIF('Finance Cost'!$D$7:$BS$7,'Financial Statement'!AB7,'Finance Cost'!$D$31:$BS$31))</f>
        <v>0</v>
      </c>
    </row>
    <row r="19" spans="1:32" s="310" customFormat="1" ht="12.75">
      <c r="A19" s="310" t="s">
        <v>687</v>
      </c>
      <c r="C19" s="502"/>
      <c r="D19" s="502"/>
      <c r="E19" s="502">
        <v>0</v>
      </c>
      <c r="F19" s="546">
        <v>59.225999999999999</v>
      </c>
      <c r="G19" s="546">
        <f>43.58</f>
        <v>43.58</v>
      </c>
      <c r="H19" s="546">
        <f ca="1">'Finance Cost'!H76</f>
        <v>47.291444867510187</v>
      </c>
      <c r="I19" s="546">
        <f ca="1">'Finance Cost'!I76</f>
        <v>46.264178850722828</v>
      </c>
      <c r="J19" s="546">
        <f ca="1">'Finance Cost'!J76</f>
        <v>46.842883599696066</v>
      </c>
      <c r="K19" s="546">
        <f ca="1">'Finance Cost'!K76</f>
        <v>47.456167809396796</v>
      </c>
      <c r="L19" s="546">
        <f ca="1">'Finance Cost'!L76</f>
        <v>48.06952054306128</v>
      </c>
      <c r="M19" s="546">
        <f ca="1">'Finance Cost'!M76</f>
        <v>48.849902564752696</v>
      </c>
      <c r="N19" s="546">
        <f ca="1">'Finance Cost'!N76</f>
        <v>49.842839746891968</v>
      </c>
      <c r="O19" s="546">
        <f ca="1">'Finance Cost'!O76</f>
        <v>50.853033907149666</v>
      </c>
      <c r="P19" s="546">
        <f ca="1">'Finance Cost'!P76</f>
        <v>45.896498146296707</v>
      </c>
      <c r="Q19" s="546">
        <f ca="1">'Finance Cost'!Q76</f>
        <v>40.853349783599491</v>
      </c>
      <c r="R19" s="546">
        <f ca="1">'Finance Cost'!R76</f>
        <v>41.237331258317802</v>
      </c>
      <c r="S19" s="546">
        <f ca="1">'Finance Cost'!S76</f>
        <v>41.445644795872624</v>
      </c>
      <c r="T19" s="546">
        <f ca="1">'Finance Cost'!T76</f>
        <v>41.943589577181065</v>
      </c>
      <c r="U19" s="546">
        <f ca="1">'Finance Cost'!U76</f>
        <v>42.589178198531314</v>
      </c>
      <c r="V19" s="546">
        <f ca="1">'Finance Cost'!V76</f>
        <v>43.318686398985783</v>
      </c>
      <c r="W19" s="502">
        <f ca="1">'Finance Cost'!W76</f>
        <v>44.199765910091017</v>
      </c>
      <c r="X19" s="502">
        <f ca="1">'Finance Cost'!X76</f>
        <v>45.159702451067069</v>
      </c>
      <c r="Y19" s="502">
        <f ca="1">'Finance Cost'!Y76</f>
        <v>46.138289652140251</v>
      </c>
      <c r="Z19" s="502">
        <f ca="1">'Finance Cost'!Z76</f>
        <v>47.349415303623609</v>
      </c>
      <c r="AA19" s="502">
        <f ca="1">'Finance Cost'!AA76</f>
        <v>48.550692422389552</v>
      </c>
      <c r="AB19" s="502">
        <f ca="1">'Finance Cost'!AB76</f>
        <v>49.620604516166935</v>
      </c>
    </row>
    <row r="20" spans="1:32">
      <c r="A20" s="548" t="s">
        <v>132</v>
      </c>
      <c r="B20" s="49"/>
      <c r="C20" s="549">
        <f>C16-SUM(C18:C19)</f>
        <v>-46.841000000000122</v>
      </c>
      <c r="D20" s="549">
        <v>183.4789999999997</v>
      </c>
      <c r="E20" s="549">
        <v>261.87999999999988</v>
      </c>
      <c r="F20" s="550">
        <f t="shared" ref="F20:AB20" si="9">F16-SUM(F18:F19)</f>
        <v>684.82899999999995</v>
      </c>
      <c r="G20" s="550">
        <f ca="1">G16-SUM(G18:G19)</f>
        <v>727.70199999999977</v>
      </c>
      <c r="H20" s="550">
        <f t="shared" ca="1" si="9"/>
        <v>553.46851016588755</v>
      </c>
      <c r="I20" s="550">
        <f t="shared" ca="1" si="9"/>
        <v>584.22095749196808</v>
      </c>
      <c r="J20" s="550">
        <f t="shared" ca="1" si="9"/>
        <v>622.2878223147984</v>
      </c>
      <c r="K20" s="550">
        <f t="shared" ca="1" si="9"/>
        <v>671.08795819868408</v>
      </c>
      <c r="L20" s="550">
        <f t="shared" ca="1" si="9"/>
        <v>726.64751354184091</v>
      </c>
      <c r="M20" s="550">
        <f t="shared" ca="1" si="9"/>
        <v>796.78834690091321</v>
      </c>
      <c r="N20" s="550">
        <f t="shared" ca="1" si="9"/>
        <v>878.68471917450051</v>
      </c>
      <c r="O20" s="550">
        <f t="shared" ca="1" si="9"/>
        <v>955.22535959801553</v>
      </c>
      <c r="P20" s="550">
        <f t="shared" ca="1" si="9"/>
        <v>603.19840470663371</v>
      </c>
      <c r="Q20" s="550">
        <f t="shared" ca="1" si="9"/>
        <v>662.0080223606567</v>
      </c>
      <c r="R20" s="550">
        <f t="shared" ca="1" si="9"/>
        <v>640.29928062572185</v>
      </c>
      <c r="S20" s="550">
        <f t="shared" ca="1" si="9"/>
        <v>657.76276586220445</v>
      </c>
      <c r="T20" s="550">
        <f t="shared" ca="1" si="9"/>
        <v>691.37712605172783</v>
      </c>
      <c r="U20" s="550">
        <f t="shared" ca="1" si="9"/>
        <v>734.64732602617835</v>
      </c>
      <c r="V20" s="550">
        <f t="shared" ca="1" si="9"/>
        <v>744.11973083312853</v>
      </c>
      <c r="W20" s="549">
        <f t="shared" ca="1" si="9"/>
        <v>770.37209369241884</v>
      </c>
      <c r="X20" s="549">
        <f t="shared" ca="1" si="9"/>
        <v>780.5969190372133</v>
      </c>
      <c r="Y20" s="549">
        <f t="shared" ca="1" si="9"/>
        <v>803.71313638631466</v>
      </c>
      <c r="Z20" s="549">
        <f t="shared" ca="1" si="9"/>
        <v>856.56601079916527</v>
      </c>
      <c r="AA20" s="549">
        <f t="shared" ca="1" si="9"/>
        <v>879.08666769040383</v>
      </c>
      <c r="AB20" s="549">
        <f t="shared" ca="1" si="9"/>
        <v>975.04585015379701</v>
      </c>
    </row>
    <row r="21" spans="1:32" s="310" customFormat="1" ht="12.75">
      <c r="D21" s="502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510"/>
      <c r="U21" s="510"/>
      <c r="V21" s="510"/>
    </row>
    <row r="22" spans="1:32" s="310" customFormat="1" ht="12.75">
      <c r="A22" s="310" t="s">
        <v>133</v>
      </c>
      <c r="C22" s="502">
        <v>204.19300000000001</v>
      </c>
      <c r="D22" s="502">
        <v>219.21299999999999</v>
      </c>
      <c r="E22" s="502">
        <v>307.505</v>
      </c>
      <c r="F22" s="546">
        <f>325.1</f>
        <v>325.10000000000002</v>
      </c>
      <c r="G22" s="546">
        <v>322.04000000000002</v>
      </c>
      <c r="H22" s="546">
        <f ca="1">'Phasing (2)'!H68-'Phasing (2)'!G68</f>
        <v>311.43826747784306</v>
      </c>
      <c r="I22" s="546">
        <f ca="1">'Phasing (2)'!I68-'Phasing (2)'!H68</f>
        <v>322.9197041048817</v>
      </c>
      <c r="J22" s="546">
        <f ca="1">'Phasing (2)'!J68-'Phasing (2)'!I68</f>
        <v>328.75813352613363</v>
      </c>
      <c r="K22" s="546">
        <f ca="1">'Phasing (2)'!K68-'Phasing (2)'!J68</f>
        <v>328.75813352613386</v>
      </c>
      <c r="L22" s="546">
        <f ca="1">'Phasing (2)'!L68-'Phasing (2)'!K68</f>
        <v>328.75813352613386</v>
      </c>
      <c r="M22" s="546">
        <f ca="1">'Phasing (2)'!M68-'Phasing (2)'!L68</f>
        <v>328.75813352613386</v>
      </c>
      <c r="N22" s="546">
        <f ca="1">'Phasing (2)'!N68-'Phasing (2)'!M68</f>
        <v>328.75813352613386</v>
      </c>
      <c r="O22" s="546">
        <f ca="1">'Phasing (2)'!O68-'Phasing (2)'!N68</f>
        <v>328.75813352613386</v>
      </c>
      <c r="P22" s="546">
        <f ca="1">'Phasing (2)'!P68-'Phasing (2)'!O68</f>
        <v>328.75813352613341</v>
      </c>
      <c r="Q22" s="546">
        <f ca="1">'Phasing (2)'!Q68-'Phasing (2)'!P68</f>
        <v>328.75813352613386</v>
      </c>
      <c r="R22" s="546">
        <f ca="1">'Phasing (2)'!R68-'Phasing (2)'!Q68</f>
        <v>328.75813352613386</v>
      </c>
      <c r="S22" s="546">
        <f ca="1">'Phasing (2)'!S68-'Phasing (2)'!R68</f>
        <v>328.75813352613386</v>
      </c>
      <c r="T22" s="546">
        <f ca="1">'Phasing (2)'!T68-'Phasing (2)'!S68</f>
        <v>328.75813352613386</v>
      </c>
      <c r="U22" s="546">
        <f ca="1">'Phasing (2)'!U68-'Phasing (2)'!T68</f>
        <v>328.75813352613386</v>
      </c>
      <c r="V22" s="546">
        <f ca="1">'Phasing (2)'!V68-'Phasing (2)'!U68</f>
        <v>328.75813352613386</v>
      </c>
      <c r="W22" s="502">
        <f ca="1">'Phasing (2)'!W68-'Phasing (2)'!V68</f>
        <v>328.75813352613386</v>
      </c>
      <c r="X22" s="502">
        <f ca="1">'Phasing (2)'!X68-'Phasing (2)'!W68</f>
        <v>328.75813352613386</v>
      </c>
      <c r="Y22" s="502">
        <f ca="1">'Phasing (2)'!Y68-'Phasing (2)'!X68</f>
        <v>328.75813352613386</v>
      </c>
      <c r="Z22" s="502">
        <f ca="1">'Phasing (2)'!Z68-'Phasing (2)'!Y68</f>
        <v>328.75813352613386</v>
      </c>
      <c r="AA22" s="502">
        <f ca="1">'Phasing (2)'!AA68-'Phasing (2)'!Z68</f>
        <v>328.75813352613386</v>
      </c>
      <c r="AB22" s="502">
        <f ca="1">'Phasing (2)'!AB68-'Phasing (2)'!AA68</f>
        <v>328.75813352613386</v>
      </c>
      <c r="AF22" s="310">
        <f>1157+198</f>
        <v>1355</v>
      </c>
    </row>
    <row r="23" spans="1:32">
      <c r="A23" s="548" t="s">
        <v>134</v>
      </c>
      <c r="B23" s="49"/>
      <c r="C23" s="549">
        <f>C20-C22</f>
        <v>-251.03400000000013</v>
      </c>
      <c r="D23" s="549">
        <v>-35.734000000000293</v>
      </c>
      <c r="E23" s="549">
        <v>-45.625000000000114</v>
      </c>
      <c r="F23" s="550">
        <f t="shared" ref="F23:AB23" si="10">F20-F22</f>
        <v>359.72899999999993</v>
      </c>
      <c r="G23" s="550">
        <f t="shared" ca="1" si="10"/>
        <v>405.66199999999975</v>
      </c>
      <c r="H23" s="550">
        <f t="shared" ca="1" si="10"/>
        <v>242.0302426880445</v>
      </c>
      <c r="I23" s="550">
        <f t="shared" ca="1" si="10"/>
        <v>261.30125338708638</v>
      </c>
      <c r="J23" s="550">
        <f t="shared" ca="1" si="10"/>
        <v>293.52968878866477</v>
      </c>
      <c r="K23" s="550">
        <f t="shared" ca="1" si="10"/>
        <v>342.32982467255022</v>
      </c>
      <c r="L23" s="550">
        <f t="shared" ca="1" si="10"/>
        <v>397.88938001570705</v>
      </c>
      <c r="M23" s="550">
        <f t="shared" ca="1" si="10"/>
        <v>468.03021337477935</v>
      </c>
      <c r="N23" s="550">
        <f t="shared" ca="1" si="10"/>
        <v>549.92658564836665</v>
      </c>
      <c r="O23" s="550">
        <f t="shared" ca="1" si="10"/>
        <v>626.46722607188167</v>
      </c>
      <c r="P23" s="550">
        <f t="shared" ca="1" si="10"/>
        <v>274.4402711805003</v>
      </c>
      <c r="Q23" s="550">
        <f t="shared" ca="1" si="10"/>
        <v>333.24988883452284</v>
      </c>
      <c r="R23" s="550">
        <f t="shared" ca="1" si="10"/>
        <v>311.54114709958799</v>
      </c>
      <c r="S23" s="550">
        <f t="shared" ca="1" si="10"/>
        <v>329.00463233607059</v>
      </c>
      <c r="T23" s="550">
        <f t="shared" ca="1" si="10"/>
        <v>362.61899252559397</v>
      </c>
      <c r="U23" s="550">
        <f ca="1">U20-U22</f>
        <v>405.88919250004449</v>
      </c>
      <c r="V23" s="550">
        <f t="shared" ca="1" si="10"/>
        <v>415.36159730699467</v>
      </c>
      <c r="W23" s="549">
        <f t="shared" ca="1" si="10"/>
        <v>441.61396016628498</v>
      </c>
      <c r="X23" s="549">
        <f t="shared" ca="1" si="10"/>
        <v>451.83878551107944</v>
      </c>
      <c r="Y23" s="549">
        <f t="shared" ca="1" si="10"/>
        <v>474.9550028601808</v>
      </c>
      <c r="Z23" s="549">
        <f t="shared" ca="1" si="10"/>
        <v>527.80787727303141</v>
      </c>
      <c r="AA23" s="549">
        <f t="shared" ca="1" si="10"/>
        <v>550.32853416426997</v>
      </c>
      <c r="AB23" s="549">
        <f t="shared" ca="1" si="10"/>
        <v>646.28771662766314</v>
      </c>
    </row>
    <row r="24" spans="1:32" s="310" customFormat="1" ht="12.75">
      <c r="D24" s="502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</row>
    <row r="25" spans="1:32" s="310" customFormat="1" ht="12.75">
      <c r="A25" s="310" t="s">
        <v>135</v>
      </c>
      <c r="C25" s="514">
        <v>0</v>
      </c>
      <c r="D25" s="502">
        <v>0</v>
      </c>
      <c r="E25" s="512">
        <v>0</v>
      </c>
      <c r="F25" s="510">
        <v>0</v>
      </c>
      <c r="G25" s="510">
        <f ca="1">Tax!G32+93.83</f>
        <v>93.83</v>
      </c>
      <c r="H25" s="510">
        <f ca="1">Tax!H32</f>
        <v>0</v>
      </c>
      <c r="I25" s="510">
        <f ca="1">Tax!I32</f>
        <v>0</v>
      </c>
      <c r="J25" s="510">
        <f ca="1">Tax!J32</f>
        <v>0</v>
      </c>
      <c r="K25" s="510">
        <f ca="1">Tax!K32</f>
        <v>0</v>
      </c>
      <c r="L25" s="510">
        <f ca="1">Tax!L32</f>
        <v>0</v>
      </c>
      <c r="M25" s="510">
        <f ca="1">Tax!M32</f>
        <v>0</v>
      </c>
      <c r="N25" s="510">
        <f ca="1">Tax!N32</f>
        <v>0</v>
      </c>
      <c r="O25" s="510">
        <f ca="1">Tax!O32</f>
        <v>0</v>
      </c>
      <c r="P25" s="510">
        <f ca="1">Tax!P32</f>
        <v>0</v>
      </c>
      <c r="Q25" s="510">
        <f ca="1">Tax!Q32</f>
        <v>0</v>
      </c>
      <c r="R25" s="510">
        <f ca="1">Tax!R32</f>
        <v>137.36451265537573</v>
      </c>
      <c r="S25" s="510">
        <f ca="1">Tax!S32</f>
        <v>145.32989433111618</v>
      </c>
      <c r="T25" s="510">
        <f ca="1">Tax!T32</f>
        <v>156.82497786627931</v>
      </c>
      <c r="U25" s="510">
        <f ca="1">Tax!U32</f>
        <v>170.29528391398949</v>
      </c>
      <c r="V25" s="510">
        <f ca="1">Tax!V32</f>
        <v>174.87180541091979</v>
      </c>
      <c r="W25" s="512">
        <f ca="1">Tax!W32</f>
        <v>183.3429947685614</v>
      </c>
      <c r="X25" s="512">
        <f ca="1">Tax!X32</f>
        <v>187.50053248997955</v>
      </c>
      <c r="Y25" s="512">
        <f ca="1">Tax!Y32</f>
        <v>194.6652412011172</v>
      </c>
      <c r="Z25" s="512">
        <f ca="1">Tax!Z32</f>
        <v>209.1127129771634</v>
      </c>
      <c r="AA25" s="512">
        <f ca="1">Tax!AA32</f>
        <v>215.7539050959605</v>
      </c>
      <c r="AB25" s="512">
        <f ca="1">Tax!AB32</f>
        <v>240.73366275442677</v>
      </c>
    </row>
    <row r="26" spans="1:32" s="310" customFormat="1" ht="12.75">
      <c r="A26" s="310" t="s">
        <v>727</v>
      </c>
      <c r="C26" s="514"/>
      <c r="D26" s="502"/>
      <c r="E26" s="502"/>
      <c r="F26" s="502"/>
      <c r="G26" s="502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0"/>
      <c r="S26" s="510"/>
      <c r="T26" s="510"/>
      <c r="U26" s="510"/>
      <c r="V26" s="510"/>
      <c r="W26" s="512"/>
      <c r="X26" s="512"/>
      <c r="Y26" s="512"/>
      <c r="Z26" s="512"/>
      <c r="AA26" s="512"/>
      <c r="AB26" s="512"/>
    </row>
    <row r="27" spans="1:32" ht="15.75" thickBot="1">
      <c r="A27" s="551" t="s">
        <v>136</v>
      </c>
      <c r="B27" s="552"/>
      <c r="C27" s="553">
        <f>C23-C25</f>
        <v>-251.03400000000013</v>
      </c>
      <c r="D27" s="553">
        <v>-35.734000000000293</v>
      </c>
      <c r="E27" s="554">
        <v>-45.625000000000114</v>
      </c>
      <c r="F27" s="554">
        <f t="shared" ref="F27:AB27" si="11">F23-F25</f>
        <v>359.72899999999993</v>
      </c>
      <c r="G27" s="554">
        <f t="shared" ca="1" si="11"/>
        <v>311.83199999999977</v>
      </c>
      <c r="H27" s="554">
        <f t="shared" ca="1" si="11"/>
        <v>242.0302426880445</v>
      </c>
      <c r="I27" s="554">
        <f t="shared" ca="1" si="11"/>
        <v>261.30125338708638</v>
      </c>
      <c r="J27" s="554">
        <f t="shared" ca="1" si="11"/>
        <v>293.52968878866477</v>
      </c>
      <c r="K27" s="554">
        <f t="shared" ca="1" si="11"/>
        <v>342.32982467255022</v>
      </c>
      <c r="L27" s="554">
        <f t="shared" ca="1" si="11"/>
        <v>397.88938001570705</v>
      </c>
      <c r="M27" s="554">
        <f t="shared" ca="1" si="11"/>
        <v>468.03021337477935</v>
      </c>
      <c r="N27" s="554">
        <f t="shared" ca="1" si="11"/>
        <v>549.92658564836665</v>
      </c>
      <c r="O27" s="554">
        <f t="shared" ca="1" si="11"/>
        <v>626.46722607188167</v>
      </c>
      <c r="P27" s="554">
        <f t="shared" ca="1" si="11"/>
        <v>274.4402711805003</v>
      </c>
      <c r="Q27" s="554">
        <f t="shared" ca="1" si="11"/>
        <v>333.24988883452284</v>
      </c>
      <c r="R27" s="554">
        <f t="shared" ca="1" si="11"/>
        <v>174.17663444421225</v>
      </c>
      <c r="S27" s="554">
        <f t="shared" ca="1" si="11"/>
        <v>183.67473800495441</v>
      </c>
      <c r="T27" s="554">
        <f t="shared" ca="1" si="11"/>
        <v>205.79401465931466</v>
      </c>
      <c r="U27" s="554">
        <f t="shared" ca="1" si="11"/>
        <v>235.59390858605499</v>
      </c>
      <c r="V27" s="554">
        <f t="shared" ca="1" si="11"/>
        <v>240.48979189607488</v>
      </c>
      <c r="W27" s="553">
        <f t="shared" ca="1" si="11"/>
        <v>258.27096539772356</v>
      </c>
      <c r="X27" s="553">
        <f t="shared" ca="1" si="11"/>
        <v>264.33825302109989</v>
      </c>
      <c r="Y27" s="553">
        <f t="shared" ca="1" si="11"/>
        <v>280.28976165906363</v>
      </c>
      <c r="Z27" s="553">
        <f t="shared" ca="1" si="11"/>
        <v>318.69516429586804</v>
      </c>
      <c r="AA27" s="553">
        <f t="shared" ca="1" si="11"/>
        <v>334.57462906830949</v>
      </c>
      <c r="AB27" s="553">
        <f t="shared" ca="1" si="11"/>
        <v>405.5540538732364</v>
      </c>
    </row>
    <row r="28" spans="1:32" ht="15.75" thickTop="1">
      <c r="A28" s="578"/>
      <c r="B28" s="582"/>
      <c r="C28" s="580"/>
      <c r="D28" s="580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580"/>
      <c r="X28" s="580"/>
      <c r="Y28" s="580"/>
      <c r="Z28" s="580"/>
      <c r="AA28" s="580"/>
      <c r="AB28" s="580"/>
    </row>
    <row r="29" spans="1:32" s="310" customFormat="1" ht="12.75">
      <c r="E29" s="512"/>
      <c r="F29" s="510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  <c r="AA29" s="512"/>
      <c r="AB29" s="512"/>
    </row>
    <row r="30" spans="1:32" s="310" customFormat="1" ht="12.75">
      <c r="C30" s="512"/>
      <c r="D30" s="512"/>
      <c r="E30" s="514"/>
      <c r="F30" s="546"/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  <c r="U30" s="514"/>
      <c r="V30" s="514"/>
      <c r="W30" s="514"/>
      <c r="X30" s="514"/>
      <c r="Y30" s="514"/>
      <c r="Z30" s="514"/>
      <c r="AA30" s="514"/>
      <c r="AB30" s="514"/>
      <c r="AC30" s="514"/>
    </row>
    <row r="31" spans="1:32" s="310" customFormat="1" ht="19.5" thickBot="1">
      <c r="A31" s="540" t="s">
        <v>137</v>
      </c>
      <c r="B31" s="555"/>
      <c r="C31" s="555"/>
      <c r="D31" s="556"/>
      <c r="E31" s="556"/>
      <c r="F31" s="557"/>
      <c r="G31" s="557"/>
      <c r="H31" s="557"/>
      <c r="I31" s="557"/>
      <c r="J31" s="557"/>
      <c r="K31" s="557"/>
      <c r="L31" s="557"/>
      <c r="M31" s="556"/>
      <c r="N31" s="556"/>
      <c r="O31" s="556"/>
      <c r="P31" s="556"/>
      <c r="Q31" s="556"/>
      <c r="R31" s="556"/>
      <c r="S31" s="556"/>
      <c r="T31" s="556"/>
      <c r="U31" s="556"/>
      <c r="V31" s="556"/>
      <c r="W31" s="556"/>
      <c r="X31" s="556"/>
      <c r="Y31" s="556"/>
      <c r="Z31" s="556"/>
      <c r="AA31" s="556"/>
      <c r="AB31" s="556"/>
    </row>
    <row r="32" spans="1:32" s="310" customFormat="1" ht="16.5" thickTop="1">
      <c r="A32" s="558" t="s">
        <v>156</v>
      </c>
      <c r="E32" s="512"/>
      <c r="F32" s="510"/>
    </row>
    <row r="33" spans="1:28" s="310" customFormat="1" ht="15.75">
      <c r="A33" s="558" t="s">
        <v>145</v>
      </c>
      <c r="F33" s="510"/>
      <c r="H33" s="512"/>
    </row>
    <row r="34" spans="1:28" s="310" customFormat="1" ht="12.75">
      <c r="A34" s="310" t="s">
        <v>138</v>
      </c>
      <c r="D34" s="502">
        <v>7730.3469999999998</v>
      </c>
      <c r="E34" s="509">
        <v>7747.9630000000016</v>
      </c>
      <c r="F34" s="497">
        <v>8163.53</v>
      </c>
      <c r="G34" s="497">
        <f>8167.7</f>
        <v>8167.7</v>
      </c>
      <c r="H34" s="497">
        <f ca="1">'Phasing (2)'!H69</f>
        <v>8497.8869501284662</v>
      </c>
      <c r="I34" s="497">
        <f ca="1">'Phasing (2)'!I69</f>
        <v>8651.5298296350993</v>
      </c>
      <c r="J34" s="497">
        <f ca="1">'Phasing (2)'!J69</f>
        <v>8651.5298296350993</v>
      </c>
      <c r="K34" s="497">
        <f ca="1">'Phasing (2)'!K69</f>
        <v>8651.5298296350993</v>
      </c>
      <c r="L34" s="546">
        <f ca="1">'Phasing (2)'!L69</f>
        <v>8651.5298296350993</v>
      </c>
      <c r="M34" s="546">
        <f ca="1">'Phasing (2)'!M69</f>
        <v>8651.5298296350993</v>
      </c>
      <c r="N34" s="546">
        <f ca="1">'Phasing (2)'!N69</f>
        <v>8651.5298296350993</v>
      </c>
      <c r="O34" s="546">
        <f ca="1">'Phasing (2)'!O69</f>
        <v>8651.5298296350993</v>
      </c>
      <c r="P34" s="546">
        <f ca="1">'Phasing (2)'!P69</f>
        <v>8651.5298296350993</v>
      </c>
      <c r="Q34" s="546">
        <f ca="1">'Phasing (2)'!Q69</f>
        <v>8651.5298296350993</v>
      </c>
      <c r="R34" s="546">
        <f ca="1">'Phasing (2)'!R69</f>
        <v>8651.5298296350993</v>
      </c>
      <c r="S34" s="546">
        <f ca="1">'Phasing (2)'!S69</f>
        <v>8651.5298296350993</v>
      </c>
      <c r="T34" s="546">
        <f ca="1">'Phasing (2)'!T69</f>
        <v>8651.5298296350993</v>
      </c>
      <c r="U34" s="546">
        <f ca="1">'Phasing (2)'!U69</f>
        <v>8651.5298296350993</v>
      </c>
      <c r="V34" s="546">
        <f ca="1">'Phasing (2)'!V69</f>
        <v>8651.5298296350993</v>
      </c>
      <c r="W34" s="502">
        <f ca="1">'Phasing (2)'!W69</f>
        <v>8651.5298296350993</v>
      </c>
      <c r="X34" s="502">
        <f ca="1">'Phasing (2)'!X69</f>
        <v>8651.5298296350993</v>
      </c>
      <c r="Y34" s="502">
        <f ca="1">'Phasing (2)'!Y69</f>
        <v>8651.5298296350993</v>
      </c>
      <c r="Z34" s="502">
        <f ca="1">'Phasing (2)'!Z69</f>
        <v>8651.5298296350993</v>
      </c>
      <c r="AA34" s="502">
        <f ca="1">'Phasing (2)'!AA69</f>
        <v>8651.5298296350993</v>
      </c>
      <c r="AB34" s="502">
        <f ca="1">'Phasing (2)'!AB69</f>
        <v>8651.5298296350993</v>
      </c>
    </row>
    <row r="35" spans="1:28" s="310" customFormat="1" ht="12.75">
      <c r="A35" s="310" t="s">
        <v>140</v>
      </c>
      <c r="D35" s="502">
        <v>300.05700000000002</v>
      </c>
      <c r="E35" s="509">
        <v>363.29699999999997</v>
      </c>
      <c r="F35" s="497">
        <v>1.597</v>
      </c>
      <c r="G35" s="497">
        <v>3.3</v>
      </c>
      <c r="H35" s="497">
        <f ca="1">'Phasing (2)'!H71</f>
        <v>302.14306913259787</v>
      </c>
      <c r="I35" s="497">
        <f ca="1">'Phasing (2)'!I71</f>
        <v>153.64287950663257</v>
      </c>
      <c r="J35" s="559"/>
      <c r="K35" s="559"/>
      <c r="L35" s="510"/>
      <c r="M35" s="510"/>
      <c r="N35" s="510"/>
      <c r="O35" s="510"/>
      <c r="P35" s="510"/>
      <c r="Q35" s="510"/>
      <c r="R35" s="510"/>
      <c r="S35" s="510"/>
      <c r="T35" s="510"/>
      <c r="U35" s="510"/>
      <c r="V35" s="510"/>
    </row>
    <row r="36" spans="1:28" s="310" customFormat="1" ht="12.75">
      <c r="A36" s="310" t="s">
        <v>139</v>
      </c>
      <c r="D36" s="502">
        <v>481.49799999999999</v>
      </c>
      <c r="E36" s="509">
        <v>788.41800000000001</v>
      </c>
      <c r="F36" s="497">
        <f>E36+F22</f>
        <v>1113.518</v>
      </c>
      <c r="G36" s="497">
        <f>F36+G22</f>
        <v>1435.558</v>
      </c>
      <c r="H36" s="497">
        <f ca="1">G36+H22</f>
        <v>1746.996267477843</v>
      </c>
      <c r="I36" s="497">
        <f t="shared" ref="I36:AB36" ca="1" si="12">H36+I22</f>
        <v>2069.9159715827245</v>
      </c>
      <c r="J36" s="497">
        <f t="shared" ca="1" si="12"/>
        <v>2398.6741051088584</v>
      </c>
      <c r="K36" s="497">
        <f t="shared" ca="1" si="12"/>
        <v>2727.4322386349922</v>
      </c>
      <c r="L36" s="546">
        <f t="shared" ca="1" si="12"/>
        <v>3056.1903721611261</v>
      </c>
      <c r="M36" s="546">
        <f t="shared" ca="1" si="12"/>
        <v>3384.94850568726</v>
      </c>
      <c r="N36" s="546">
        <f t="shared" ca="1" si="12"/>
        <v>3713.7066392133938</v>
      </c>
      <c r="O36" s="546">
        <f t="shared" ca="1" si="12"/>
        <v>4042.4647727395277</v>
      </c>
      <c r="P36" s="546">
        <f t="shared" ca="1" si="12"/>
        <v>4371.2229062656606</v>
      </c>
      <c r="Q36" s="546">
        <f t="shared" ca="1" si="12"/>
        <v>4699.9810397917945</v>
      </c>
      <c r="R36" s="546">
        <f t="shared" ca="1" si="12"/>
        <v>5028.7391733179284</v>
      </c>
      <c r="S36" s="546">
        <f t="shared" ca="1" si="12"/>
        <v>5357.4973068440622</v>
      </c>
      <c r="T36" s="546">
        <f t="shared" ca="1" si="12"/>
        <v>5686.2554403701961</v>
      </c>
      <c r="U36" s="546">
        <f t="shared" ca="1" si="12"/>
        <v>6015.0135738963299</v>
      </c>
      <c r="V36" s="546">
        <f t="shared" ca="1" si="12"/>
        <v>6343.7717074224638</v>
      </c>
      <c r="W36" s="502">
        <f t="shared" ca="1" si="12"/>
        <v>6672.5298409485977</v>
      </c>
      <c r="X36" s="502">
        <f t="shared" ca="1" si="12"/>
        <v>7001.2879744747315</v>
      </c>
      <c r="Y36" s="502">
        <f t="shared" ca="1" si="12"/>
        <v>7330.0461080008654</v>
      </c>
      <c r="Z36" s="502">
        <f t="shared" ca="1" si="12"/>
        <v>7658.8042415269992</v>
      </c>
      <c r="AA36" s="502">
        <f t="shared" ca="1" si="12"/>
        <v>7987.5623750531331</v>
      </c>
      <c r="AB36" s="502">
        <f t="shared" ca="1" si="12"/>
        <v>8316.320508579267</v>
      </c>
    </row>
    <row r="37" spans="1:28">
      <c r="A37" s="548" t="s">
        <v>141</v>
      </c>
      <c r="B37" s="49"/>
      <c r="C37" s="549">
        <f>C34+C35-C36</f>
        <v>0</v>
      </c>
      <c r="D37" s="549">
        <f>D34+D35-D36</f>
        <v>7548.9059999999999</v>
      </c>
      <c r="E37" s="560">
        <f>E34+E35-E36</f>
        <v>7322.8420000000015</v>
      </c>
      <c r="F37" s="561">
        <f t="shared" ref="F37:AB37" si="13">F34+F35-F36</f>
        <v>7051.6089999999995</v>
      </c>
      <c r="G37" s="561">
        <f>G34+G35-G36</f>
        <v>6735.442</v>
      </c>
      <c r="H37" s="561">
        <f ca="1">H34+H35-H36</f>
        <v>7053.0337517832213</v>
      </c>
      <c r="I37" s="561">
        <f ca="1">I34+I35-I36</f>
        <v>6735.2567375590079</v>
      </c>
      <c r="J37" s="561">
        <f t="shared" ca="1" si="13"/>
        <v>6252.8557245262409</v>
      </c>
      <c r="K37" s="561">
        <f t="shared" ca="1" si="13"/>
        <v>5924.0975910001071</v>
      </c>
      <c r="L37" s="550">
        <f t="shared" ca="1" si="13"/>
        <v>5595.3394574739732</v>
      </c>
      <c r="M37" s="550">
        <f t="shared" ca="1" si="13"/>
        <v>5266.5813239478393</v>
      </c>
      <c r="N37" s="550">
        <f t="shared" ca="1" si="13"/>
        <v>4937.8231904217055</v>
      </c>
      <c r="O37" s="550">
        <f t="shared" ca="1" si="13"/>
        <v>4609.0650568955716</v>
      </c>
      <c r="P37" s="550">
        <f t="shared" ca="1" si="13"/>
        <v>4280.3069233694387</v>
      </c>
      <c r="Q37" s="550">
        <f t="shared" ca="1" si="13"/>
        <v>3951.5487898433048</v>
      </c>
      <c r="R37" s="550">
        <f t="shared" ca="1" si="13"/>
        <v>3622.7906563171709</v>
      </c>
      <c r="S37" s="550">
        <f t="shared" ca="1" si="13"/>
        <v>3294.0325227910371</v>
      </c>
      <c r="T37" s="550">
        <f t="shared" ca="1" si="13"/>
        <v>2965.2743892649032</v>
      </c>
      <c r="U37" s="550">
        <f t="shared" ca="1" si="13"/>
        <v>2636.5162557387694</v>
      </c>
      <c r="V37" s="550">
        <f t="shared" ca="1" si="13"/>
        <v>2307.7581222126355</v>
      </c>
      <c r="W37" s="549">
        <f t="shared" ca="1" si="13"/>
        <v>1978.9999886865016</v>
      </c>
      <c r="X37" s="549">
        <f t="shared" ca="1" si="13"/>
        <v>1650.2418551603678</v>
      </c>
      <c r="Y37" s="549">
        <f t="shared" ca="1" si="13"/>
        <v>1321.4837216342339</v>
      </c>
      <c r="Z37" s="549">
        <f t="shared" ca="1" si="13"/>
        <v>992.72558810810006</v>
      </c>
      <c r="AA37" s="549">
        <f t="shared" ca="1" si="13"/>
        <v>663.96745458196619</v>
      </c>
      <c r="AB37" s="549">
        <f t="shared" ca="1" si="13"/>
        <v>335.20932105583233</v>
      </c>
    </row>
    <row r="38" spans="1:28" s="310" customFormat="1" ht="12.75">
      <c r="E38" s="175"/>
      <c r="F38" s="559"/>
      <c r="G38" s="559"/>
      <c r="H38" s="559"/>
      <c r="I38" s="559"/>
      <c r="J38" s="559"/>
      <c r="K38" s="559"/>
      <c r="L38" s="510"/>
      <c r="M38" s="510"/>
      <c r="N38" s="510"/>
      <c r="O38" s="510"/>
      <c r="P38" s="510"/>
      <c r="Q38" s="510"/>
      <c r="R38" s="510"/>
      <c r="S38" s="510"/>
      <c r="T38" s="510"/>
      <c r="U38" s="510"/>
      <c r="V38" s="510"/>
    </row>
    <row r="39" spans="1:28" s="310" customFormat="1" ht="12.75">
      <c r="A39" s="310" t="s">
        <v>142</v>
      </c>
      <c r="D39" s="502">
        <v>0.55500000000000005</v>
      </c>
      <c r="E39" s="509">
        <v>0.19100000000000072</v>
      </c>
      <c r="F39" s="497">
        <v>0.3</v>
      </c>
      <c r="G39" s="497">
        <v>0.3</v>
      </c>
      <c r="H39" s="497">
        <v>0.3</v>
      </c>
      <c r="I39" s="497">
        <v>0.3</v>
      </c>
      <c r="J39" s="497">
        <v>0.3</v>
      </c>
      <c r="K39" s="497">
        <v>0.3</v>
      </c>
      <c r="L39" s="497">
        <v>0.3</v>
      </c>
      <c r="M39" s="497">
        <v>0.3</v>
      </c>
      <c r="N39" s="497">
        <v>0.3</v>
      </c>
      <c r="O39" s="497">
        <v>0.3</v>
      </c>
      <c r="P39" s="497">
        <v>0.3</v>
      </c>
      <c r="Q39" s="497">
        <v>0.3</v>
      </c>
      <c r="R39" s="497">
        <v>0.3</v>
      </c>
      <c r="S39" s="497">
        <v>0.3</v>
      </c>
      <c r="T39" s="497">
        <v>0.3</v>
      </c>
      <c r="U39" s="497">
        <v>0.3</v>
      </c>
      <c r="V39" s="497">
        <v>0.3</v>
      </c>
      <c r="W39" s="497">
        <v>0.3</v>
      </c>
      <c r="X39" s="497">
        <v>0.3</v>
      </c>
      <c r="Y39" s="497">
        <v>0.3</v>
      </c>
      <c r="Z39" s="497">
        <v>0.3</v>
      </c>
      <c r="AA39" s="497">
        <v>0.3</v>
      </c>
      <c r="AB39" s="497">
        <v>0.3</v>
      </c>
    </row>
    <row r="40" spans="1:28" s="310" customFormat="1" ht="12.75">
      <c r="E40" s="175"/>
      <c r="F40" s="559"/>
      <c r="G40" s="559"/>
      <c r="H40" s="559"/>
      <c r="I40" s="559"/>
      <c r="J40" s="559"/>
      <c r="K40" s="559"/>
      <c r="L40" s="510"/>
      <c r="M40" s="510"/>
      <c r="N40" s="510"/>
      <c r="O40" s="510"/>
      <c r="P40" s="510"/>
      <c r="Q40" s="510"/>
      <c r="R40" s="510"/>
      <c r="S40" s="510"/>
      <c r="T40" s="510"/>
      <c r="U40" s="510"/>
      <c r="V40" s="510"/>
    </row>
    <row r="41" spans="1:28" s="310" customFormat="1" ht="12.75">
      <c r="A41" s="310" t="s">
        <v>143</v>
      </c>
      <c r="D41" s="502">
        <v>65.864999999999995</v>
      </c>
      <c r="E41" s="497">
        <v>56.298999999999999</v>
      </c>
      <c r="F41" s="509">
        <f>53.21</f>
        <v>53.21</v>
      </c>
      <c r="G41" s="497">
        <v>101.9</v>
      </c>
      <c r="H41" s="497">
        <f t="shared" ref="H41:AB42" si="14">G41</f>
        <v>101.9</v>
      </c>
      <c r="I41" s="497">
        <f t="shared" si="14"/>
        <v>101.9</v>
      </c>
      <c r="J41" s="497">
        <f t="shared" si="14"/>
        <v>101.9</v>
      </c>
      <c r="K41" s="497">
        <f t="shared" si="14"/>
        <v>101.9</v>
      </c>
      <c r="L41" s="546">
        <f t="shared" si="14"/>
        <v>101.9</v>
      </c>
      <c r="M41" s="546">
        <f t="shared" si="14"/>
        <v>101.9</v>
      </c>
      <c r="N41" s="546">
        <f t="shared" si="14"/>
        <v>101.9</v>
      </c>
      <c r="O41" s="546">
        <f t="shared" si="14"/>
        <v>101.9</v>
      </c>
      <c r="P41" s="546">
        <f t="shared" si="14"/>
        <v>101.9</v>
      </c>
      <c r="Q41" s="546">
        <f t="shared" si="14"/>
        <v>101.9</v>
      </c>
      <c r="R41" s="546">
        <f t="shared" si="14"/>
        <v>101.9</v>
      </c>
      <c r="S41" s="546">
        <f t="shared" si="14"/>
        <v>101.9</v>
      </c>
      <c r="T41" s="546">
        <f t="shared" si="14"/>
        <v>101.9</v>
      </c>
      <c r="U41" s="546">
        <f t="shared" si="14"/>
        <v>101.9</v>
      </c>
      <c r="V41" s="546">
        <f t="shared" si="14"/>
        <v>101.9</v>
      </c>
      <c r="W41" s="502">
        <f t="shared" si="14"/>
        <v>101.9</v>
      </c>
      <c r="X41" s="502">
        <f t="shared" si="14"/>
        <v>101.9</v>
      </c>
      <c r="Y41" s="502">
        <f t="shared" si="14"/>
        <v>101.9</v>
      </c>
      <c r="Z41" s="502">
        <f t="shared" si="14"/>
        <v>101.9</v>
      </c>
      <c r="AA41" s="502">
        <f t="shared" si="14"/>
        <v>101.9</v>
      </c>
      <c r="AB41" s="502">
        <f t="shared" si="14"/>
        <v>101.9</v>
      </c>
    </row>
    <row r="42" spans="1:28" s="310" customFormat="1" ht="12.75">
      <c r="A42" s="310" t="s">
        <v>144</v>
      </c>
      <c r="D42" s="502">
        <v>39.938000000000002</v>
      </c>
      <c r="E42" s="509">
        <f>99.15+1.07+68.86+0.68+20.25</f>
        <v>190.01</v>
      </c>
      <c r="F42" s="509">
        <f>178.6+24.988+0.169+1.303+51.235</f>
        <v>256.29500000000002</v>
      </c>
      <c r="G42" s="497">
        <v>84.02</v>
      </c>
      <c r="H42" s="497">
        <f t="shared" si="14"/>
        <v>84.02</v>
      </c>
      <c r="I42" s="497">
        <f t="shared" si="14"/>
        <v>84.02</v>
      </c>
      <c r="J42" s="497">
        <f t="shared" si="14"/>
        <v>84.02</v>
      </c>
      <c r="K42" s="497">
        <f t="shared" si="14"/>
        <v>84.02</v>
      </c>
      <c r="L42" s="546">
        <f t="shared" si="14"/>
        <v>84.02</v>
      </c>
      <c r="M42" s="546">
        <f t="shared" si="14"/>
        <v>84.02</v>
      </c>
      <c r="N42" s="546">
        <f t="shared" si="14"/>
        <v>84.02</v>
      </c>
      <c r="O42" s="546">
        <f t="shared" si="14"/>
        <v>84.02</v>
      </c>
      <c r="P42" s="546">
        <f t="shared" si="14"/>
        <v>84.02</v>
      </c>
      <c r="Q42" s="546">
        <f t="shared" si="14"/>
        <v>84.02</v>
      </c>
      <c r="R42" s="546">
        <f t="shared" si="14"/>
        <v>84.02</v>
      </c>
      <c r="S42" s="546">
        <f t="shared" si="14"/>
        <v>84.02</v>
      </c>
      <c r="T42" s="546">
        <f t="shared" si="14"/>
        <v>84.02</v>
      </c>
      <c r="U42" s="546">
        <f t="shared" si="14"/>
        <v>84.02</v>
      </c>
      <c r="V42" s="546">
        <f t="shared" si="14"/>
        <v>84.02</v>
      </c>
      <c r="W42" s="502">
        <f t="shared" si="14"/>
        <v>84.02</v>
      </c>
      <c r="X42" s="502">
        <f t="shared" si="14"/>
        <v>84.02</v>
      </c>
      <c r="Y42" s="502">
        <f t="shared" si="14"/>
        <v>84.02</v>
      </c>
      <c r="Z42" s="502">
        <f t="shared" si="14"/>
        <v>84.02</v>
      </c>
      <c r="AA42" s="502">
        <f t="shared" si="14"/>
        <v>84.02</v>
      </c>
      <c r="AB42" s="502">
        <f t="shared" si="14"/>
        <v>84.02</v>
      </c>
    </row>
    <row r="43" spans="1:28">
      <c r="A43" s="548" t="s">
        <v>693</v>
      </c>
      <c r="B43" s="49"/>
      <c r="C43" s="549">
        <f>SUM(C37:C42)</f>
        <v>0</v>
      </c>
      <c r="D43" s="549">
        <f>SUM(D37:D42)</f>
        <v>7655.2640000000001</v>
      </c>
      <c r="E43" s="562">
        <f>SUM(E37:E42)</f>
        <v>7569.3420000000015</v>
      </c>
      <c r="F43" s="562">
        <f t="shared" ref="F43:AB43" si="15">SUM(F37:F42)</f>
        <v>7361.4139999999998</v>
      </c>
      <c r="G43" s="561">
        <f t="shared" si="15"/>
        <v>6921.6620000000003</v>
      </c>
      <c r="H43" s="561">
        <f t="shared" ca="1" si="15"/>
        <v>7239.2537517832216</v>
      </c>
      <c r="I43" s="561">
        <f t="shared" ca="1" si="15"/>
        <v>6921.4767375590081</v>
      </c>
      <c r="J43" s="561">
        <f t="shared" ca="1" si="15"/>
        <v>6439.0757245262412</v>
      </c>
      <c r="K43" s="561">
        <f t="shared" ca="1" si="15"/>
        <v>6110.3175910001073</v>
      </c>
      <c r="L43" s="550">
        <f t="shared" ca="1" si="15"/>
        <v>5781.5594574739735</v>
      </c>
      <c r="M43" s="550">
        <f t="shared" ca="1" si="15"/>
        <v>5452.8013239478396</v>
      </c>
      <c r="N43" s="550">
        <f t="shared" ca="1" si="15"/>
        <v>5124.0431904217057</v>
      </c>
      <c r="O43" s="550">
        <f t="shared" ca="1" si="15"/>
        <v>4795.2850568955719</v>
      </c>
      <c r="P43" s="550">
        <f t="shared" ca="1" si="15"/>
        <v>4466.5269233694389</v>
      </c>
      <c r="Q43" s="550">
        <f t="shared" ca="1" si="15"/>
        <v>4137.7687898433051</v>
      </c>
      <c r="R43" s="550">
        <f t="shared" ca="1" si="15"/>
        <v>3809.0106563171712</v>
      </c>
      <c r="S43" s="550">
        <f t="shared" ca="1" si="15"/>
        <v>3480.2525227910373</v>
      </c>
      <c r="T43" s="550">
        <f t="shared" ca="1" si="15"/>
        <v>3151.4943892649035</v>
      </c>
      <c r="U43" s="550">
        <f t="shared" ca="1" si="15"/>
        <v>2822.7362557387696</v>
      </c>
      <c r="V43" s="550">
        <f t="shared" ca="1" si="15"/>
        <v>2493.9781222126358</v>
      </c>
      <c r="W43" s="549">
        <f t="shared" ca="1" si="15"/>
        <v>2165.2199886865014</v>
      </c>
      <c r="X43" s="549">
        <f t="shared" ca="1" si="15"/>
        <v>1836.4618551603678</v>
      </c>
      <c r="Y43" s="549">
        <f t="shared" ca="1" si="15"/>
        <v>1507.7037216342339</v>
      </c>
      <c r="Z43" s="549">
        <f t="shared" ca="1" si="15"/>
        <v>1178.9455881081001</v>
      </c>
      <c r="AA43" s="549">
        <f t="shared" ca="1" si="15"/>
        <v>850.18745458196611</v>
      </c>
      <c r="AB43" s="549">
        <f t="shared" ca="1" si="15"/>
        <v>521.42932105583236</v>
      </c>
    </row>
    <row r="44" spans="1:28" s="310" customFormat="1" ht="12.75">
      <c r="E44" s="175"/>
      <c r="F44" s="559"/>
      <c r="G44" s="563"/>
      <c r="H44" s="175"/>
      <c r="I44" s="175"/>
      <c r="J44" s="175"/>
      <c r="K44" s="175"/>
    </row>
    <row r="45" spans="1:28" s="310" customFormat="1" ht="15.75">
      <c r="A45" s="558" t="s">
        <v>146</v>
      </c>
      <c r="E45" s="175"/>
      <c r="F45" s="559"/>
      <c r="G45" s="175"/>
      <c r="H45" s="175"/>
      <c r="I45" s="175"/>
      <c r="J45" s="175"/>
      <c r="K45" s="175"/>
    </row>
    <row r="46" spans="1:28" s="310" customFormat="1" ht="12.75">
      <c r="A46" s="310" t="s">
        <v>149</v>
      </c>
      <c r="D46" s="502">
        <v>313.82799999999997</v>
      </c>
      <c r="E46" s="509">
        <v>268.77999999999997</v>
      </c>
      <c r="F46" s="497">
        <f>133.677+76.91+0.24</f>
        <v>210.827</v>
      </c>
      <c r="G46" s="497">
        <v>78.245999999999995</v>
      </c>
      <c r="H46" s="497">
        <f>'Finance Cost'!H56</f>
        <v>295.7332881439624</v>
      </c>
      <c r="I46" s="497">
        <f>'Finance Cost'!I56</f>
        <v>299.7773530526436</v>
      </c>
      <c r="J46" s="497">
        <f>'Finance Cost'!J56</f>
        <v>304.68119591263621</v>
      </c>
      <c r="K46" s="497">
        <f>'Finance Cost'!K56</f>
        <v>307.93218756715561</v>
      </c>
      <c r="L46" s="546">
        <f>'Finance Cost'!L56</f>
        <v>312.11960424750805</v>
      </c>
      <c r="M46" s="546">
        <f>'Finance Cost'!M56</f>
        <v>316.46233285625732</v>
      </c>
      <c r="N46" s="546">
        <f>'Finance Cost'!N56</f>
        <v>321.76129566616066</v>
      </c>
      <c r="O46" s="546">
        <f>'Finance Cost'!O56</f>
        <v>325.63855971439853</v>
      </c>
      <c r="P46" s="546">
        <f>'Finance Cost'!P56</f>
        <v>330.48513270496744</v>
      </c>
      <c r="Q46" s="546">
        <f>'Finance Cost'!Q56</f>
        <v>335.51319057052956</v>
      </c>
      <c r="R46" s="546">
        <f>'Finance Cost'!R56</f>
        <v>341.53420406682278</v>
      </c>
      <c r="S46" s="546">
        <f>'Finance Cost'!S56</f>
        <v>346.14306433581669</v>
      </c>
      <c r="T46" s="546">
        <f>'Finance Cost'!T56</f>
        <v>351.76031489952919</v>
      </c>
      <c r="U46" s="546">
        <f>'Finance Cost'!U56</f>
        <v>357.58994778715424</v>
      </c>
      <c r="V46" s="546">
        <f>'Finance Cost'!V56</f>
        <v>364.45622802348282</v>
      </c>
      <c r="W46" s="502">
        <f>'Finance Cost'!W56</f>
        <v>369.9209859777315</v>
      </c>
      <c r="X46" s="502">
        <f>'Finance Cost'!X56</f>
        <v>376.44063699197778</v>
      </c>
      <c r="Y46" s="502">
        <f>'Finance Cost'!Y56</f>
        <v>383.20919548371631</v>
      </c>
      <c r="Z46" s="502">
        <f>'Finance Cost'!Z56</f>
        <v>391.06644706507592</v>
      </c>
      <c r="AA46" s="502">
        <f>'Finance Cost'!AA56</f>
        <v>397.53400467490098</v>
      </c>
      <c r="AB46" s="502">
        <f>'Finance Cost'!AB56</f>
        <v>405.111853266656</v>
      </c>
    </row>
    <row r="47" spans="1:28" s="310" customFormat="1" ht="12.75">
      <c r="A47" s="310" t="s">
        <v>148</v>
      </c>
      <c r="D47" s="502">
        <v>750.81700000000001</v>
      </c>
      <c r="E47" s="509">
        <v>782.60400000000004</v>
      </c>
      <c r="F47" s="497">
        <v>1135.9949999999999</v>
      </c>
      <c r="G47" s="497">
        <v>1219.19</v>
      </c>
      <c r="H47" s="497">
        <f ca="1">'Finance Cost'!H66</f>
        <v>430.71249879102544</v>
      </c>
      <c r="I47" s="497">
        <f ca="1">'Finance Cost'!I66</f>
        <v>433.79039376299022</v>
      </c>
      <c r="J47" s="497">
        <f ca="1">'Finance Cost'!J66</f>
        <v>440.0274627848205</v>
      </c>
      <c r="K47" s="497">
        <f ca="1">'Finance Cost'!K66</f>
        <v>444.98969604376776</v>
      </c>
      <c r="L47" s="546">
        <f ca="1">'Finance Cost'!L66</f>
        <v>451.94535373719089</v>
      </c>
      <c r="M47" s="546">
        <f ca="1">'Finance Cost'!M66</f>
        <v>461.08699128141677</v>
      </c>
      <c r="N47" s="546">
        <f ca="1">'Finance Cost'!N66</f>
        <v>473.63895800735168</v>
      </c>
      <c r="O47" s="546">
        <f ca="1">'Finance Cost'!O66</f>
        <v>483.79065902706856</v>
      </c>
      <c r="P47" s="546">
        <f ca="1">'Finance Cost'!P66</f>
        <v>308.49584646430952</v>
      </c>
      <c r="Q47" s="546">
        <f ca="1">'Finance Cost'!Q66</f>
        <v>314.76341711934896</v>
      </c>
      <c r="R47" s="546">
        <f ca="1">'Finance Cost'!R66</f>
        <v>309.56453367344619</v>
      </c>
      <c r="S47" s="546">
        <f ca="1">'Finance Cost'!S66</f>
        <v>310.70754059445079</v>
      </c>
      <c r="T47" s="546">
        <f ca="1">'Finance Cost'!T66</f>
        <v>315.05265657039439</v>
      </c>
      <c r="U47" s="546">
        <f ca="1">'Finance Cost'!U66</f>
        <v>319.63426255061637</v>
      </c>
      <c r="V47" s="546">
        <f ca="1">'Finance Cost'!V66</f>
        <v>325.378698490369</v>
      </c>
      <c r="W47" s="502">
        <f ca="1">'Finance Cost'!W66</f>
        <v>335.10849492746235</v>
      </c>
      <c r="X47" s="502">
        <f ca="1">'Finance Cost'!X66</f>
        <v>343.68814485839641</v>
      </c>
      <c r="Y47" s="502">
        <f ca="1">'Finance Cost'!Y66</f>
        <v>352.70272174725841</v>
      </c>
      <c r="Z47" s="502">
        <f ca="1">'Finance Cost'!Z66</f>
        <v>367.28326264276126</v>
      </c>
      <c r="AA47" s="502">
        <f ca="1">'Finance Cost'!AA66</f>
        <v>376.28803859208</v>
      </c>
      <c r="AB47" s="502">
        <f ca="1">'Finance Cost'!AB66</f>
        <v>387.00234066295246</v>
      </c>
    </row>
    <row r="48" spans="1:28" s="310" customFormat="1" ht="12.75">
      <c r="A48" s="310" t="s">
        <v>150</v>
      </c>
      <c r="D48" s="502">
        <v>101.37100000000001</v>
      </c>
      <c r="E48" s="509">
        <f>59.981+116.28+44.67</f>
        <v>220.93099999999998</v>
      </c>
      <c r="F48" s="497">
        <f>1973.241-F46-F47-272.487-2.618</f>
        <v>351.31400000000008</v>
      </c>
      <c r="G48" s="559">
        <v>462.88</v>
      </c>
      <c r="H48" s="559">
        <f t="shared" ref="H48:AB48" si="16">G48</f>
        <v>462.88</v>
      </c>
      <c r="I48" s="559">
        <f t="shared" si="16"/>
        <v>462.88</v>
      </c>
      <c r="J48" s="559">
        <f t="shared" si="16"/>
        <v>462.88</v>
      </c>
      <c r="K48" s="559">
        <f t="shared" si="16"/>
        <v>462.88</v>
      </c>
      <c r="L48" s="510">
        <f t="shared" si="16"/>
        <v>462.88</v>
      </c>
      <c r="M48" s="510">
        <f t="shared" si="16"/>
        <v>462.88</v>
      </c>
      <c r="N48" s="510">
        <f t="shared" si="16"/>
        <v>462.88</v>
      </c>
      <c r="O48" s="510">
        <f t="shared" si="16"/>
        <v>462.88</v>
      </c>
      <c r="P48" s="510">
        <f t="shared" si="16"/>
        <v>462.88</v>
      </c>
      <c r="Q48" s="510">
        <f t="shared" si="16"/>
        <v>462.88</v>
      </c>
      <c r="R48" s="510">
        <f t="shared" si="16"/>
        <v>462.88</v>
      </c>
      <c r="S48" s="510">
        <f t="shared" si="16"/>
        <v>462.88</v>
      </c>
      <c r="T48" s="510">
        <f t="shared" si="16"/>
        <v>462.88</v>
      </c>
      <c r="U48" s="510">
        <f t="shared" si="16"/>
        <v>462.88</v>
      </c>
      <c r="V48" s="510">
        <f t="shared" si="16"/>
        <v>462.88</v>
      </c>
      <c r="W48" s="512">
        <f t="shared" si="16"/>
        <v>462.88</v>
      </c>
      <c r="X48" s="512">
        <f t="shared" si="16"/>
        <v>462.88</v>
      </c>
      <c r="Y48" s="512">
        <f t="shared" si="16"/>
        <v>462.88</v>
      </c>
      <c r="Z48" s="512">
        <f t="shared" si="16"/>
        <v>462.88</v>
      </c>
      <c r="AA48" s="512">
        <f t="shared" si="16"/>
        <v>462.88</v>
      </c>
      <c r="AB48" s="512">
        <f t="shared" si="16"/>
        <v>462.88</v>
      </c>
    </row>
    <row r="49" spans="1:28" s="310" customFormat="1" ht="12.75">
      <c r="A49" s="310" t="s">
        <v>151</v>
      </c>
      <c r="D49" s="502">
        <v>199.864</v>
      </c>
      <c r="E49" s="509">
        <v>0</v>
      </c>
      <c r="F49" s="497">
        <f>0</f>
        <v>0</v>
      </c>
      <c r="G49" s="559">
        <f t="shared" ref="G49:AB49" si="17">F49</f>
        <v>0</v>
      </c>
      <c r="H49" s="559">
        <f t="shared" si="17"/>
        <v>0</v>
      </c>
      <c r="I49" s="559">
        <f t="shared" si="17"/>
        <v>0</v>
      </c>
      <c r="J49" s="559">
        <f t="shared" si="17"/>
        <v>0</v>
      </c>
      <c r="K49" s="559">
        <f t="shared" si="17"/>
        <v>0</v>
      </c>
      <c r="L49" s="510">
        <f t="shared" si="17"/>
        <v>0</v>
      </c>
      <c r="M49" s="510">
        <f t="shared" si="17"/>
        <v>0</v>
      </c>
      <c r="N49" s="510">
        <f t="shared" si="17"/>
        <v>0</v>
      </c>
      <c r="O49" s="510">
        <f t="shared" si="17"/>
        <v>0</v>
      </c>
      <c r="P49" s="510">
        <f t="shared" si="17"/>
        <v>0</v>
      </c>
      <c r="Q49" s="510">
        <f t="shared" si="17"/>
        <v>0</v>
      </c>
      <c r="R49" s="510">
        <f t="shared" si="17"/>
        <v>0</v>
      </c>
      <c r="S49" s="510">
        <f t="shared" si="17"/>
        <v>0</v>
      </c>
      <c r="T49" s="510">
        <f t="shared" si="17"/>
        <v>0</v>
      </c>
      <c r="U49" s="510">
        <f t="shared" si="17"/>
        <v>0</v>
      </c>
      <c r="V49" s="510">
        <f t="shared" si="17"/>
        <v>0</v>
      </c>
      <c r="W49" s="512">
        <f t="shared" si="17"/>
        <v>0</v>
      </c>
      <c r="X49" s="512">
        <f t="shared" si="17"/>
        <v>0</v>
      </c>
      <c r="Y49" s="512">
        <f t="shared" si="17"/>
        <v>0</v>
      </c>
      <c r="Z49" s="512">
        <f t="shared" si="17"/>
        <v>0</v>
      </c>
      <c r="AA49" s="512">
        <f t="shared" si="17"/>
        <v>0</v>
      </c>
      <c r="AB49" s="512">
        <f t="shared" si="17"/>
        <v>0</v>
      </c>
    </row>
    <row r="50" spans="1:28" s="310" customFormat="1" ht="12.75">
      <c r="A50" s="310" t="s">
        <v>691</v>
      </c>
      <c r="D50" s="502"/>
      <c r="E50" s="509"/>
      <c r="F50" s="497">
        <v>408</v>
      </c>
      <c r="G50" s="497">
        <v>408.6</v>
      </c>
      <c r="H50" s="497">
        <v>408</v>
      </c>
      <c r="I50" s="497">
        <v>408</v>
      </c>
      <c r="J50" s="497">
        <v>408</v>
      </c>
      <c r="K50" s="497">
        <v>408</v>
      </c>
      <c r="L50" s="497">
        <v>408</v>
      </c>
      <c r="M50" s="497">
        <v>408</v>
      </c>
      <c r="N50" s="497">
        <v>408</v>
      </c>
      <c r="O50" s="497">
        <v>408</v>
      </c>
      <c r="P50" s="497">
        <v>408</v>
      </c>
      <c r="Q50" s="497">
        <v>408</v>
      </c>
      <c r="R50" s="497">
        <v>408</v>
      </c>
      <c r="S50" s="497">
        <v>408</v>
      </c>
      <c r="T50" s="497">
        <v>408</v>
      </c>
      <c r="U50" s="497">
        <v>408</v>
      </c>
      <c r="V50" s="497">
        <v>408</v>
      </c>
      <c r="W50" s="497">
        <v>408</v>
      </c>
      <c r="X50" s="512"/>
      <c r="Y50" s="512"/>
      <c r="Z50" s="512"/>
      <c r="AA50" s="512"/>
      <c r="AB50" s="512"/>
    </row>
    <row r="51" spans="1:28" s="310" customFormat="1" ht="12.75">
      <c r="A51" s="310" t="s">
        <v>152</v>
      </c>
      <c r="C51" s="512">
        <f>C113</f>
        <v>0</v>
      </c>
      <c r="D51" s="502">
        <v>426.93299999999999</v>
      </c>
      <c r="E51" s="509">
        <v>280.67400000000004</v>
      </c>
      <c r="F51" s="497">
        <f>F113</f>
        <v>275.33254358504047</v>
      </c>
      <c r="G51" s="497">
        <f t="shared" ref="G51:AB51" si="18">G113</f>
        <v>271.5</v>
      </c>
      <c r="H51" s="497">
        <f t="shared" ca="1" si="18"/>
        <v>807.51275667864172</v>
      </c>
      <c r="I51" s="497">
        <f t="shared" ca="1" si="18"/>
        <v>1009.4989152938239</v>
      </c>
      <c r="J51" s="497">
        <f t="shared" ca="1" si="18"/>
        <v>1381.4142030180192</v>
      </c>
      <c r="K51" s="497">
        <f t="shared" ca="1" si="18"/>
        <v>1620.4764408092187</v>
      </c>
      <c r="L51" s="546">
        <f t="shared" ca="1" si="18"/>
        <v>1884.9511423770109</v>
      </c>
      <c r="M51" s="546">
        <f t="shared" ca="1" si="18"/>
        <v>2220.5619436641527</v>
      </c>
      <c r="N51" s="546">
        <f t="shared" ca="1" si="18"/>
        <v>2657.5070107835004</v>
      </c>
      <c r="O51" s="546">
        <f t="shared" ca="1" si="18"/>
        <v>3154.4694559688182</v>
      </c>
      <c r="P51" s="546">
        <f t="shared" ca="1" si="18"/>
        <v>3317.7201822245288</v>
      </c>
      <c r="Q51" s="546">
        <f t="shared" ca="1" si="18"/>
        <v>3502.9178639270467</v>
      </c>
      <c r="R51" s="546">
        <f t="shared" ca="1" si="18"/>
        <v>3531.391581804628</v>
      </c>
      <c r="S51" s="546">
        <f t="shared" ca="1" si="18"/>
        <v>3565.0578947651102</v>
      </c>
      <c r="T51" s="546">
        <f t="shared" ca="1" si="18"/>
        <v>3611.120971114321</v>
      </c>
      <c r="U51" s="546">
        <f t="shared" ca="1" si="18"/>
        <v>3687.338085755689</v>
      </c>
      <c r="V51" s="546">
        <f t="shared" ca="1" si="18"/>
        <v>4250.6338084116287</v>
      </c>
      <c r="W51" s="502">
        <f t="shared" ca="1" si="18"/>
        <v>4833.8642687375232</v>
      </c>
      <c r="X51" s="502">
        <f t="shared" ca="1" si="18"/>
        <v>5423.1858300494378</v>
      </c>
      <c r="Y51" s="502">
        <f t="shared" ca="1" si="18"/>
        <v>6028.2879413827804</v>
      </c>
      <c r="Z51" s="502">
        <f t="shared" ca="1" si="18"/>
        <v>6670.1317911274291</v>
      </c>
      <c r="AA51" s="502">
        <f t="shared" ca="1" si="18"/>
        <v>7329.5964700926643</v>
      </c>
      <c r="AB51" s="502">
        <f t="shared" ca="1" si="18"/>
        <v>8059.3356211002383</v>
      </c>
    </row>
    <row r="52" spans="1:28">
      <c r="A52" s="548" t="s">
        <v>153</v>
      </c>
      <c r="B52" s="49"/>
      <c r="C52" s="549">
        <f t="shared" ref="C52:AB52" si="19">SUM(C46:C51)</f>
        <v>0</v>
      </c>
      <c r="D52" s="549">
        <f t="shared" si="19"/>
        <v>1792.8130000000001</v>
      </c>
      <c r="E52" s="549">
        <f t="shared" si="19"/>
        <v>1552.989</v>
      </c>
      <c r="F52" s="549">
        <f t="shared" si="19"/>
        <v>2381.4685435850406</v>
      </c>
      <c r="G52" s="549">
        <f t="shared" si="19"/>
        <v>2440.4160000000002</v>
      </c>
      <c r="H52" s="549">
        <f t="shared" ca="1" si="19"/>
        <v>2404.8385436136296</v>
      </c>
      <c r="I52" s="549">
        <f t="shared" ca="1" si="19"/>
        <v>2613.9466621094575</v>
      </c>
      <c r="J52" s="549">
        <f t="shared" ca="1" si="19"/>
        <v>2997.0028617154758</v>
      </c>
      <c r="K52" s="549">
        <f t="shared" ca="1" si="19"/>
        <v>3244.2783244201419</v>
      </c>
      <c r="L52" s="549">
        <f t="shared" ca="1" si="19"/>
        <v>3519.8961003617096</v>
      </c>
      <c r="M52" s="549">
        <f t="shared" ca="1" si="19"/>
        <v>3868.9912678018268</v>
      </c>
      <c r="N52" s="549">
        <f t="shared" ca="1" si="19"/>
        <v>4323.7872644570125</v>
      </c>
      <c r="O52" s="549">
        <f t="shared" ca="1" si="19"/>
        <v>4834.7786747102855</v>
      </c>
      <c r="P52" s="549">
        <f t="shared" ca="1" si="19"/>
        <v>4827.5811613938058</v>
      </c>
      <c r="Q52" s="549">
        <f t="shared" ca="1" si="19"/>
        <v>5024.0744716169247</v>
      </c>
      <c r="R52" s="549">
        <f t="shared" ca="1" si="19"/>
        <v>5053.370319544897</v>
      </c>
      <c r="S52" s="549">
        <f t="shared" ca="1" si="19"/>
        <v>5092.7884996953781</v>
      </c>
      <c r="T52" s="549">
        <f t="shared" ca="1" si="19"/>
        <v>5148.8139425842446</v>
      </c>
      <c r="U52" s="549">
        <f t="shared" ca="1" si="19"/>
        <v>5235.4422960934598</v>
      </c>
      <c r="V52" s="549">
        <f t="shared" ca="1" si="19"/>
        <v>5811.348734925481</v>
      </c>
      <c r="W52" s="549">
        <f t="shared" ca="1" si="19"/>
        <v>6409.7737496427171</v>
      </c>
      <c r="X52" s="549">
        <f t="shared" ca="1" si="19"/>
        <v>6606.1946118998121</v>
      </c>
      <c r="Y52" s="549">
        <f t="shared" ca="1" si="19"/>
        <v>7227.0798586137553</v>
      </c>
      <c r="Z52" s="549">
        <f t="shared" ca="1" si="19"/>
        <v>7891.3615008352663</v>
      </c>
      <c r="AA52" s="549">
        <f t="shared" ca="1" si="19"/>
        <v>8566.2985133596449</v>
      </c>
      <c r="AB52" s="549">
        <f t="shared" ca="1" si="19"/>
        <v>9314.3298150298469</v>
      </c>
    </row>
    <row r="53" spans="1:28" s="310" customFormat="1" ht="12.75">
      <c r="G53" s="510"/>
      <c r="H53" s="510"/>
      <c r="I53" s="510"/>
      <c r="J53" s="510"/>
      <c r="K53" s="510"/>
      <c r="L53" s="510"/>
      <c r="M53" s="510"/>
      <c r="N53" s="510"/>
      <c r="O53" s="510"/>
      <c r="P53" s="510"/>
      <c r="Q53" s="510"/>
      <c r="R53" s="510"/>
      <c r="S53" s="510"/>
      <c r="T53" s="510"/>
      <c r="U53" s="510"/>
      <c r="V53" s="510"/>
    </row>
    <row r="54" spans="1:28" s="310" customFormat="1" ht="12.75">
      <c r="A54" s="310" t="s">
        <v>154</v>
      </c>
      <c r="C54" s="502">
        <v>19.228999999999999</v>
      </c>
      <c r="D54" s="502">
        <v>19.149000000000001</v>
      </c>
      <c r="E54" s="502">
        <v>19.149000000000001</v>
      </c>
      <c r="F54" s="502">
        <f>0</f>
        <v>0</v>
      </c>
      <c r="G54" s="546">
        <f t="shared" ref="G54:AB54" si="20">F54</f>
        <v>0</v>
      </c>
      <c r="H54" s="546">
        <f t="shared" si="20"/>
        <v>0</v>
      </c>
      <c r="I54" s="546">
        <f t="shared" si="20"/>
        <v>0</v>
      </c>
      <c r="J54" s="546">
        <f t="shared" si="20"/>
        <v>0</v>
      </c>
      <c r="K54" s="546">
        <f t="shared" si="20"/>
        <v>0</v>
      </c>
      <c r="L54" s="546">
        <f t="shared" si="20"/>
        <v>0</v>
      </c>
      <c r="M54" s="546">
        <f t="shared" si="20"/>
        <v>0</v>
      </c>
      <c r="N54" s="546">
        <f t="shared" si="20"/>
        <v>0</v>
      </c>
      <c r="O54" s="546">
        <f t="shared" si="20"/>
        <v>0</v>
      </c>
      <c r="P54" s="546">
        <f t="shared" si="20"/>
        <v>0</v>
      </c>
      <c r="Q54" s="546">
        <f t="shared" si="20"/>
        <v>0</v>
      </c>
      <c r="R54" s="546">
        <f t="shared" si="20"/>
        <v>0</v>
      </c>
      <c r="S54" s="546">
        <f t="shared" si="20"/>
        <v>0</v>
      </c>
      <c r="T54" s="546">
        <f t="shared" si="20"/>
        <v>0</v>
      </c>
      <c r="U54" s="546">
        <f t="shared" si="20"/>
        <v>0</v>
      </c>
      <c r="V54" s="546">
        <f t="shared" si="20"/>
        <v>0</v>
      </c>
      <c r="W54" s="502">
        <f t="shared" si="20"/>
        <v>0</v>
      </c>
      <c r="X54" s="502">
        <f t="shared" si="20"/>
        <v>0</v>
      </c>
      <c r="Y54" s="502">
        <f t="shared" si="20"/>
        <v>0</v>
      </c>
      <c r="Z54" s="502">
        <f t="shared" si="20"/>
        <v>0</v>
      </c>
      <c r="AA54" s="502">
        <f t="shared" si="20"/>
        <v>0</v>
      </c>
      <c r="AB54" s="502">
        <f t="shared" si="20"/>
        <v>0</v>
      </c>
    </row>
    <row r="55" spans="1:28" s="310" customFormat="1" ht="12.75">
      <c r="G55" s="510"/>
      <c r="H55" s="510"/>
      <c r="I55" s="510"/>
      <c r="J55" s="510"/>
      <c r="K55" s="510"/>
      <c r="L55" s="510"/>
      <c r="M55" s="510"/>
      <c r="N55" s="510"/>
      <c r="O55" s="510"/>
      <c r="P55" s="510"/>
      <c r="Q55" s="510"/>
      <c r="R55" s="510"/>
      <c r="S55" s="510"/>
      <c r="T55" s="510"/>
      <c r="U55" s="510"/>
      <c r="V55" s="510"/>
    </row>
    <row r="56" spans="1:28" ht="15.75" thickBot="1">
      <c r="A56" s="551" t="s">
        <v>155</v>
      </c>
      <c r="B56" s="552"/>
      <c r="C56" s="564">
        <f t="shared" ref="C56:AB56" si="21">C54+C52+C43</f>
        <v>19.228999999999999</v>
      </c>
      <c r="D56" s="564">
        <f t="shared" si="21"/>
        <v>9467.2260000000006</v>
      </c>
      <c r="E56" s="564">
        <f t="shared" si="21"/>
        <v>9141.4800000000014</v>
      </c>
      <c r="F56" s="564">
        <f t="shared" si="21"/>
        <v>9742.8825435850413</v>
      </c>
      <c r="G56" s="564">
        <f t="shared" si="21"/>
        <v>9362.0780000000013</v>
      </c>
      <c r="H56" s="564">
        <f t="shared" ca="1" si="21"/>
        <v>9644.0922953968511</v>
      </c>
      <c r="I56" s="564">
        <f t="shared" ca="1" si="21"/>
        <v>9535.4233996684652</v>
      </c>
      <c r="J56" s="564">
        <f t="shared" ca="1" si="21"/>
        <v>9436.0785862417179</v>
      </c>
      <c r="K56" s="564">
        <f t="shared" ca="1" si="21"/>
        <v>9354.5959154202501</v>
      </c>
      <c r="L56" s="564">
        <f t="shared" ca="1" si="21"/>
        <v>9301.4555578356831</v>
      </c>
      <c r="M56" s="564">
        <f t="shared" ca="1" si="21"/>
        <v>9321.7925917496668</v>
      </c>
      <c r="N56" s="564">
        <f t="shared" ca="1" si="21"/>
        <v>9447.8304548787182</v>
      </c>
      <c r="O56" s="564">
        <f t="shared" ca="1" si="21"/>
        <v>9630.0637316058564</v>
      </c>
      <c r="P56" s="564">
        <f t="shared" ca="1" si="21"/>
        <v>9294.1080847632438</v>
      </c>
      <c r="Q56" s="564">
        <f t="shared" ca="1" si="21"/>
        <v>9161.8432614602298</v>
      </c>
      <c r="R56" s="564">
        <f t="shared" ca="1" si="21"/>
        <v>8862.3809758620682</v>
      </c>
      <c r="S56" s="564">
        <f t="shared" ca="1" si="21"/>
        <v>8573.0410224864154</v>
      </c>
      <c r="T56" s="564">
        <f t="shared" ca="1" si="21"/>
        <v>8300.3083318491481</v>
      </c>
      <c r="U56" s="564">
        <f t="shared" ca="1" si="21"/>
        <v>8058.1785518322295</v>
      </c>
      <c r="V56" s="564">
        <f t="shared" ca="1" si="21"/>
        <v>8305.3268571381159</v>
      </c>
      <c r="W56" s="564">
        <f t="shared" ca="1" si="21"/>
        <v>8574.9937383292181</v>
      </c>
      <c r="X56" s="564">
        <f t="shared" ca="1" si="21"/>
        <v>8442.6564670601801</v>
      </c>
      <c r="Y56" s="564">
        <f t="shared" ca="1" si="21"/>
        <v>8734.7835802479894</v>
      </c>
      <c r="Z56" s="564">
        <f t="shared" ca="1" si="21"/>
        <v>9070.3070889433657</v>
      </c>
      <c r="AA56" s="564">
        <f t="shared" ca="1" si="21"/>
        <v>9416.4859679416113</v>
      </c>
      <c r="AB56" s="564">
        <f t="shared" ca="1" si="21"/>
        <v>9835.7591360856786</v>
      </c>
    </row>
    <row r="57" spans="1:28" s="310" customFormat="1" ht="13.5" thickTop="1">
      <c r="D57" s="512"/>
      <c r="E57" s="510"/>
      <c r="F57" s="510"/>
      <c r="G57" s="510"/>
      <c r="H57" s="510"/>
      <c r="I57" s="510"/>
      <c r="J57" s="510"/>
      <c r="K57" s="510"/>
      <c r="L57" s="510"/>
      <c r="M57" s="510"/>
      <c r="N57" s="510"/>
      <c r="O57" s="510"/>
      <c r="P57" s="510"/>
      <c r="Q57" s="510"/>
      <c r="R57" s="510"/>
      <c r="S57" s="510"/>
      <c r="T57" s="510"/>
      <c r="U57" s="510"/>
      <c r="V57" s="510"/>
      <c r="W57" s="510"/>
      <c r="X57" s="510"/>
      <c r="Y57" s="510"/>
      <c r="Z57" s="510"/>
      <c r="AA57" s="510"/>
      <c r="AB57" s="510"/>
    </row>
    <row r="58" spans="1:28" s="310" customFormat="1" ht="15.75">
      <c r="A58" s="558" t="s">
        <v>157</v>
      </c>
      <c r="D58" s="510"/>
      <c r="E58" s="510"/>
      <c r="G58" s="512"/>
    </row>
    <row r="59" spans="1:28" s="310" customFormat="1" ht="15.75">
      <c r="A59" s="558" t="s">
        <v>158</v>
      </c>
      <c r="F59" s="510">
        <f>F61-112.39</f>
        <v>25.758999999999801</v>
      </c>
      <c r="G59" s="510">
        <f t="shared" ref="G59:V59" ca="1" si="22">G61-112.39</f>
        <v>337.59099999999955</v>
      </c>
      <c r="H59" s="510">
        <f t="shared" ca="1" si="22"/>
        <v>579.62124268804405</v>
      </c>
      <c r="I59" s="510">
        <f t="shared" ca="1" si="22"/>
        <v>840.92249607513043</v>
      </c>
      <c r="J59" s="510">
        <f t="shared" ca="1" si="22"/>
        <v>1134.4521848637951</v>
      </c>
      <c r="K59" s="510">
        <f t="shared" ca="1" si="22"/>
        <v>1476.7820095363452</v>
      </c>
      <c r="L59" s="510">
        <f t="shared" ca="1" si="22"/>
        <v>1874.6713895520522</v>
      </c>
      <c r="M59" s="510">
        <f t="shared" ca="1" si="22"/>
        <v>2342.701602926832</v>
      </c>
      <c r="N59" s="510">
        <f t="shared" ca="1" si="22"/>
        <v>2892.6281885751987</v>
      </c>
      <c r="O59" s="510">
        <f t="shared" ca="1" si="22"/>
        <v>3519.0954146470804</v>
      </c>
      <c r="P59" s="510">
        <f t="shared" ca="1" si="22"/>
        <v>3793.5356858275804</v>
      </c>
      <c r="Q59" s="510">
        <f t="shared" ca="1" si="22"/>
        <v>4126.7855746621026</v>
      </c>
      <c r="R59" s="510">
        <f t="shared" ca="1" si="22"/>
        <v>4300.9622091063147</v>
      </c>
      <c r="S59" s="510">
        <f t="shared" ca="1" si="22"/>
        <v>4484.6369471112694</v>
      </c>
      <c r="T59" s="510">
        <f t="shared" ca="1" si="22"/>
        <v>4690.430961770584</v>
      </c>
      <c r="U59" s="510">
        <f t="shared" ca="1" si="22"/>
        <v>4926.0248703566376</v>
      </c>
      <c r="V59" s="510">
        <f t="shared" ca="1" si="22"/>
        <v>5166.51466225272</v>
      </c>
    </row>
    <row r="60" spans="1:28" s="310" customFormat="1" ht="12.75">
      <c r="A60" s="310" t="s">
        <v>159</v>
      </c>
      <c r="C60" s="545">
        <v>2312.4589999999998</v>
      </c>
      <c r="D60" s="545">
        <v>2312.4589999999998</v>
      </c>
      <c r="E60" s="545">
        <v>2312.4589999999998</v>
      </c>
      <c r="F60" s="545">
        <f t="shared" ref="F60:AB60" si="23">E60</f>
        <v>2312.4589999999998</v>
      </c>
      <c r="G60" s="545">
        <f t="shared" si="23"/>
        <v>2312.4589999999998</v>
      </c>
      <c r="H60" s="565">
        <f t="shared" si="23"/>
        <v>2312.4589999999998</v>
      </c>
      <c r="I60" s="565">
        <f t="shared" si="23"/>
        <v>2312.4589999999998</v>
      </c>
      <c r="J60" s="565">
        <f t="shared" si="23"/>
        <v>2312.4589999999998</v>
      </c>
      <c r="K60" s="565">
        <f t="shared" si="23"/>
        <v>2312.4589999999998</v>
      </c>
      <c r="L60" s="565">
        <f t="shared" si="23"/>
        <v>2312.4589999999998</v>
      </c>
      <c r="M60" s="565">
        <f t="shared" si="23"/>
        <v>2312.4589999999998</v>
      </c>
      <c r="N60" s="565">
        <f t="shared" si="23"/>
        <v>2312.4589999999998</v>
      </c>
      <c r="O60" s="565">
        <f t="shared" si="23"/>
        <v>2312.4589999999998</v>
      </c>
      <c r="P60" s="565">
        <f t="shared" si="23"/>
        <v>2312.4589999999998</v>
      </c>
      <c r="Q60" s="565">
        <f t="shared" si="23"/>
        <v>2312.4589999999998</v>
      </c>
      <c r="R60" s="565">
        <f t="shared" si="23"/>
        <v>2312.4589999999998</v>
      </c>
      <c r="S60" s="565">
        <f t="shared" si="23"/>
        <v>2312.4589999999998</v>
      </c>
      <c r="T60" s="565">
        <f t="shared" si="23"/>
        <v>2312.4589999999998</v>
      </c>
      <c r="U60" s="565">
        <f t="shared" si="23"/>
        <v>2312.4589999999998</v>
      </c>
      <c r="V60" s="565">
        <f t="shared" si="23"/>
        <v>2312.4589999999998</v>
      </c>
      <c r="W60" s="545">
        <f t="shared" si="23"/>
        <v>2312.4589999999998</v>
      </c>
      <c r="X60" s="545">
        <f t="shared" si="23"/>
        <v>2312.4589999999998</v>
      </c>
      <c r="Y60" s="545">
        <f t="shared" si="23"/>
        <v>2312.4589999999998</v>
      </c>
      <c r="Z60" s="545">
        <f t="shared" si="23"/>
        <v>2312.4589999999998</v>
      </c>
      <c r="AA60" s="545">
        <f t="shared" si="23"/>
        <v>2312.4589999999998</v>
      </c>
      <c r="AB60" s="545">
        <f t="shared" si="23"/>
        <v>2312.4589999999998</v>
      </c>
    </row>
    <row r="61" spans="1:28" s="310" customFormat="1" ht="12.75">
      <c r="A61" s="310" t="s">
        <v>160</v>
      </c>
      <c r="D61" s="502">
        <v>-175.95500000000001</v>
      </c>
      <c r="E61" s="502">
        <v>-221.58000000000013</v>
      </c>
      <c r="F61" s="546">
        <f>E61+F27</f>
        <v>138.1489999999998</v>
      </c>
      <c r="G61" s="545">
        <f ca="1">F61+G27</f>
        <v>449.98099999999954</v>
      </c>
      <c r="H61" s="616">
        <f ca="1">G61+H27-G63</f>
        <v>692.01124268804404</v>
      </c>
      <c r="I61" s="565">
        <f ca="1">H61+I27-H63</f>
        <v>953.31249607513041</v>
      </c>
      <c r="J61" s="565">
        <f t="shared" ref="J61:AB61" ca="1" si="24">I61+J27</f>
        <v>1246.8421848637952</v>
      </c>
      <c r="K61" s="565">
        <f t="shared" ca="1" si="24"/>
        <v>1589.1720095363453</v>
      </c>
      <c r="L61" s="565">
        <f t="shared" ca="1" si="24"/>
        <v>1987.0613895520523</v>
      </c>
      <c r="M61" s="565">
        <f t="shared" ca="1" si="24"/>
        <v>2455.0916029268319</v>
      </c>
      <c r="N61" s="565">
        <f t="shared" ca="1" si="24"/>
        <v>3005.0181885751986</v>
      </c>
      <c r="O61" s="565">
        <f t="shared" ca="1" si="24"/>
        <v>3631.4854146470802</v>
      </c>
      <c r="P61" s="565">
        <f t="shared" ca="1" si="24"/>
        <v>3905.9256858275803</v>
      </c>
      <c r="Q61" s="565">
        <f t="shared" ca="1" si="24"/>
        <v>4239.1755746621029</v>
      </c>
      <c r="R61" s="565">
        <f t="shared" ca="1" si="24"/>
        <v>4413.3522091063151</v>
      </c>
      <c r="S61" s="565">
        <f t="shared" ca="1" si="24"/>
        <v>4597.0269471112697</v>
      </c>
      <c r="T61" s="565">
        <f t="shared" ca="1" si="24"/>
        <v>4802.8209617705843</v>
      </c>
      <c r="U61" s="565">
        <f t="shared" ca="1" si="24"/>
        <v>5038.4148703566389</v>
      </c>
      <c r="V61" s="565">
        <f t="shared" ca="1" si="24"/>
        <v>5278.9046622527139</v>
      </c>
      <c r="W61" s="512">
        <f t="shared" ca="1" si="24"/>
        <v>5537.1756276504375</v>
      </c>
      <c r="X61" s="512">
        <f t="shared" ca="1" si="24"/>
        <v>5801.5138806715377</v>
      </c>
      <c r="Y61" s="512">
        <f t="shared" ca="1" si="24"/>
        <v>6081.8036423306012</v>
      </c>
      <c r="Z61" s="512">
        <f t="shared" ca="1" si="24"/>
        <v>6400.4988066264696</v>
      </c>
      <c r="AA61" s="512">
        <f t="shared" ca="1" si="24"/>
        <v>6735.0734356947787</v>
      </c>
      <c r="AB61" s="512">
        <f t="shared" ca="1" si="24"/>
        <v>7140.6274895680153</v>
      </c>
    </row>
    <row r="62" spans="1:28">
      <c r="A62" s="548" t="s">
        <v>161</v>
      </c>
      <c r="B62" s="49"/>
      <c r="C62" s="549">
        <f>C60+C61</f>
        <v>2312.4589999999998</v>
      </c>
      <c r="D62" s="549">
        <f t="shared" ref="D62:AB62" si="25">D60+D61</f>
        <v>2136.5039999999999</v>
      </c>
      <c r="E62" s="549">
        <f t="shared" si="25"/>
        <v>2090.8789999999999</v>
      </c>
      <c r="F62" s="549">
        <f t="shared" si="25"/>
        <v>2450.6079999999997</v>
      </c>
      <c r="G62" s="576">
        <f t="shared" ca="1" si="25"/>
        <v>2762.4399999999996</v>
      </c>
      <c r="H62" s="576">
        <f t="shared" ca="1" si="25"/>
        <v>3004.470242688044</v>
      </c>
      <c r="I62" s="576">
        <f t="shared" ca="1" si="25"/>
        <v>3265.77149607513</v>
      </c>
      <c r="J62" s="576">
        <f t="shared" ca="1" si="25"/>
        <v>3559.3011848637952</v>
      </c>
      <c r="K62" s="576">
        <f t="shared" ca="1" si="25"/>
        <v>3901.6310095363451</v>
      </c>
      <c r="L62" s="576">
        <f t="shared" ca="1" si="25"/>
        <v>4299.5203895520517</v>
      </c>
      <c r="M62" s="576">
        <f t="shared" ca="1" si="25"/>
        <v>4767.5506029268317</v>
      </c>
      <c r="N62" s="576">
        <f t="shared" ca="1" si="25"/>
        <v>5317.4771885751979</v>
      </c>
      <c r="O62" s="576">
        <f t="shared" ca="1" si="25"/>
        <v>5943.9444146470796</v>
      </c>
      <c r="P62" s="576">
        <f t="shared" ca="1" si="25"/>
        <v>6218.3846858275801</v>
      </c>
      <c r="Q62" s="576">
        <f t="shared" ca="1" si="25"/>
        <v>6551.6345746621028</v>
      </c>
      <c r="R62" s="576">
        <f t="shared" ca="1" si="25"/>
        <v>6725.8112091063149</v>
      </c>
      <c r="S62" s="576">
        <f t="shared" ca="1" si="25"/>
        <v>6909.4859471112695</v>
      </c>
      <c r="T62" s="576">
        <f t="shared" ca="1" si="25"/>
        <v>7115.2799617705841</v>
      </c>
      <c r="U62" s="576">
        <f t="shared" ca="1" si="25"/>
        <v>7350.8738703566387</v>
      </c>
      <c r="V62" s="576">
        <f t="shared" ca="1" si="25"/>
        <v>7591.3636622527138</v>
      </c>
      <c r="W62" s="549">
        <f t="shared" ca="1" si="25"/>
        <v>7849.6346276504373</v>
      </c>
      <c r="X62" s="549">
        <f t="shared" ca="1" si="25"/>
        <v>8113.9728806715375</v>
      </c>
      <c r="Y62" s="549">
        <f t="shared" ca="1" si="25"/>
        <v>8394.262642330601</v>
      </c>
      <c r="Z62" s="549">
        <f t="shared" ca="1" si="25"/>
        <v>8712.9578066264694</v>
      </c>
      <c r="AA62" s="549">
        <f t="shared" ca="1" si="25"/>
        <v>9047.5324356947785</v>
      </c>
      <c r="AB62" s="549">
        <f t="shared" ca="1" si="25"/>
        <v>9453.0864895680152</v>
      </c>
    </row>
    <row r="63" spans="1:28" s="310" customFormat="1" ht="12.75">
      <c r="A63" s="618" t="s">
        <v>728</v>
      </c>
      <c r="F63" s="510"/>
      <c r="G63" s="617">
        <f>200*0</f>
        <v>0</v>
      </c>
      <c r="H63" s="617">
        <f>200*0</f>
        <v>0</v>
      </c>
      <c r="I63" s="565"/>
      <c r="J63" s="565"/>
      <c r="K63" s="565"/>
      <c r="L63" s="565"/>
      <c r="M63" s="565"/>
      <c r="N63" s="565"/>
      <c r="O63" s="565"/>
      <c r="P63" s="565"/>
      <c r="Q63" s="565"/>
      <c r="R63" s="565"/>
      <c r="S63" s="565"/>
      <c r="T63" s="565"/>
      <c r="U63" s="565"/>
      <c r="V63" s="565"/>
    </row>
    <row r="64" spans="1:28" s="310" customFormat="1" ht="15.75">
      <c r="A64" s="558" t="s">
        <v>162</v>
      </c>
      <c r="E64" s="512"/>
      <c r="F64" s="510"/>
      <c r="G64" s="565"/>
      <c r="H64" s="565"/>
      <c r="I64" s="565"/>
      <c r="J64" s="565"/>
      <c r="K64" s="565"/>
      <c r="L64" s="565"/>
      <c r="M64" s="565"/>
      <c r="N64" s="565"/>
      <c r="O64" s="565"/>
      <c r="P64" s="565"/>
      <c r="Q64" s="565"/>
      <c r="R64" s="565"/>
      <c r="S64" s="565"/>
      <c r="T64" s="565"/>
      <c r="U64" s="565"/>
      <c r="V64" s="565"/>
    </row>
    <row r="65" spans="1:28" s="310" customFormat="1" ht="15.75">
      <c r="A65" s="558" t="s">
        <v>163</v>
      </c>
      <c r="F65" s="514"/>
      <c r="G65" s="565"/>
      <c r="H65" s="565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</row>
    <row r="66" spans="1:28" s="310" customFormat="1" ht="12.75">
      <c r="A66" s="310" t="s">
        <v>164</v>
      </c>
      <c r="D66" s="502">
        <v>5745.2550000000001</v>
      </c>
      <c r="E66" s="502">
        <v>5544.509</v>
      </c>
      <c r="F66" s="502">
        <v>5704.5</v>
      </c>
      <c r="G66" s="577">
        <v>5513.84</v>
      </c>
      <c r="H66" s="567">
        <f ca="1">IFERROR(HLOOKUP(H6,'Finance Cost'!$D$6:$BS$23,18,FALSE),0)+IFERROR(HLOOKUP(H6,'FGD Phasing'!$E$22:$AC$79,58,FALSE),0)+IFERROR(HLOOKUP(H6,'FGD Phasing'!$D$83:$CU$90,8,FALSE),0)-H74-IFERROR(HLOOKUP(H6,'Finance Cost'!F6:BU32,27,FALSE),0)</f>
        <v>5571.4968176185121</v>
      </c>
      <c r="I66" s="567">
        <f ca="1">IFERROR(HLOOKUP(I6,'Finance Cost'!$D$6:$BS$23,18,FALSE),0)+IFERROR(HLOOKUP(I6,'FGD Phasing'!$E$22:$AC$79,58,FALSE),0)+IFERROR(HLOOKUP(I6,'FGD Phasing'!$D$83:$CU$90,8,FALSE),0)-I74-IFERROR(HLOOKUP(I6,'Finance Cost'!G6:BV32,27,FALSE),0)</f>
        <v>5118.7047037035027</v>
      </c>
      <c r="J66" s="567">
        <f ca="1">IFERROR(HLOOKUP(J6,'Finance Cost'!$D$6:$BS$23,18,FALSE),0)+IFERROR(HLOOKUP(J6,'FGD Phasing'!$E$22:$AC$79,58,FALSE),0)+IFERROR(HLOOKUP(J6,'FGD Phasing'!$D$83:$CU$90,8,FALSE),0)-J74-IFERROR(HLOOKUP(J6,'Finance Cost'!H6:BW32,27,FALSE),0)</f>
        <v>4688.9742675767229</v>
      </c>
      <c r="K66" s="567">
        <f ca="1">IFERROR(HLOOKUP(K6,'Finance Cost'!$D$6:$BS$23,18,FALSE),0)+IFERROR(HLOOKUP(K6,'FGD Phasing'!$E$22:$AC$79,58,FALSE),0)+IFERROR(HLOOKUP(K6,'FGD Phasing'!$D$83:$CU$90,8,FALSE),0)-K74-IFERROR(HLOOKUP(K6,'Finance Cost'!I6:BX32,27,FALSE),0)</f>
        <v>4229.8372033976048</v>
      </c>
      <c r="L66" s="567">
        <f ca="1">IFERROR(HLOOKUP(L6,'Finance Cost'!$D$6:$BS$23,18,FALSE),0)+IFERROR(HLOOKUP(L6,'FGD Phasing'!$E$22:$AC$79,58,FALSE),0)+IFERROR(HLOOKUP(L6,'FGD Phasing'!$D$83:$CU$90,8,FALSE),0)-L74-IFERROR(HLOOKUP(L6,'Finance Cost'!J6:BY32,27,FALSE),0)</f>
        <v>3772.291586294737</v>
      </c>
      <c r="M66" s="567">
        <f ca="1">IFERROR(HLOOKUP(M6,'Finance Cost'!$D$6:$BS$23,18,FALSE),0)+IFERROR(HLOOKUP(M6,'FGD Phasing'!$E$22:$AC$79,58,FALSE),0)+IFERROR(HLOOKUP(M6,'FGD Phasing'!$D$83:$CU$90,8,FALSE),0)-M74-IFERROR(HLOOKUP(M6,'Finance Cost'!K6:BZ32,27,FALSE),0)</f>
        <v>3335.2512110524194</v>
      </c>
      <c r="N66" s="567">
        <f ca="1">IFERROR(HLOOKUP(N6,'Finance Cost'!$D$6:$BS$23,18,FALSE),0)+IFERROR(HLOOKUP(N6,'FGD Phasing'!$E$22:$AC$79,58,FALSE),0)+IFERROR(HLOOKUP(N6,'FGD Phasing'!$D$83:$CU$90,8,FALSE),0)-N74-IFERROR(HLOOKUP(N6,'Finance Cost'!L6:CA32,27,FALSE),0)</f>
        <v>2880.7392913812273</v>
      </c>
      <c r="O66" s="567">
        <f ca="1">IFERROR(HLOOKUP(O6,'Finance Cost'!$D$6:$BS$23,18,FALSE),0)+IFERROR(HLOOKUP(O6,'FGD Phasing'!$E$22:$AC$79,58,FALSE),0)+IFERROR(HLOOKUP(O6,'FGD Phasing'!$D$83:$CU$90,8,FALSE),0)-O74-IFERROR(HLOOKUP(O6,'Finance Cost'!M6:CB32,27,FALSE),0)</f>
        <v>2398.441465680045</v>
      </c>
      <c r="P66" s="567">
        <f ca="1">IFERROR(HLOOKUP(P6,'Finance Cost'!$D$6:$BS$23,18,FALSE),0)+IFERROR(HLOOKUP(P6,'FGD Phasing'!$E$22:$AC$79,58,FALSE),0)+IFERROR(HLOOKUP(P6,'FGD Phasing'!$D$83:$CU$90,8,FALSE),0)-P74-IFERROR(HLOOKUP(P6,'Finance Cost'!N6:CC32,27,FALSE),0)</f>
        <v>1924.725769669654</v>
      </c>
      <c r="Q66" s="567">
        <f ca="1">IFERROR(HLOOKUP(Q6,'Finance Cost'!$D$6:$BS$23,18,FALSE),0)+IFERROR(HLOOKUP(Q6,'FGD Phasing'!$E$22:$AC$79,58,FALSE),0)+IFERROR(HLOOKUP(Q6,'FGD Phasing'!$D$83:$CU$90,8,FALSE),0)-Q74-IFERROR(HLOOKUP(Q6,'Finance Cost'!O6:CD32,27,FALSE),0)</f>
        <v>1450.739336141665</v>
      </c>
      <c r="R66" s="567">
        <f ca="1">IFERROR(HLOOKUP(R6,'Finance Cost'!$D$6:$BS$23,18,FALSE),0)+IFERROR(HLOOKUP(R6,'FGD Phasing'!$E$22:$AC$79,58,FALSE),0)+IFERROR(HLOOKUP(R6,'FGD Phasing'!$D$83:$CU$90,8,FALSE),0)-R74-IFERROR(HLOOKUP(R6,'Finance Cost'!P6:CE32,27,FALSE),0)</f>
        <v>973.68429483923489</v>
      </c>
      <c r="S66" s="567">
        <f ca="1">IFERROR(HLOOKUP(S6,'Finance Cost'!$D$6:$BS$23,18,FALSE),0)+IFERROR(HLOOKUP(S6,'FGD Phasing'!$E$22:$AC$79,58,FALSE),0)+IFERROR(HLOOKUP(S6,'FGD Phasing'!$D$83:$CU$90,8,FALSE),0)-S74-IFERROR(HLOOKUP(S6,'Finance Cost'!Q6:CF32,27,FALSE),0)</f>
        <v>487.95713189933872</v>
      </c>
      <c r="T66" s="567">
        <f ca="1">IFERROR(HLOOKUP(T6,'Finance Cost'!$D$6:$BS$23,18,FALSE),0)+IFERROR(HLOOKUP(T6,'FGD Phasing'!$E$22:$AC$79,58,FALSE),0)+IFERROR(HLOOKUP(T6,'FGD Phasing'!$D$83:$CU$90,8,FALSE),0)-T74-IFERROR(HLOOKUP(T6,'Finance Cost'!R6:CG32,27,FALSE),0)</f>
        <v>2.7580689202748396</v>
      </c>
      <c r="U66" s="567">
        <f ca="1">IFERROR(HLOOKUP(U6,'Finance Cost'!$D$6:$BS$23,18,FALSE),0)+IFERROR(HLOOKUP(U6,'FGD Phasing'!$E$22:$AC$79,58,FALSE),0)+IFERROR(HLOOKUP(U6,'FGD Phasing'!$D$83:$CU$90,8,FALSE),0)-U74-IFERROR(HLOOKUP(U6,'Finance Cost'!S6:CH32,27,FALSE),0)</f>
        <v>1.9184653865522705E-13</v>
      </c>
      <c r="V66" s="567">
        <f ca="1">IFERROR(HLOOKUP(V6,'Finance Cost'!$D$6:$BS$23,18,FALSE),0)+IFERROR(HLOOKUP(V6,'FGD Phasing'!$E$22:$AC$79,58,FALSE),0)+IFERROR(HLOOKUP(V6,'FGD Phasing'!$D$83:$CU$90,8,FALSE),0)-V74-IFERROR(HLOOKUP(V6,'Finance Cost'!T6:CI32,27,FALSE),0)</f>
        <v>1.9184653865522705E-13</v>
      </c>
      <c r="W66" s="502">
        <f ca="1">IFERROR(HLOOKUP(W6,'Finance Cost'!$D$6:$BS$23,18,FALSE),0)+IFERROR(HLOOKUP(W6,'FGD Phasing'!$E$22:$AC$79,58,FALSE),0)+IFERROR(HLOOKUP(W6,'FGD Phasing'!$D$83:$CU$90,8,FALSE),0)-W74-IFERROR(HLOOKUP(W6,'Finance Cost'!U6:CJ32,27,FALSE),0)</f>
        <v>1.9184653865522705E-13</v>
      </c>
      <c r="X66" s="502">
        <f ca="1">IFERROR(HLOOKUP(X6,'Finance Cost'!$D$6:$BS$23,18,FALSE),0)+IFERROR(HLOOKUP(X6,'FGD Phasing'!$E$22:$AC$79,58,FALSE),0)+IFERROR(HLOOKUP(X6,'FGD Phasing'!$D$83:$CU$90,8,FALSE),0)-X74-IFERROR(HLOOKUP(X6,'Finance Cost'!V6:CK32,27,FALSE),0)</f>
        <v>1.9184653865522705E-13</v>
      </c>
      <c r="Y66" s="502">
        <f ca="1">IFERROR(HLOOKUP(Y6,'Finance Cost'!$D$6:$BS$23,18,FALSE),0)+IFERROR(HLOOKUP(Y6,'FGD Phasing'!$E$22:$AC$79,58,FALSE),0)+IFERROR(HLOOKUP(Y6,'FGD Phasing'!$D$83:$CU$90,8,FALSE),0)-Y74-IFERROR(HLOOKUP(Y6,'Finance Cost'!W6:CL32,27,FALSE),0)</f>
        <v>1.9184653865522705E-13</v>
      </c>
      <c r="Z66" s="502">
        <f>IFERROR(HLOOKUP(Z6,'Finance Cost'!$D$6:$BS$23,18,FALSE),0)+IFERROR(HLOOKUP(Z6,'FGD Phasing'!$E$22:$AC$79,58,FALSE),0)+IFERROR(HLOOKUP(Z6,'FGD Phasing'!$D$83:$CU$90,8,FALSE),0)-Z74-IFERROR(HLOOKUP(Z6,'Finance Cost'!X6:CM32,27,FALSE),0)</f>
        <v>0</v>
      </c>
      <c r="AA66" s="502">
        <f>IFERROR(HLOOKUP(AA6,'Finance Cost'!$D$6:$BS$23,18,FALSE),0)+IFERROR(HLOOKUP(AA6,'FGD Phasing'!$E$22:$AC$79,58,FALSE),0)+IFERROR(HLOOKUP(AA6,'FGD Phasing'!$D$83:$CU$90,8,FALSE),0)-AA74-IFERROR(HLOOKUP(AA6,'Finance Cost'!Y6:CN32,27,FALSE),0)</f>
        <v>0</v>
      </c>
      <c r="AB66" s="502">
        <f>IFERROR(HLOOKUP(AB6,'Finance Cost'!$D$6:$BS$23,18,FALSE),0)+IFERROR(HLOOKUP(AB6,'FGD Phasing'!$E$22:$AC$79,58,FALSE),0)+IFERROR(HLOOKUP(AB6,'FGD Phasing'!$D$83:$CU$90,8,FALSE),0)-AB74-IFERROR(HLOOKUP(AB6,'Finance Cost'!Z6:CO32,27,FALSE),0)</f>
        <v>0</v>
      </c>
    </row>
    <row r="67" spans="1:28" s="310" customFormat="1" ht="12.75">
      <c r="A67" s="310" t="s">
        <v>166</v>
      </c>
      <c r="D67" s="502">
        <f>253.446+0.697</f>
        <v>254.143</v>
      </c>
      <c r="E67" s="502">
        <v>113.349</v>
      </c>
      <c r="F67" s="502">
        <v>108.434</v>
      </c>
      <c r="G67" s="545">
        <v>197.5</v>
      </c>
      <c r="H67" s="565">
        <f t="shared" ref="H67:AB67" si="26">G67</f>
        <v>197.5</v>
      </c>
      <c r="I67" s="565">
        <f t="shared" si="26"/>
        <v>197.5</v>
      </c>
      <c r="J67" s="565">
        <f t="shared" si="26"/>
        <v>197.5</v>
      </c>
      <c r="K67" s="565">
        <f t="shared" si="26"/>
        <v>197.5</v>
      </c>
      <c r="L67" s="565">
        <f t="shared" si="26"/>
        <v>197.5</v>
      </c>
      <c r="M67" s="565">
        <f t="shared" si="26"/>
        <v>197.5</v>
      </c>
      <c r="N67" s="565">
        <f t="shared" si="26"/>
        <v>197.5</v>
      </c>
      <c r="O67" s="565">
        <f t="shared" si="26"/>
        <v>197.5</v>
      </c>
      <c r="P67" s="565">
        <f t="shared" si="26"/>
        <v>197.5</v>
      </c>
      <c r="Q67" s="565">
        <f t="shared" si="26"/>
        <v>197.5</v>
      </c>
      <c r="R67" s="565">
        <f t="shared" si="26"/>
        <v>197.5</v>
      </c>
      <c r="S67" s="565">
        <f t="shared" si="26"/>
        <v>197.5</v>
      </c>
      <c r="T67" s="565">
        <f t="shared" si="26"/>
        <v>197.5</v>
      </c>
      <c r="U67" s="565">
        <f t="shared" si="26"/>
        <v>197.5</v>
      </c>
      <c r="V67" s="565">
        <f t="shared" si="26"/>
        <v>197.5</v>
      </c>
      <c r="W67" s="512">
        <f t="shared" si="26"/>
        <v>197.5</v>
      </c>
      <c r="X67" s="512">
        <f t="shared" si="26"/>
        <v>197.5</v>
      </c>
      <c r="Y67" s="512">
        <f t="shared" si="26"/>
        <v>197.5</v>
      </c>
      <c r="Z67" s="512">
        <f t="shared" si="26"/>
        <v>197.5</v>
      </c>
      <c r="AA67" s="512">
        <f t="shared" si="26"/>
        <v>197.5</v>
      </c>
      <c r="AB67" s="512">
        <f t="shared" si="26"/>
        <v>197.5</v>
      </c>
    </row>
    <row r="68" spans="1:28" s="310" customFormat="1" ht="12.75">
      <c r="A68" s="310" t="s">
        <v>165</v>
      </c>
      <c r="D68" s="502">
        <v>2.7970000000000002</v>
      </c>
      <c r="E68" s="509">
        <v>3.8130000000000002</v>
      </c>
      <c r="F68" s="511">
        <v>18.79</v>
      </c>
      <c r="G68" s="509">
        <v>19.399999999999999</v>
      </c>
      <c r="H68" s="567">
        <v>0</v>
      </c>
      <c r="I68" s="567">
        <v>0</v>
      </c>
      <c r="J68" s="567">
        <v>0</v>
      </c>
      <c r="K68" s="567">
        <v>0</v>
      </c>
      <c r="L68" s="567">
        <v>0</v>
      </c>
      <c r="M68" s="567">
        <v>0</v>
      </c>
      <c r="N68" s="567">
        <v>0</v>
      </c>
      <c r="O68" s="567">
        <v>0</v>
      </c>
      <c r="P68" s="567">
        <v>0</v>
      </c>
      <c r="Q68" s="567">
        <v>0</v>
      </c>
      <c r="R68" s="567">
        <v>0</v>
      </c>
      <c r="S68" s="567">
        <v>0</v>
      </c>
      <c r="T68" s="567">
        <v>0</v>
      </c>
      <c r="U68" s="567">
        <v>0</v>
      </c>
      <c r="V68" s="567">
        <v>0</v>
      </c>
      <c r="W68" s="514">
        <v>0</v>
      </c>
      <c r="X68" s="514">
        <v>0</v>
      </c>
      <c r="Y68" s="514">
        <v>0</v>
      </c>
      <c r="Z68" s="514">
        <v>0</v>
      </c>
      <c r="AA68" s="514">
        <v>0</v>
      </c>
      <c r="AB68" s="514">
        <v>0</v>
      </c>
    </row>
    <row r="69" spans="1:28">
      <c r="A69" s="548" t="s">
        <v>168</v>
      </c>
      <c r="B69" s="49"/>
      <c r="C69" s="549">
        <f>SUM(C66:C68)</f>
        <v>0</v>
      </c>
      <c r="D69" s="549">
        <f t="shared" ref="D69:AB69" si="27">SUM(D66:D68)</f>
        <v>6002.1949999999997</v>
      </c>
      <c r="E69" s="562">
        <f t="shared" si="27"/>
        <v>5661.6710000000003</v>
      </c>
      <c r="F69" s="562">
        <f t="shared" si="27"/>
        <v>5831.7240000000002</v>
      </c>
      <c r="G69" s="576">
        <f t="shared" si="27"/>
        <v>5730.74</v>
      </c>
      <c r="H69" s="576">
        <f t="shared" ca="1" si="27"/>
        <v>5768.9968176185121</v>
      </c>
      <c r="I69" s="576">
        <f t="shared" ca="1" si="27"/>
        <v>5316.2047037035027</v>
      </c>
      <c r="J69" s="576">
        <f t="shared" ca="1" si="27"/>
        <v>4886.4742675767229</v>
      </c>
      <c r="K69" s="576">
        <f t="shared" ca="1" si="27"/>
        <v>4427.3372033976048</v>
      </c>
      <c r="L69" s="576">
        <f t="shared" ca="1" si="27"/>
        <v>3969.791586294737</v>
      </c>
      <c r="M69" s="576">
        <f t="shared" ca="1" si="27"/>
        <v>3532.7512110524194</v>
      </c>
      <c r="N69" s="576">
        <f t="shared" ca="1" si="27"/>
        <v>3078.2392913812273</v>
      </c>
      <c r="O69" s="576">
        <f t="shared" ca="1" si="27"/>
        <v>2595.941465680045</v>
      </c>
      <c r="P69" s="576">
        <f t="shared" ca="1" si="27"/>
        <v>2122.2257696696543</v>
      </c>
      <c r="Q69" s="576">
        <f t="shared" ca="1" si="27"/>
        <v>1648.239336141665</v>
      </c>
      <c r="R69" s="576">
        <f t="shared" ca="1" si="27"/>
        <v>1171.184294839235</v>
      </c>
      <c r="S69" s="576">
        <f t="shared" ca="1" si="27"/>
        <v>685.45713189933872</v>
      </c>
      <c r="T69" s="576">
        <f t="shared" ca="1" si="27"/>
        <v>200.25806892027484</v>
      </c>
      <c r="U69" s="576">
        <f t="shared" ca="1" si="27"/>
        <v>197.5000000000002</v>
      </c>
      <c r="V69" s="576">
        <f t="shared" ca="1" si="27"/>
        <v>197.5000000000002</v>
      </c>
      <c r="W69" s="549">
        <f t="shared" ca="1" si="27"/>
        <v>197.5000000000002</v>
      </c>
      <c r="X69" s="549">
        <f t="shared" ca="1" si="27"/>
        <v>197.5000000000002</v>
      </c>
      <c r="Y69" s="549">
        <f t="shared" ca="1" si="27"/>
        <v>197.5000000000002</v>
      </c>
      <c r="Z69" s="549">
        <f t="shared" si="27"/>
        <v>197.5</v>
      </c>
      <c r="AA69" s="549">
        <f t="shared" si="27"/>
        <v>197.5</v>
      </c>
      <c r="AB69" s="549">
        <f t="shared" si="27"/>
        <v>197.5</v>
      </c>
    </row>
    <row r="70" spans="1:28" s="310" customFormat="1" ht="12.75">
      <c r="D70" s="568"/>
      <c r="E70" s="175"/>
      <c r="F70" s="175"/>
      <c r="G70" s="565"/>
      <c r="H70" s="565"/>
      <c r="I70" s="565"/>
      <c r="J70" s="565"/>
      <c r="K70" s="565"/>
      <c r="L70" s="565"/>
      <c r="M70" s="565"/>
      <c r="N70" s="565"/>
      <c r="O70" s="565"/>
      <c r="P70" s="565"/>
      <c r="Q70" s="565"/>
      <c r="R70" s="565"/>
      <c r="S70" s="565"/>
      <c r="T70" s="565"/>
      <c r="U70" s="565"/>
      <c r="V70" s="565"/>
    </row>
    <row r="71" spans="1:28" s="310" customFormat="1" ht="15.75">
      <c r="A71" s="558" t="s">
        <v>167</v>
      </c>
      <c r="D71" s="568"/>
      <c r="E71" s="175"/>
      <c r="F71" s="563"/>
      <c r="G71" s="545"/>
      <c r="H71" s="565"/>
      <c r="I71" s="565"/>
      <c r="J71" s="565"/>
      <c r="K71" s="565"/>
      <c r="L71" s="565"/>
      <c r="M71" s="565"/>
      <c r="N71" s="565"/>
      <c r="O71" s="565"/>
      <c r="P71" s="565"/>
      <c r="Q71" s="565"/>
      <c r="R71" s="565"/>
      <c r="S71" s="565"/>
      <c r="T71" s="565"/>
      <c r="U71" s="565"/>
      <c r="V71" s="565"/>
    </row>
    <row r="72" spans="1:28" s="310" customFormat="1" ht="12.75">
      <c r="A72" s="310" t="s">
        <v>164</v>
      </c>
      <c r="D72" s="502">
        <v>716.74900000000002</v>
      </c>
      <c r="E72" s="509">
        <v>722.00200000000007</v>
      </c>
      <c r="F72" s="509">
        <f>601.4</f>
        <v>601.4</v>
      </c>
      <c r="G72" s="545">
        <v>390.29500000000002</v>
      </c>
      <c r="H72" s="565">
        <f ca="1">'Finance Cost'!H72</f>
        <v>544.83434020124082</v>
      </c>
      <c r="I72" s="565">
        <f ca="1">'Finance Cost'!I72</f>
        <v>550.17581011172547</v>
      </c>
      <c r="J72" s="565">
        <f ca="1">'Finance Cost'!J72</f>
        <v>558.53149402309259</v>
      </c>
      <c r="K72" s="565">
        <f ca="1">'Finance Cost'!K72</f>
        <v>564.6914127081925</v>
      </c>
      <c r="L72" s="565">
        <f ca="1">'Finance Cost'!L72</f>
        <v>573.04871848852417</v>
      </c>
      <c r="M72" s="565">
        <f ca="1">'Finance Cost'!M72</f>
        <v>583.16199310325555</v>
      </c>
      <c r="N72" s="565">
        <f ca="1">'Finance Cost'!N72</f>
        <v>596.55019025513423</v>
      </c>
      <c r="O72" s="565">
        <f ca="1">'Finance Cost'!O72</f>
        <v>607.07191405610035</v>
      </c>
      <c r="P72" s="565">
        <f ca="1">'Finance Cost'!P72</f>
        <v>479.23573437695768</v>
      </c>
      <c r="Q72" s="565">
        <f ca="1">'Finance Cost'!Q72</f>
        <v>487.70745576740893</v>
      </c>
      <c r="R72" s="565">
        <f ca="1">'Finance Cost'!R72</f>
        <v>488.32405330520169</v>
      </c>
      <c r="S72" s="565">
        <f ca="1">'Finance Cost'!S72</f>
        <v>492.63795369770065</v>
      </c>
      <c r="T72" s="565">
        <f ca="1">'Finance Cost'!T72</f>
        <v>500.10972860244271</v>
      </c>
      <c r="U72" s="565">
        <f ca="1">'Finance Cost'!U72</f>
        <v>507.91815775332793</v>
      </c>
      <c r="V72" s="565">
        <f ca="1">'Finance Cost'!V72</f>
        <v>517.37619488538883</v>
      </c>
      <c r="W72" s="545">
        <f ca="1">'Finance Cost'!W72</f>
        <v>528.77211067889539</v>
      </c>
      <c r="X72" s="545">
        <f ca="1">'Finance Cost'!X72</f>
        <v>540.09658638778069</v>
      </c>
      <c r="Y72" s="545">
        <f ca="1">'Finance Cost'!Y72</f>
        <v>551.93393792323104</v>
      </c>
      <c r="Z72" s="545">
        <f ca="1">'Finance Cost'!Z72</f>
        <v>568.76228228087791</v>
      </c>
      <c r="AA72" s="545">
        <f ca="1">'Finance Cost'!AA72</f>
        <v>580.3665324502357</v>
      </c>
      <c r="AB72" s="545">
        <f ca="1">'Finance Cost'!AB72</f>
        <v>594.08564544720639</v>
      </c>
    </row>
    <row r="73" spans="1:28" s="310" customFormat="1" ht="12.75">
      <c r="A73" s="310" t="s">
        <v>173</v>
      </c>
      <c r="D73" s="502">
        <f>7330.722-D69-D72-D74-D75</f>
        <v>198.67749730836917</v>
      </c>
      <c r="E73" s="509">
        <v>260.35599999999999</v>
      </c>
      <c r="F73" s="509">
        <f>0.116+7.645+1.15+136.196+5.586+152.566</f>
        <v>303.25900000000001</v>
      </c>
      <c r="G73" s="577">
        <v>228.39599999999999</v>
      </c>
      <c r="H73" s="567">
        <f ca="1">'Finance Cost'!H74</f>
        <v>0</v>
      </c>
      <c r="I73" s="567">
        <f ca="1">'Finance Cost'!I74</f>
        <v>0</v>
      </c>
      <c r="J73" s="567">
        <f ca="1">'Finance Cost'!J74</f>
        <v>0</v>
      </c>
      <c r="K73" s="567">
        <f ca="1">'Finance Cost'!K74</f>
        <v>0</v>
      </c>
      <c r="L73" s="567">
        <f ca="1">'Finance Cost'!L74</f>
        <v>0</v>
      </c>
      <c r="M73" s="567">
        <f ca="1">'Finance Cost'!M74</f>
        <v>0</v>
      </c>
      <c r="N73" s="567">
        <f ca="1">'Finance Cost'!N74</f>
        <v>0</v>
      </c>
      <c r="O73" s="567">
        <f ca="1">'Finance Cost'!O74</f>
        <v>0</v>
      </c>
      <c r="P73" s="567">
        <f ca="1">'Finance Cost'!P74</f>
        <v>0</v>
      </c>
      <c r="Q73" s="567">
        <f ca="1">'Finance Cost'!Q74</f>
        <v>0</v>
      </c>
      <c r="R73" s="567">
        <f ca="1">'Finance Cost'!R74</f>
        <v>0</v>
      </c>
      <c r="S73" s="567">
        <f ca="1">'Finance Cost'!S74</f>
        <v>0</v>
      </c>
      <c r="T73" s="567">
        <f ca="1">'Finance Cost'!T74</f>
        <v>0</v>
      </c>
      <c r="U73" s="567">
        <f ca="1">'Finance Cost'!U74</f>
        <v>0</v>
      </c>
      <c r="V73" s="567">
        <f ca="1">'Finance Cost'!V74</f>
        <v>0</v>
      </c>
      <c r="W73" s="502">
        <f ca="1">'Finance Cost'!W74</f>
        <v>0</v>
      </c>
      <c r="X73" s="502">
        <f ca="1">'Finance Cost'!X74</f>
        <v>0</v>
      </c>
      <c r="Y73" s="502">
        <f ca="1">'Finance Cost'!Y74</f>
        <v>0</v>
      </c>
      <c r="Z73" s="502">
        <f ca="1">'Finance Cost'!Z74</f>
        <v>0</v>
      </c>
      <c r="AA73" s="502">
        <f ca="1">'Finance Cost'!AA74</f>
        <v>0</v>
      </c>
      <c r="AB73" s="502">
        <f ca="1">'Finance Cost'!AB74</f>
        <v>0</v>
      </c>
    </row>
    <row r="74" spans="1:28" s="310" customFormat="1" ht="12.75">
      <c r="A74" s="310" t="s">
        <v>175</v>
      </c>
      <c r="D74" s="502">
        <v>189.95450269163089</v>
      </c>
      <c r="E74" s="509">
        <v>190.61799999999999</v>
      </c>
      <c r="F74" s="509">
        <f>130.744</f>
        <v>130.744</v>
      </c>
      <c r="G74" s="577">
        <v>248.53</v>
      </c>
      <c r="H74" s="567">
        <f ca="1">-I107</f>
        <v>326.70389488905289</v>
      </c>
      <c r="I74" s="567">
        <f ca="1">-J107</f>
        <v>404.1843897781057</v>
      </c>
      <c r="J74" s="567">
        <f t="shared" ref="J74:V74" ca="1" si="28">-K107</f>
        <v>432.68463977810575</v>
      </c>
      <c r="K74" s="567">
        <f t="shared" ca="1" si="28"/>
        <v>461.8492897781058</v>
      </c>
      <c r="L74" s="567">
        <f t="shared" ca="1" si="28"/>
        <v>460.00786350036901</v>
      </c>
      <c r="M74" s="567">
        <f t="shared" ca="1" si="28"/>
        <v>439.24178466715864</v>
      </c>
      <c r="N74" s="567">
        <f t="shared" ca="1" si="28"/>
        <v>456.47678466715865</v>
      </c>
      <c r="O74" s="567">
        <f t="shared" ca="1" si="28"/>
        <v>484.01893722263225</v>
      </c>
      <c r="P74" s="567">
        <f t="shared" ca="1" si="28"/>
        <v>475.17489488905289</v>
      </c>
      <c r="Q74" s="567">
        <f t="shared" ca="1" si="28"/>
        <v>475.17489488905289</v>
      </c>
      <c r="R74" s="567">
        <f t="shared" ca="1" si="28"/>
        <v>477.97441861131614</v>
      </c>
      <c r="S74" s="567">
        <f t="shared" ca="1" si="28"/>
        <v>486.37298977810576</v>
      </c>
      <c r="T74" s="567">
        <f t="shared" ca="1" si="28"/>
        <v>485.573572555846</v>
      </c>
      <c r="U74" s="567">
        <f t="shared" ca="1" si="28"/>
        <v>2.7995237222632205</v>
      </c>
      <c r="V74" s="567">
        <f t="shared" ca="1" si="28"/>
        <v>0</v>
      </c>
      <c r="W74" s="502">
        <f>SUMIF('Finance Cost'!V7:CL7,X7,'Finance Cost'!V12:CL12)+SUMIF('Finance Cost'!V7:CL7,X7,'Finance Cost'!V20:CL20)</f>
        <v>0</v>
      </c>
      <c r="X74" s="502">
        <f>SUMIF('Finance Cost'!W7:CM7,Y7,'Finance Cost'!W12:CM12)+SUMIF('Finance Cost'!W7:CM7,Y7,'Finance Cost'!W20:CM20)</f>
        <v>0</v>
      </c>
      <c r="Y74" s="502">
        <f>SUMIF('Finance Cost'!X7:CN7,Z7,'Finance Cost'!X12:CN12)+SUMIF('Finance Cost'!X7:CN7,Z7,'Finance Cost'!X20:CN20)</f>
        <v>0</v>
      </c>
      <c r="Z74" s="502">
        <f>SUMIF('Finance Cost'!Y7:CO7,AA7,'Finance Cost'!Y12:CO12)+SUMIF('Finance Cost'!Y7:CO7,AA7,'Finance Cost'!Y20:CO20)</f>
        <v>0</v>
      </c>
      <c r="AA74" s="502">
        <f>SUMIF('Finance Cost'!Z7:CP7,AB7,'Finance Cost'!Z12:CP12)+SUMIF('Finance Cost'!Z7:CP7,AB7,'Finance Cost'!Z20:CP20)</f>
        <v>0</v>
      </c>
      <c r="AB74" s="502">
        <f>SUMIF('Finance Cost'!AA7:CQ7,AC7,'Finance Cost'!AA12:CQ12)+SUMIF('Finance Cost'!AA7:CQ7,AC7,'Finance Cost'!AA20:CQ20)</f>
        <v>0</v>
      </c>
    </row>
    <row r="75" spans="1:28" s="310" customFormat="1" ht="12.75">
      <c r="A75" s="310" t="s">
        <v>174</v>
      </c>
      <c r="D75" s="502">
        <v>223.14599999999999</v>
      </c>
      <c r="E75" s="509">
        <v>215.95999999999998</v>
      </c>
      <c r="F75" s="509">
        <v>17.344000000000001</v>
      </c>
      <c r="G75" s="577">
        <v>1.99</v>
      </c>
      <c r="H75" s="567">
        <v>0</v>
      </c>
      <c r="I75" s="567">
        <v>0</v>
      </c>
      <c r="J75" s="567">
        <v>0</v>
      </c>
      <c r="K75" s="567">
        <v>0</v>
      </c>
      <c r="L75" s="567">
        <v>0</v>
      </c>
      <c r="M75" s="567">
        <v>0</v>
      </c>
      <c r="N75" s="567">
        <v>0</v>
      </c>
      <c r="O75" s="567">
        <v>0</v>
      </c>
      <c r="P75" s="567">
        <v>0</v>
      </c>
      <c r="Q75" s="567">
        <v>0</v>
      </c>
      <c r="R75" s="567">
        <v>0</v>
      </c>
      <c r="S75" s="567">
        <v>0</v>
      </c>
      <c r="T75" s="567">
        <v>0</v>
      </c>
      <c r="U75" s="567">
        <v>0</v>
      </c>
      <c r="V75" s="567">
        <v>0</v>
      </c>
      <c r="W75" s="514">
        <v>0</v>
      </c>
      <c r="X75" s="514">
        <v>0</v>
      </c>
      <c r="Y75" s="514">
        <v>0</v>
      </c>
      <c r="Z75" s="514">
        <v>0</v>
      </c>
      <c r="AA75" s="514">
        <v>0</v>
      </c>
      <c r="AB75" s="514">
        <v>0</v>
      </c>
    </row>
    <row r="76" spans="1:28">
      <c r="A76" s="548" t="s">
        <v>169</v>
      </c>
      <c r="B76" s="49"/>
      <c r="C76" s="549">
        <f>SUM(C72:C75)</f>
        <v>0</v>
      </c>
      <c r="D76" s="549">
        <f t="shared" ref="D76:AB76" si="29">SUM(D72:D75)</f>
        <v>1328.527</v>
      </c>
      <c r="E76" s="562">
        <f t="shared" si="29"/>
        <v>1388.9360000000001</v>
      </c>
      <c r="F76" s="562">
        <f t="shared" si="29"/>
        <v>1052.7470000000001</v>
      </c>
      <c r="G76" s="576">
        <f t="shared" si="29"/>
        <v>869.21100000000001</v>
      </c>
      <c r="H76" s="576">
        <f t="shared" ca="1" si="29"/>
        <v>871.53823509029371</v>
      </c>
      <c r="I76" s="576">
        <f t="shared" ca="1" si="29"/>
        <v>954.36019988983116</v>
      </c>
      <c r="J76" s="576">
        <f t="shared" ca="1" si="29"/>
        <v>991.21613380119834</v>
      </c>
      <c r="K76" s="576">
        <f t="shared" ca="1" si="29"/>
        <v>1026.5407024862984</v>
      </c>
      <c r="L76" s="576">
        <f t="shared" ca="1" si="29"/>
        <v>1033.0565819888932</v>
      </c>
      <c r="M76" s="576">
        <f t="shared" ca="1" si="29"/>
        <v>1022.4037777704142</v>
      </c>
      <c r="N76" s="576">
        <f t="shared" ca="1" si="29"/>
        <v>1053.026974922293</v>
      </c>
      <c r="O76" s="576">
        <f t="shared" ca="1" si="29"/>
        <v>1091.0908512787325</v>
      </c>
      <c r="P76" s="576">
        <f t="shared" ca="1" si="29"/>
        <v>954.41062926601057</v>
      </c>
      <c r="Q76" s="576">
        <f t="shared" ca="1" si="29"/>
        <v>962.88235065646177</v>
      </c>
      <c r="R76" s="576">
        <f t="shared" ca="1" si="29"/>
        <v>966.29847191651788</v>
      </c>
      <c r="S76" s="576">
        <f t="shared" ca="1" si="29"/>
        <v>979.01094347580647</v>
      </c>
      <c r="T76" s="576">
        <f t="shared" ca="1" si="29"/>
        <v>985.68330115828871</v>
      </c>
      <c r="U76" s="576">
        <f t="shared" ca="1" si="29"/>
        <v>510.71768147559118</v>
      </c>
      <c r="V76" s="566">
        <f t="shared" ca="1" si="29"/>
        <v>517.37619488538883</v>
      </c>
      <c r="W76" s="549">
        <f t="shared" ca="1" si="29"/>
        <v>528.77211067889539</v>
      </c>
      <c r="X76" s="549">
        <f t="shared" ca="1" si="29"/>
        <v>540.09658638778069</v>
      </c>
      <c r="Y76" s="549">
        <f t="shared" ca="1" si="29"/>
        <v>551.93393792323104</v>
      </c>
      <c r="Z76" s="549">
        <f t="shared" ca="1" si="29"/>
        <v>568.76228228087791</v>
      </c>
      <c r="AA76" s="549">
        <f t="shared" ca="1" si="29"/>
        <v>580.3665324502357</v>
      </c>
      <c r="AB76" s="549">
        <f t="shared" ca="1" si="29"/>
        <v>594.08564544720639</v>
      </c>
    </row>
    <row r="77" spans="1:28" s="310" customFormat="1" ht="12.75">
      <c r="D77" s="568"/>
      <c r="E77" s="175"/>
      <c r="F77" s="175"/>
      <c r="G77" s="565"/>
      <c r="H77" s="565"/>
      <c r="I77" s="565"/>
      <c r="J77" s="565"/>
      <c r="K77" s="565"/>
      <c r="L77" s="565"/>
      <c r="M77" s="565"/>
      <c r="N77" s="565"/>
      <c r="O77" s="565"/>
      <c r="P77" s="565"/>
      <c r="Q77" s="565"/>
      <c r="R77" s="565"/>
      <c r="S77" s="565"/>
      <c r="T77" s="565"/>
      <c r="U77" s="565"/>
      <c r="V77" s="565"/>
    </row>
    <row r="78" spans="1:28">
      <c r="A78" s="548" t="s">
        <v>170</v>
      </c>
      <c r="B78" s="49"/>
      <c r="C78" s="549">
        <f>C69+C76</f>
        <v>0</v>
      </c>
      <c r="D78" s="549">
        <f t="shared" ref="D78:AB78" si="30">D69+D76</f>
        <v>7330.7219999999998</v>
      </c>
      <c r="E78" s="549">
        <f t="shared" si="30"/>
        <v>7050.607</v>
      </c>
      <c r="F78" s="549">
        <f t="shared" si="30"/>
        <v>6884.4710000000005</v>
      </c>
      <c r="G78" s="576">
        <f t="shared" si="30"/>
        <v>6599.951</v>
      </c>
      <c r="H78" s="576">
        <f t="shared" ca="1" si="30"/>
        <v>6640.5350527088058</v>
      </c>
      <c r="I78" s="576">
        <f t="shared" ca="1" si="30"/>
        <v>6270.5649035933338</v>
      </c>
      <c r="J78" s="576">
        <f t="shared" ca="1" si="30"/>
        <v>5877.6904013779213</v>
      </c>
      <c r="K78" s="576">
        <f t="shared" ca="1" si="30"/>
        <v>5453.8779058839027</v>
      </c>
      <c r="L78" s="576">
        <f t="shared" ca="1" si="30"/>
        <v>5002.84816828363</v>
      </c>
      <c r="M78" s="576">
        <f t="shared" ca="1" si="30"/>
        <v>4555.1549888228337</v>
      </c>
      <c r="N78" s="576">
        <f t="shared" ca="1" si="30"/>
        <v>4131.2662663035208</v>
      </c>
      <c r="O78" s="576">
        <f t="shared" ca="1" si="30"/>
        <v>3687.0323169587773</v>
      </c>
      <c r="P78" s="576">
        <f t="shared" ca="1" si="30"/>
        <v>3076.6363989356651</v>
      </c>
      <c r="Q78" s="576">
        <f t="shared" ca="1" si="30"/>
        <v>2611.1216867981266</v>
      </c>
      <c r="R78" s="576">
        <f t="shared" ca="1" si="30"/>
        <v>2137.4827667557529</v>
      </c>
      <c r="S78" s="576">
        <f t="shared" ca="1" si="30"/>
        <v>1664.4680753751452</v>
      </c>
      <c r="T78" s="576">
        <f t="shared" ca="1" si="30"/>
        <v>1185.9413700785635</v>
      </c>
      <c r="U78" s="576">
        <f t="shared" ca="1" si="30"/>
        <v>708.21768147559135</v>
      </c>
      <c r="V78" s="576">
        <f t="shared" ca="1" si="30"/>
        <v>714.87619488538905</v>
      </c>
      <c r="W78" s="549">
        <f t="shared" ca="1" si="30"/>
        <v>726.27211067889561</v>
      </c>
      <c r="X78" s="549">
        <f t="shared" ca="1" si="30"/>
        <v>737.59658638778092</v>
      </c>
      <c r="Y78" s="549">
        <f t="shared" ca="1" si="30"/>
        <v>749.43393792323127</v>
      </c>
      <c r="Z78" s="549">
        <f t="shared" ca="1" si="30"/>
        <v>766.26228228087791</v>
      </c>
      <c r="AA78" s="549">
        <f t="shared" ca="1" si="30"/>
        <v>777.8665324502357</v>
      </c>
      <c r="AB78" s="549">
        <f t="shared" ca="1" si="30"/>
        <v>791.58564544720639</v>
      </c>
    </row>
    <row r="79" spans="1:28" s="310" customFormat="1" ht="12.75">
      <c r="D79" s="502"/>
      <c r="G79" s="565"/>
      <c r="H79" s="565"/>
      <c r="I79" s="565"/>
      <c r="J79" s="565"/>
      <c r="K79" s="565"/>
      <c r="L79" s="565"/>
      <c r="M79" s="565"/>
      <c r="N79" s="565"/>
      <c r="O79" s="565"/>
      <c r="P79" s="565"/>
      <c r="Q79" s="565"/>
      <c r="R79" s="565"/>
      <c r="S79" s="565"/>
      <c r="T79" s="565"/>
      <c r="U79" s="565"/>
      <c r="V79" s="565"/>
    </row>
    <row r="80" spans="1:28" ht="15.75" thickBot="1">
      <c r="A80" s="551" t="s">
        <v>171</v>
      </c>
      <c r="B80" s="552"/>
      <c r="C80" s="564">
        <f>C78+C62</f>
        <v>2312.4589999999998</v>
      </c>
      <c r="D80" s="553">
        <f t="shared" ref="D80:AB80" si="31">D78+D62</f>
        <v>9467.2259999999987</v>
      </c>
      <c r="E80" s="564">
        <f>E78+E62</f>
        <v>9141.4860000000008</v>
      </c>
      <c r="F80" s="564">
        <f t="shared" si="31"/>
        <v>9335.0789999999997</v>
      </c>
      <c r="G80" s="584">
        <f t="shared" ca="1" si="31"/>
        <v>9362.3909999999996</v>
      </c>
      <c r="H80" s="584">
        <f t="shared" ca="1" si="31"/>
        <v>9645.0052953968498</v>
      </c>
      <c r="I80" s="584">
        <f t="shared" ca="1" si="31"/>
        <v>9536.3363996684639</v>
      </c>
      <c r="J80" s="584">
        <f t="shared" ca="1" si="31"/>
        <v>9436.9915862417165</v>
      </c>
      <c r="K80" s="584">
        <f t="shared" ca="1" si="31"/>
        <v>9355.5089154202469</v>
      </c>
      <c r="L80" s="584">
        <f t="shared" ca="1" si="31"/>
        <v>9302.3685578356817</v>
      </c>
      <c r="M80" s="584">
        <f t="shared" ca="1" si="31"/>
        <v>9322.7055917496655</v>
      </c>
      <c r="N80" s="584">
        <f t="shared" ca="1" si="31"/>
        <v>9448.7434548787187</v>
      </c>
      <c r="O80" s="584">
        <f t="shared" ca="1" si="31"/>
        <v>9630.9767316058569</v>
      </c>
      <c r="P80" s="584">
        <f t="shared" ca="1" si="31"/>
        <v>9295.0210847632443</v>
      </c>
      <c r="Q80" s="584">
        <f t="shared" ca="1" si="31"/>
        <v>9162.7562614602284</v>
      </c>
      <c r="R80" s="584">
        <f t="shared" ca="1" si="31"/>
        <v>8863.2939758620669</v>
      </c>
      <c r="S80" s="584">
        <f t="shared" ca="1" si="31"/>
        <v>8573.954022486414</v>
      </c>
      <c r="T80" s="584">
        <f t="shared" ca="1" si="31"/>
        <v>8301.2213318491486</v>
      </c>
      <c r="U80" s="584">
        <f t="shared" ca="1" si="31"/>
        <v>8059.0915518322299</v>
      </c>
      <c r="V80" s="584">
        <f t="shared" ca="1" si="31"/>
        <v>8306.2398571381036</v>
      </c>
      <c r="W80" s="584">
        <f t="shared" ca="1" si="31"/>
        <v>8575.9067383293332</v>
      </c>
      <c r="X80" s="584">
        <f t="shared" ca="1" si="31"/>
        <v>8851.5694670593184</v>
      </c>
      <c r="Y80" s="584">
        <f t="shared" ca="1" si="31"/>
        <v>9143.6965802538325</v>
      </c>
      <c r="Z80" s="584">
        <f t="shared" ca="1" si="31"/>
        <v>9479.2200889073465</v>
      </c>
      <c r="AA80" s="584">
        <f t="shared" ca="1" si="31"/>
        <v>9825.3989681450148</v>
      </c>
      <c r="AB80" s="584">
        <f t="shared" ca="1" si="31"/>
        <v>10244.672135015222</v>
      </c>
    </row>
    <row r="81" spans="1:28" s="510" customFormat="1" ht="13.5" thickTop="1">
      <c r="D81" s="546"/>
      <c r="E81" s="546"/>
      <c r="F81" s="546"/>
      <c r="G81" s="546"/>
      <c r="H81" s="546"/>
      <c r="I81" s="546"/>
      <c r="J81" s="546"/>
      <c r="K81" s="546"/>
      <c r="L81" s="546"/>
      <c r="M81" s="546"/>
      <c r="N81" s="546"/>
      <c r="O81" s="546"/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6"/>
      <c r="AA81" s="546"/>
      <c r="AB81" s="546"/>
    </row>
    <row r="82" spans="1:28" s="310" customFormat="1" ht="12.75">
      <c r="B82" s="512"/>
      <c r="C82" s="514"/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  <c r="V82" s="514"/>
      <c r="W82" s="514"/>
      <c r="X82" s="514"/>
      <c r="Y82" s="514"/>
      <c r="Z82" s="514"/>
      <c r="AA82" s="514"/>
      <c r="AB82" s="514"/>
    </row>
    <row r="83" spans="1:28" s="310" customFormat="1" ht="19.5" thickBot="1">
      <c r="A83" s="540" t="s">
        <v>176</v>
      </c>
      <c r="B83" s="555"/>
      <c r="C83" s="556"/>
      <c r="D83" s="556"/>
      <c r="E83" s="556"/>
      <c r="F83" s="556"/>
      <c r="G83" s="556"/>
      <c r="H83" s="556"/>
      <c r="I83" s="556"/>
      <c r="J83" s="556"/>
      <c r="K83" s="556"/>
      <c r="L83" s="556"/>
      <c r="M83" s="556"/>
      <c r="N83" s="556"/>
      <c r="O83" s="556"/>
      <c r="P83" s="556"/>
      <c r="Q83" s="556"/>
      <c r="R83" s="556"/>
      <c r="S83" s="556"/>
      <c r="T83" s="556"/>
      <c r="U83" s="556"/>
      <c r="V83" s="556"/>
      <c r="W83" s="556"/>
      <c r="X83" s="556"/>
      <c r="Y83" s="556"/>
      <c r="Z83" s="556"/>
      <c r="AA83" s="556"/>
      <c r="AB83" s="556"/>
    </row>
    <row r="84" spans="1:28" s="310" customFormat="1" ht="16.5" thickTop="1">
      <c r="A84" s="558"/>
      <c r="F84" s="510"/>
      <c r="G84" s="510"/>
    </row>
    <row r="85" spans="1:28" s="310" customFormat="1" ht="12.75">
      <c r="A85" s="310" t="s">
        <v>134</v>
      </c>
      <c r="E85" s="512"/>
      <c r="F85" s="512">
        <f t="shared" ref="F85:AB85" si="32">F23</f>
        <v>359.72899999999993</v>
      </c>
      <c r="G85" s="512">
        <f t="shared" ca="1" si="32"/>
        <v>405.66199999999975</v>
      </c>
      <c r="H85" s="512">
        <f t="shared" ca="1" si="32"/>
        <v>242.0302426880445</v>
      </c>
      <c r="I85" s="512">
        <f t="shared" ca="1" si="32"/>
        <v>261.30125338708638</v>
      </c>
      <c r="J85" s="512">
        <f t="shared" ca="1" si="32"/>
        <v>293.52968878866477</v>
      </c>
      <c r="K85" s="512">
        <f t="shared" ca="1" si="32"/>
        <v>342.32982467255022</v>
      </c>
      <c r="L85" s="512">
        <f t="shared" ca="1" si="32"/>
        <v>397.88938001570705</v>
      </c>
      <c r="M85" s="512">
        <f t="shared" ca="1" si="32"/>
        <v>468.03021337477935</v>
      </c>
      <c r="N85" s="512">
        <f t="shared" ca="1" si="32"/>
        <v>549.92658564836665</v>
      </c>
      <c r="O85" s="512">
        <f t="shared" ca="1" si="32"/>
        <v>626.46722607188167</v>
      </c>
      <c r="P85" s="512">
        <f t="shared" ca="1" si="32"/>
        <v>274.4402711805003</v>
      </c>
      <c r="Q85" s="512">
        <f t="shared" ca="1" si="32"/>
        <v>333.24988883452284</v>
      </c>
      <c r="R85" s="512">
        <f t="shared" ca="1" si="32"/>
        <v>311.54114709958799</v>
      </c>
      <c r="S85" s="512">
        <f t="shared" ca="1" si="32"/>
        <v>329.00463233607059</v>
      </c>
      <c r="T85" s="512">
        <f t="shared" ca="1" si="32"/>
        <v>362.61899252559397</v>
      </c>
      <c r="U85" s="512">
        <f t="shared" ca="1" si="32"/>
        <v>405.88919250004449</v>
      </c>
      <c r="V85" s="512">
        <f t="shared" ca="1" si="32"/>
        <v>415.36159730699467</v>
      </c>
      <c r="W85" s="512">
        <f t="shared" ca="1" si="32"/>
        <v>441.61396016628498</v>
      </c>
      <c r="X85" s="512">
        <f t="shared" ca="1" si="32"/>
        <v>451.83878551107944</v>
      </c>
      <c r="Y85" s="512">
        <f t="shared" ca="1" si="32"/>
        <v>474.9550028601808</v>
      </c>
      <c r="Z85" s="512">
        <f t="shared" ca="1" si="32"/>
        <v>527.80787727303141</v>
      </c>
      <c r="AA85" s="512">
        <f t="shared" ca="1" si="32"/>
        <v>550.32853416426997</v>
      </c>
      <c r="AB85" s="512">
        <f t="shared" ca="1" si="32"/>
        <v>646.28771662766314</v>
      </c>
    </row>
    <row r="86" spans="1:28" s="310" customFormat="1" ht="12.75">
      <c r="A86" s="310" t="s">
        <v>177</v>
      </c>
      <c r="E86" s="512"/>
      <c r="F86" s="512">
        <f t="shared" ref="F86:AB86" si="33">F22</f>
        <v>325.10000000000002</v>
      </c>
      <c r="G86" s="512">
        <f t="shared" si="33"/>
        <v>322.04000000000002</v>
      </c>
      <c r="H86" s="512">
        <f t="shared" ca="1" si="33"/>
        <v>311.43826747784306</v>
      </c>
      <c r="I86" s="512">
        <f t="shared" ca="1" si="33"/>
        <v>322.9197041048817</v>
      </c>
      <c r="J86" s="512">
        <f t="shared" ca="1" si="33"/>
        <v>328.75813352613363</v>
      </c>
      <c r="K86" s="512">
        <f t="shared" ca="1" si="33"/>
        <v>328.75813352613386</v>
      </c>
      <c r="L86" s="512">
        <f t="shared" ca="1" si="33"/>
        <v>328.75813352613386</v>
      </c>
      <c r="M86" s="512">
        <f t="shared" ca="1" si="33"/>
        <v>328.75813352613386</v>
      </c>
      <c r="N86" s="512">
        <f t="shared" ca="1" si="33"/>
        <v>328.75813352613386</v>
      </c>
      <c r="O86" s="512">
        <f t="shared" ca="1" si="33"/>
        <v>328.75813352613386</v>
      </c>
      <c r="P86" s="512">
        <f t="shared" ca="1" si="33"/>
        <v>328.75813352613341</v>
      </c>
      <c r="Q86" s="512">
        <f t="shared" ca="1" si="33"/>
        <v>328.75813352613386</v>
      </c>
      <c r="R86" s="512">
        <f t="shared" ca="1" si="33"/>
        <v>328.75813352613386</v>
      </c>
      <c r="S86" s="512">
        <f t="shared" ca="1" si="33"/>
        <v>328.75813352613386</v>
      </c>
      <c r="T86" s="512">
        <f t="shared" ca="1" si="33"/>
        <v>328.75813352613386</v>
      </c>
      <c r="U86" s="512">
        <f t="shared" ca="1" si="33"/>
        <v>328.75813352613386</v>
      </c>
      <c r="V86" s="512">
        <f t="shared" ca="1" si="33"/>
        <v>328.75813352613386</v>
      </c>
      <c r="W86" s="512">
        <f t="shared" ca="1" si="33"/>
        <v>328.75813352613386</v>
      </c>
      <c r="X86" s="512">
        <f t="shared" ca="1" si="33"/>
        <v>328.75813352613386</v>
      </c>
      <c r="Y86" s="512">
        <f t="shared" ca="1" si="33"/>
        <v>328.75813352613386</v>
      </c>
      <c r="Z86" s="512">
        <f t="shared" ca="1" si="33"/>
        <v>328.75813352613386</v>
      </c>
      <c r="AA86" s="512">
        <f t="shared" ca="1" si="33"/>
        <v>328.75813352613386</v>
      </c>
      <c r="AB86" s="512">
        <f t="shared" ca="1" si="33"/>
        <v>328.75813352613386</v>
      </c>
    </row>
    <row r="87" spans="1:28" s="310" customFormat="1" ht="12.75">
      <c r="A87" s="310" t="s">
        <v>178</v>
      </c>
      <c r="E87" s="512"/>
      <c r="F87" s="513">
        <f t="shared" ref="F87:AB87" si="34">F18+F19</f>
        <v>698.548</v>
      </c>
      <c r="G87" s="512">
        <f t="shared" si="34"/>
        <v>639.98</v>
      </c>
      <c r="H87" s="512">
        <f t="shared" ca="1" si="34"/>
        <v>614.04331489554318</v>
      </c>
      <c r="I87" s="512">
        <f t="shared" ca="1" si="34"/>
        <v>589.51060989827681</v>
      </c>
      <c r="J87" s="512">
        <f t="shared" ca="1" si="34"/>
        <v>568.04561313520185</v>
      </c>
      <c r="K87" s="512">
        <f t="shared" ca="1" si="34"/>
        <v>526.45901186369713</v>
      </c>
      <c r="L87" s="512">
        <f t="shared" ca="1" si="34"/>
        <v>483.64751985160115</v>
      </c>
      <c r="M87" s="512">
        <f t="shared" ca="1" si="34"/>
        <v>438.76708874870769</v>
      </c>
      <c r="N87" s="512">
        <f t="shared" ca="1" si="34"/>
        <v>397.01904522669844</v>
      </c>
      <c r="O87" s="512">
        <f t="shared" ca="1" si="34"/>
        <v>354.18781463900137</v>
      </c>
      <c r="P87" s="512">
        <f t="shared" ca="1" si="34"/>
        <v>302.71745444877268</v>
      </c>
      <c r="Q87" s="512">
        <f t="shared" ca="1" si="34"/>
        <v>251.10901070264231</v>
      </c>
      <c r="R87" s="512">
        <f t="shared" ca="1" si="34"/>
        <v>205.83932792561319</v>
      </c>
      <c r="S87" s="512">
        <f t="shared" ca="1" si="34"/>
        <v>159.55083723630003</v>
      </c>
      <c r="T87" s="512">
        <f t="shared" ca="1" si="34"/>
        <v>113.10005035738658</v>
      </c>
      <c r="U87" s="512">
        <f t="shared" ca="1" si="34"/>
        <v>56.329340912076823</v>
      </c>
      <c r="V87" s="512">
        <f t="shared" ca="1" si="34"/>
        <v>43.35742337038112</v>
      </c>
      <c r="W87" s="512">
        <f t="shared" ca="1" si="34"/>
        <v>44.199765910091038</v>
      </c>
      <c r="X87" s="512">
        <f t="shared" ca="1" si="34"/>
        <v>45.159702451067091</v>
      </c>
      <c r="Y87" s="512">
        <f t="shared" ca="1" si="34"/>
        <v>46.138289652140273</v>
      </c>
      <c r="Z87" s="512">
        <f t="shared" ca="1" si="34"/>
        <v>47.349415303623616</v>
      </c>
      <c r="AA87" s="512">
        <f t="shared" ca="1" si="34"/>
        <v>48.550692422389552</v>
      </c>
      <c r="AB87" s="512">
        <f t="shared" ca="1" si="34"/>
        <v>49.620604516166935</v>
      </c>
    </row>
    <row r="88" spans="1:28" s="310" customFormat="1" ht="12.75">
      <c r="A88" s="310" t="s">
        <v>185</v>
      </c>
      <c r="E88" s="512"/>
      <c r="F88" s="512">
        <f t="shared" ref="F88:AB88" si="35">-F9</f>
        <v>-194.97</v>
      </c>
      <c r="G88" s="512">
        <f t="shared" si="35"/>
        <v>-116.68</v>
      </c>
      <c r="H88" s="512">
        <f t="shared" ca="1" si="35"/>
        <v>-28.425191350179624</v>
      </c>
      <c r="I88" s="512">
        <f t="shared" ca="1" si="35"/>
        <v>-39.495175079586986</v>
      </c>
      <c r="J88" s="512">
        <f t="shared" ca="1" si="35"/>
        <v>-48.103696774677644</v>
      </c>
      <c r="K88" s="512">
        <f t="shared" ca="1" si="35"/>
        <v>-57.268359657408567</v>
      </c>
      <c r="L88" s="512">
        <f t="shared" ca="1" si="35"/>
        <v>-64.821413747793443</v>
      </c>
      <c r="M88" s="512">
        <f t="shared" ca="1" si="35"/>
        <v>-73.822696290617458</v>
      </c>
      <c r="N88" s="512">
        <f t="shared" ca="1" si="35"/>
        <v>-85.41103431671479</v>
      </c>
      <c r="O88" s="512">
        <f t="shared" ca="1" si="35"/>
        <v>-99.419647001284758</v>
      </c>
      <c r="P88" s="512">
        <f t="shared" ca="1" si="35"/>
        <v>-109.32284457290019</v>
      </c>
      <c r="Q88" s="512">
        <f t="shared" ca="1" si="35"/>
        <v>-114.54957069227362</v>
      </c>
      <c r="R88" s="512">
        <f t="shared" ca="1" si="35"/>
        <v>-117.75464168597512</v>
      </c>
      <c r="S88" s="512">
        <f t="shared" ca="1" si="35"/>
        <v>-118.68674214854606</v>
      </c>
      <c r="T88" s="512">
        <f t="shared" ca="1" si="35"/>
        <v>-119.88268298819145</v>
      </c>
      <c r="U88" s="512">
        <f t="shared" ca="1" si="35"/>
        <v>-121.71688585305023</v>
      </c>
      <c r="V88" s="512">
        <f t="shared" ca="1" si="35"/>
        <v>-131.3095784125089</v>
      </c>
      <c r="W88" s="512">
        <f t="shared" ca="1" si="35"/>
        <v>-148.50747115724451</v>
      </c>
      <c r="X88" s="512">
        <f t="shared" ca="1" si="35"/>
        <v>-153.85575148175195</v>
      </c>
      <c r="Y88" s="512">
        <f t="shared" ca="1" si="35"/>
        <v>-171.77210657182525</v>
      </c>
      <c r="Z88" s="512">
        <f t="shared" ca="1" si="35"/>
        <v>-190.476295985626</v>
      </c>
      <c r="AA88" s="512">
        <f t="shared" ca="1" si="35"/>
        <v>-209.99592392939181</v>
      </c>
      <c r="AB88" s="512">
        <f t="shared" ca="1" si="35"/>
        <v>-230.83398131226963</v>
      </c>
    </row>
    <row r="89" spans="1:28">
      <c r="A89" s="548" t="s">
        <v>179</v>
      </c>
      <c r="B89" s="49"/>
      <c r="C89" s="549">
        <f>SUM(C85:C87)</f>
        <v>0</v>
      </c>
      <c r="D89" s="549">
        <f t="shared" ref="D89" si="36">SUM(D85:D87)</f>
        <v>0</v>
      </c>
      <c r="E89" s="549"/>
      <c r="F89" s="549">
        <f>SUM(F85:F88)</f>
        <v>1188.4069999999999</v>
      </c>
      <c r="G89" s="549">
        <f t="shared" ref="G89:AB89" ca="1" si="37">SUM(G85:G88)</f>
        <v>1251.0019999999997</v>
      </c>
      <c r="H89" s="549">
        <f t="shared" ca="1" si="37"/>
        <v>1139.0866337112511</v>
      </c>
      <c r="I89" s="549">
        <f t="shared" ca="1" si="37"/>
        <v>1134.2363923106579</v>
      </c>
      <c r="J89" s="549">
        <f t="shared" ca="1" si="37"/>
        <v>1142.2297386753226</v>
      </c>
      <c r="K89" s="549">
        <f t="shared" ca="1" si="37"/>
        <v>1140.2786104049726</v>
      </c>
      <c r="L89" s="549">
        <f t="shared" ca="1" si="37"/>
        <v>1145.4736196456486</v>
      </c>
      <c r="M89" s="549">
        <f t="shared" ca="1" si="37"/>
        <v>1161.7327393590035</v>
      </c>
      <c r="N89" s="549">
        <f t="shared" ca="1" si="37"/>
        <v>1190.292730084484</v>
      </c>
      <c r="O89" s="549">
        <f t="shared" ca="1" si="37"/>
        <v>1209.993527235732</v>
      </c>
      <c r="P89" s="549">
        <f t="shared" ca="1" si="37"/>
        <v>796.59301458250627</v>
      </c>
      <c r="Q89" s="549">
        <f t="shared" ca="1" si="37"/>
        <v>798.56746237102539</v>
      </c>
      <c r="R89" s="549">
        <f t="shared" ca="1" si="37"/>
        <v>728.38396686535987</v>
      </c>
      <c r="S89" s="549">
        <f t="shared" ca="1" si="37"/>
        <v>698.62686094995843</v>
      </c>
      <c r="T89" s="549">
        <f t="shared" ca="1" si="37"/>
        <v>684.59449342092307</v>
      </c>
      <c r="U89" s="549">
        <f t="shared" ca="1" si="37"/>
        <v>669.25978108520496</v>
      </c>
      <c r="V89" s="549">
        <f t="shared" ca="1" si="37"/>
        <v>656.16757579100067</v>
      </c>
      <c r="W89" s="549">
        <f t="shared" ca="1" si="37"/>
        <v>666.06438844526542</v>
      </c>
      <c r="X89" s="549">
        <f t="shared" ca="1" si="37"/>
        <v>671.90087000652852</v>
      </c>
      <c r="Y89" s="549">
        <f t="shared" ca="1" si="37"/>
        <v>678.07931946662973</v>
      </c>
      <c r="Z89" s="549">
        <f t="shared" ca="1" si="37"/>
        <v>713.4391301171629</v>
      </c>
      <c r="AA89" s="549">
        <f t="shared" ca="1" si="37"/>
        <v>717.64143618340165</v>
      </c>
      <c r="AB89" s="549">
        <f t="shared" ca="1" si="37"/>
        <v>793.83247335769431</v>
      </c>
    </row>
    <row r="90" spans="1:28" s="310" customFormat="1" ht="12.75"/>
    <row r="91" spans="1:28" s="310" customFormat="1" ht="12.75">
      <c r="A91" s="310" t="s">
        <v>180</v>
      </c>
      <c r="E91" s="512"/>
      <c r="F91" s="512">
        <f t="shared" ref="F91:AB91" si="38">-(SUM(F46:F48)-SUM(E46:E48))</f>
        <v>-425.82099999999991</v>
      </c>
      <c r="G91" s="512">
        <f t="shared" si="38"/>
        <v>-62.180000000000291</v>
      </c>
      <c r="H91" s="512">
        <f t="shared" ca="1" si="38"/>
        <v>570.99021306501254</v>
      </c>
      <c r="I91" s="512">
        <f t="shared" ca="1" si="38"/>
        <v>-7.1219598806460453</v>
      </c>
      <c r="J91" s="512">
        <f t="shared" ca="1" si="38"/>
        <v>-11.140911881822831</v>
      </c>
      <c r="K91" s="512">
        <f t="shared" ca="1" si="38"/>
        <v>-8.2132249134667745</v>
      </c>
      <c r="L91" s="512">
        <f t="shared" ca="1" si="38"/>
        <v>-11.143074373775562</v>
      </c>
      <c r="M91" s="512">
        <f t="shared" ca="1" si="38"/>
        <v>-13.484366152975099</v>
      </c>
      <c r="N91" s="512">
        <f t="shared" ca="1" si="38"/>
        <v>-17.850929535838304</v>
      </c>
      <c r="O91" s="512">
        <f t="shared" ca="1" si="38"/>
        <v>-14.028965067954914</v>
      </c>
      <c r="P91" s="512">
        <f t="shared" ca="1" si="38"/>
        <v>170.44823957219023</v>
      </c>
      <c r="Q91" s="512">
        <f t="shared" ca="1" si="38"/>
        <v>-11.29562852060144</v>
      </c>
      <c r="R91" s="512">
        <f t="shared" ca="1" si="38"/>
        <v>-0.82213005039056952</v>
      </c>
      <c r="S91" s="512">
        <f t="shared" ca="1" si="38"/>
        <v>-5.7518671899983929</v>
      </c>
      <c r="T91" s="512">
        <f t="shared" ca="1" si="38"/>
        <v>-9.9623665396561591</v>
      </c>
      <c r="U91" s="512">
        <f t="shared" ca="1" si="38"/>
        <v>-10.411238867847032</v>
      </c>
      <c r="V91" s="512">
        <f t="shared" ca="1" si="38"/>
        <v>-12.610716176081269</v>
      </c>
      <c r="W91" s="512">
        <f t="shared" ca="1" si="38"/>
        <v>-15.194554391342081</v>
      </c>
      <c r="X91" s="512">
        <f t="shared" ca="1" si="38"/>
        <v>-15.099300945180403</v>
      </c>
      <c r="Y91" s="512">
        <f t="shared" ca="1" si="38"/>
        <v>-15.78313538060047</v>
      </c>
      <c r="Z91" s="512">
        <f t="shared" ca="1" si="38"/>
        <v>-22.437792476862342</v>
      </c>
      <c r="AA91" s="512">
        <f t="shared" ca="1" si="38"/>
        <v>-15.472333559143863</v>
      </c>
      <c r="AB91" s="512">
        <f t="shared" ca="1" si="38"/>
        <v>-18.292150662627591</v>
      </c>
    </row>
    <row r="92" spans="1:28" s="310" customFormat="1" ht="12.75">
      <c r="A92" s="310" t="s">
        <v>181</v>
      </c>
      <c r="E92" s="512"/>
      <c r="F92" s="512">
        <f>F73-E73</f>
        <v>42.90300000000002</v>
      </c>
      <c r="G92" s="512">
        <f t="shared" ref="G92:AB92" si="39">G73-F73</f>
        <v>-74.863000000000028</v>
      </c>
      <c r="H92" s="512">
        <f t="shared" ca="1" si="39"/>
        <v>-228.39599999999999</v>
      </c>
      <c r="I92" s="512">
        <f t="shared" ca="1" si="39"/>
        <v>0</v>
      </c>
      <c r="J92" s="512">
        <f t="shared" ca="1" si="39"/>
        <v>0</v>
      </c>
      <c r="K92" s="512">
        <f t="shared" ca="1" si="39"/>
        <v>0</v>
      </c>
      <c r="L92" s="512">
        <f t="shared" ca="1" si="39"/>
        <v>0</v>
      </c>
      <c r="M92" s="512">
        <f t="shared" ca="1" si="39"/>
        <v>0</v>
      </c>
      <c r="N92" s="512">
        <f t="shared" ca="1" si="39"/>
        <v>0</v>
      </c>
      <c r="O92" s="512">
        <f t="shared" ca="1" si="39"/>
        <v>0</v>
      </c>
      <c r="P92" s="512">
        <f t="shared" ca="1" si="39"/>
        <v>0</v>
      </c>
      <c r="Q92" s="512">
        <f t="shared" ca="1" si="39"/>
        <v>0</v>
      </c>
      <c r="R92" s="512">
        <f t="shared" ca="1" si="39"/>
        <v>0</v>
      </c>
      <c r="S92" s="512">
        <f t="shared" ca="1" si="39"/>
        <v>0</v>
      </c>
      <c r="T92" s="512">
        <f t="shared" ca="1" si="39"/>
        <v>0</v>
      </c>
      <c r="U92" s="512">
        <f t="shared" ca="1" si="39"/>
        <v>0</v>
      </c>
      <c r="V92" s="512">
        <f t="shared" ca="1" si="39"/>
        <v>0</v>
      </c>
      <c r="W92" s="512">
        <f t="shared" ca="1" si="39"/>
        <v>0</v>
      </c>
      <c r="X92" s="512">
        <f t="shared" ca="1" si="39"/>
        <v>0</v>
      </c>
      <c r="Y92" s="512">
        <f t="shared" ca="1" si="39"/>
        <v>0</v>
      </c>
      <c r="Z92" s="512">
        <f t="shared" ca="1" si="39"/>
        <v>0</v>
      </c>
      <c r="AA92" s="512">
        <f t="shared" ca="1" si="39"/>
        <v>0</v>
      </c>
      <c r="AB92" s="512">
        <f t="shared" ca="1" si="39"/>
        <v>0</v>
      </c>
    </row>
    <row r="93" spans="1:28" s="310" customFormat="1" ht="12.75">
      <c r="A93" s="310" t="s">
        <v>182</v>
      </c>
      <c r="E93" s="512"/>
      <c r="F93" s="512">
        <f t="shared" ref="F93:AB93" si="40">-F25</f>
        <v>0</v>
      </c>
      <c r="G93" s="512">
        <f t="shared" ca="1" si="40"/>
        <v>-93.83</v>
      </c>
      <c r="H93" s="512">
        <f t="shared" ca="1" si="40"/>
        <v>0</v>
      </c>
      <c r="I93" s="512">
        <f t="shared" ca="1" si="40"/>
        <v>0</v>
      </c>
      <c r="J93" s="512">
        <f t="shared" ca="1" si="40"/>
        <v>0</v>
      </c>
      <c r="K93" s="512">
        <f t="shared" ca="1" si="40"/>
        <v>0</v>
      </c>
      <c r="L93" s="512">
        <f t="shared" ca="1" si="40"/>
        <v>0</v>
      </c>
      <c r="M93" s="512">
        <f t="shared" ca="1" si="40"/>
        <v>0</v>
      </c>
      <c r="N93" s="512">
        <f t="shared" ca="1" si="40"/>
        <v>0</v>
      </c>
      <c r="O93" s="512">
        <f t="shared" ca="1" si="40"/>
        <v>0</v>
      </c>
      <c r="P93" s="512">
        <f t="shared" ca="1" si="40"/>
        <v>0</v>
      </c>
      <c r="Q93" s="512">
        <f t="shared" ca="1" si="40"/>
        <v>0</v>
      </c>
      <c r="R93" s="512">
        <f t="shared" ca="1" si="40"/>
        <v>-137.36451265537573</v>
      </c>
      <c r="S93" s="512">
        <f t="shared" ca="1" si="40"/>
        <v>-145.32989433111618</v>
      </c>
      <c r="T93" s="512">
        <f t="shared" ca="1" si="40"/>
        <v>-156.82497786627931</v>
      </c>
      <c r="U93" s="512">
        <f t="shared" ca="1" si="40"/>
        <v>-170.29528391398949</v>
      </c>
      <c r="V93" s="512">
        <f t="shared" ca="1" si="40"/>
        <v>-174.87180541091979</v>
      </c>
      <c r="W93" s="512">
        <f t="shared" ca="1" si="40"/>
        <v>-183.3429947685614</v>
      </c>
      <c r="X93" s="512">
        <f t="shared" ca="1" si="40"/>
        <v>-187.50053248997955</v>
      </c>
      <c r="Y93" s="512">
        <f t="shared" ca="1" si="40"/>
        <v>-194.6652412011172</v>
      </c>
      <c r="Z93" s="512">
        <f t="shared" ca="1" si="40"/>
        <v>-209.1127129771634</v>
      </c>
      <c r="AA93" s="512">
        <f t="shared" ca="1" si="40"/>
        <v>-215.7539050959605</v>
      </c>
      <c r="AB93" s="512">
        <f t="shared" ca="1" si="40"/>
        <v>-240.73366275442677</v>
      </c>
    </row>
    <row r="94" spans="1:28">
      <c r="A94" s="548" t="s">
        <v>183</v>
      </c>
      <c r="B94" s="49"/>
      <c r="C94" s="549">
        <f>SUM(C91:C93)</f>
        <v>0</v>
      </c>
      <c r="D94" s="549">
        <f t="shared" ref="D94" si="41">SUM(D91:D93)</f>
        <v>0</v>
      </c>
      <c r="E94" s="549"/>
      <c r="F94" s="549">
        <f>SUM(F89:F93)</f>
        <v>805.48900000000003</v>
      </c>
      <c r="G94" s="549">
        <f ca="1">SUM(G89:G93)</f>
        <v>1020.1289999999993</v>
      </c>
      <c r="H94" s="549">
        <f t="shared" ref="H94:AB94" ca="1" si="42">SUM(H89:H93)</f>
        <v>1481.6808467762637</v>
      </c>
      <c r="I94" s="549">
        <f t="shared" ca="1" si="42"/>
        <v>1127.1144324300119</v>
      </c>
      <c r="J94" s="549">
        <f t="shared" ca="1" si="42"/>
        <v>1131.0888267934997</v>
      </c>
      <c r="K94" s="549">
        <f t="shared" ca="1" si="42"/>
        <v>1132.0653854915058</v>
      </c>
      <c r="L94" s="549">
        <f t="shared" ca="1" si="42"/>
        <v>1134.330545271873</v>
      </c>
      <c r="M94" s="549">
        <f t="shared" ca="1" si="42"/>
        <v>1148.2483732060284</v>
      </c>
      <c r="N94" s="549">
        <f t="shared" ca="1" si="42"/>
        <v>1172.4418005486457</v>
      </c>
      <c r="O94" s="549">
        <f t="shared" ca="1" si="42"/>
        <v>1195.9645621677771</v>
      </c>
      <c r="P94" s="549">
        <f t="shared" ca="1" si="42"/>
        <v>967.0412541546965</v>
      </c>
      <c r="Q94" s="549">
        <f t="shared" ca="1" si="42"/>
        <v>787.27183385042395</v>
      </c>
      <c r="R94" s="549">
        <f t="shared" ca="1" si="42"/>
        <v>590.19732415959356</v>
      </c>
      <c r="S94" s="549">
        <f t="shared" ca="1" si="42"/>
        <v>547.54509942884386</v>
      </c>
      <c r="T94" s="549">
        <f t="shared" ca="1" si="42"/>
        <v>517.80714901498754</v>
      </c>
      <c r="U94" s="549">
        <f t="shared" ca="1" si="42"/>
        <v>488.55325830336847</v>
      </c>
      <c r="V94" s="549">
        <f t="shared" ca="1" si="42"/>
        <v>468.68505420399958</v>
      </c>
      <c r="W94" s="549">
        <f t="shared" ca="1" si="42"/>
        <v>467.52683928536192</v>
      </c>
      <c r="X94" s="549">
        <f t="shared" ca="1" si="42"/>
        <v>469.30103657136857</v>
      </c>
      <c r="Y94" s="549">
        <f t="shared" ca="1" si="42"/>
        <v>467.63094288491209</v>
      </c>
      <c r="Z94" s="549">
        <f t="shared" ca="1" si="42"/>
        <v>481.88862466313719</v>
      </c>
      <c r="AA94" s="549">
        <f t="shared" ca="1" si="42"/>
        <v>486.41519752829731</v>
      </c>
      <c r="AB94" s="549">
        <f t="shared" ca="1" si="42"/>
        <v>534.80665994063997</v>
      </c>
    </row>
    <row r="95" spans="1:28" s="310" customFormat="1" ht="12.75"/>
    <row r="96" spans="1:28" s="310" customFormat="1" ht="12.75">
      <c r="A96" s="310" t="s">
        <v>184</v>
      </c>
      <c r="E96" s="512"/>
      <c r="F96" s="514">
        <f>-(F34-E34-E35+F35+F39-E39)</f>
        <v>-53.975999999998216</v>
      </c>
      <c r="G96" s="512">
        <f>-(G34-F34-F35+G35)</f>
        <v>-5.8730000000000722</v>
      </c>
      <c r="H96" s="512">
        <f ca="1">-(H34-G34-G35+H35)</f>
        <v>-629.03001926106424</v>
      </c>
      <c r="I96" s="512">
        <f ca="1">-(I34-H34-H35+I35)</f>
        <v>-5.1426898806678025</v>
      </c>
      <c r="J96" s="512">
        <f ca="1">-(J34-I34-I35+J35)</f>
        <v>153.64287950663257</v>
      </c>
      <c r="K96" s="512">
        <f t="shared" ref="K96:AB96" ca="1" si="43">K34-J34-J35</f>
        <v>0</v>
      </c>
      <c r="L96" s="512">
        <f t="shared" ca="1" si="43"/>
        <v>0</v>
      </c>
      <c r="M96" s="512">
        <f t="shared" ca="1" si="43"/>
        <v>0</v>
      </c>
      <c r="N96" s="512">
        <f t="shared" ca="1" si="43"/>
        <v>0</v>
      </c>
      <c r="O96" s="512">
        <f t="shared" ca="1" si="43"/>
        <v>0</v>
      </c>
      <c r="P96" s="512">
        <f t="shared" ca="1" si="43"/>
        <v>0</v>
      </c>
      <c r="Q96" s="512">
        <f t="shared" ca="1" si="43"/>
        <v>0</v>
      </c>
      <c r="R96" s="512">
        <f t="shared" ca="1" si="43"/>
        <v>0</v>
      </c>
      <c r="S96" s="512">
        <f t="shared" ca="1" si="43"/>
        <v>0</v>
      </c>
      <c r="T96" s="512">
        <f t="shared" ca="1" si="43"/>
        <v>0</v>
      </c>
      <c r="U96" s="512">
        <f t="shared" ca="1" si="43"/>
        <v>0</v>
      </c>
      <c r="V96" s="512">
        <f t="shared" ca="1" si="43"/>
        <v>0</v>
      </c>
      <c r="W96" s="512">
        <f t="shared" ca="1" si="43"/>
        <v>0</v>
      </c>
      <c r="X96" s="512">
        <f t="shared" ca="1" si="43"/>
        <v>0</v>
      </c>
      <c r="Y96" s="512">
        <f t="shared" ca="1" si="43"/>
        <v>0</v>
      </c>
      <c r="Z96" s="512">
        <f t="shared" ca="1" si="43"/>
        <v>0</v>
      </c>
      <c r="AA96" s="512">
        <f t="shared" ca="1" si="43"/>
        <v>0</v>
      </c>
      <c r="AB96" s="512">
        <f t="shared" ca="1" si="43"/>
        <v>0</v>
      </c>
    </row>
    <row r="97" spans="1:28" s="310" customFormat="1" ht="12.75">
      <c r="A97" s="310" t="s">
        <v>262</v>
      </c>
      <c r="E97" s="502"/>
      <c r="F97" s="514">
        <f>F75+F68-E75-E68</f>
        <v>-183.63899999999995</v>
      </c>
      <c r="G97" s="502">
        <f>G75+G68-F75-F68</f>
        <v>-14.744000000000003</v>
      </c>
      <c r="H97" s="502">
        <f t="shared" ref="H97" si="44">H75+H68-G75-G68</f>
        <v>-21.389999999999997</v>
      </c>
      <c r="I97" s="502">
        <f t="shared" ref="I97:AB97" si="45">I75-H75</f>
        <v>0</v>
      </c>
      <c r="J97" s="502">
        <f t="shared" si="45"/>
        <v>0</v>
      </c>
      <c r="K97" s="502">
        <f t="shared" si="45"/>
        <v>0</v>
      </c>
      <c r="L97" s="502">
        <f t="shared" si="45"/>
        <v>0</v>
      </c>
      <c r="M97" s="502">
        <f t="shared" si="45"/>
        <v>0</v>
      </c>
      <c r="N97" s="502">
        <f t="shared" si="45"/>
        <v>0</v>
      </c>
      <c r="O97" s="502">
        <f t="shared" si="45"/>
        <v>0</v>
      </c>
      <c r="P97" s="502">
        <f t="shared" si="45"/>
        <v>0</v>
      </c>
      <c r="Q97" s="502">
        <f t="shared" si="45"/>
        <v>0</v>
      </c>
      <c r="R97" s="502">
        <f t="shared" si="45"/>
        <v>0</v>
      </c>
      <c r="S97" s="502">
        <f t="shared" si="45"/>
        <v>0</v>
      </c>
      <c r="T97" s="502">
        <f t="shared" si="45"/>
        <v>0</v>
      </c>
      <c r="U97" s="502">
        <f t="shared" si="45"/>
        <v>0</v>
      </c>
      <c r="V97" s="502">
        <f t="shared" si="45"/>
        <v>0</v>
      </c>
      <c r="W97" s="502">
        <f t="shared" si="45"/>
        <v>0</v>
      </c>
      <c r="X97" s="502">
        <f t="shared" si="45"/>
        <v>0</v>
      </c>
      <c r="Y97" s="502">
        <f t="shared" si="45"/>
        <v>0</v>
      </c>
      <c r="Z97" s="502">
        <f t="shared" si="45"/>
        <v>0</v>
      </c>
      <c r="AA97" s="502">
        <f t="shared" si="45"/>
        <v>0</v>
      </c>
      <c r="AB97" s="502">
        <f t="shared" si="45"/>
        <v>0</v>
      </c>
    </row>
    <row r="98" spans="1:28" s="310" customFormat="1" ht="12.75">
      <c r="A98" s="310" t="s">
        <v>263</v>
      </c>
      <c r="E98" s="512"/>
      <c r="F98" s="514">
        <f t="shared" ref="F98:AB98" si="46">E41-F41+E49-F49</f>
        <v>3.0889999999999986</v>
      </c>
      <c r="G98" s="512">
        <f t="shared" si="46"/>
        <v>-48.690000000000005</v>
      </c>
      <c r="H98" s="512">
        <f t="shared" si="46"/>
        <v>0</v>
      </c>
      <c r="I98" s="512">
        <f t="shared" si="46"/>
        <v>0</v>
      </c>
      <c r="J98" s="512">
        <f t="shared" si="46"/>
        <v>0</v>
      </c>
      <c r="K98" s="512">
        <f t="shared" si="46"/>
        <v>0</v>
      </c>
      <c r="L98" s="512">
        <f t="shared" si="46"/>
        <v>0</v>
      </c>
      <c r="M98" s="512">
        <f t="shared" si="46"/>
        <v>0</v>
      </c>
      <c r="N98" s="512">
        <f t="shared" si="46"/>
        <v>0</v>
      </c>
      <c r="O98" s="512">
        <f t="shared" si="46"/>
        <v>0</v>
      </c>
      <c r="P98" s="512">
        <f t="shared" si="46"/>
        <v>0</v>
      </c>
      <c r="Q98" s="512">
        <f t="shared" si="46"/>
        <v>0</v>
      </c>
      <c r="R98" s="512">
        <f t="shared" si="46"/>
        <v>0</v>
      </c>
      <c r="S98" s="512">
        <f t="shared" si="46"/>
        <v>0</v>
      </c>
      <c r="T98" s="512">
        <f t="shared" si="46"/>
        <v>0</v>
      </c>
      <c r="U98" s="512">
        <f t="shared" si="46"/>
        <v>0</v>
      </c>
      <c r="V98" s="512">
        <f t="shared" si="46"/>
        <v>0</v>
      </c>
      <c r="W98" s="512">
        <f t="shared" si="46"/>
        <v>0</v>
      </c>
      <c r="X98" s="512">
        <f t="shared" si="46"/>
        <v>0</v>
      </c>
      <c r="Y98" s="512">
        <f t="shared" si="46"/>
        <v>0</v>
      </c>
      <c r="Z98" s="512">
        <f t="shared" si="46"/>
        <v>0</v>
      </c>
      <c r="AA98" s="512">
        <f t="shared" si="46"/>
        <v>0</v>
      </c>
      <c r="AB98" s="512">
        <f t="shared" si="46"/>
        <v>0</v>
      </c>
    </row>
    <row r="99" spans="1:28" s="310" customFormat="1" ht="12.75">
      <c r="A99" s="310" t="s">
        <v>688</v>
      </c>
      <c r="E99" s="512"/>
      <c r="F99" s="514">
        <f>E42-F42+F67-E67</f>
        <v>-71.200000000000031</v>
      </c>
      <c r="G99" s="512">
        <f>G42-F42</f>
        <v>-172.27500000000003</v>
      </c>
      <c r="H99" s="512">
        <f>H42-G42</f>
        <v>0</v>
      </c>
      <c r="I99" s="512">
        <f>I42-H42</f>
        <v>0</v>
      </c>
      <c r="J99" s="512">
        <f>J42-I42</f>
        <v>0</v>
      </c>
    </row>
    <row r="100" spans="1:28" s="310" customFormat="1" ht="12.75">
      <c r="A100" s="310" t="s">
        <v>186</v>
      </c>
      <c r="E100" s="512"/>
      <c r="F100" s="514">
        <f>-F88</f>
        <v>194.97</v>
      </c>
      <c r="G100" s="512">
        <f t="shared" ref="G100:J100" si="47">-G88</f>
        <v>116.68</v>
      </c>
      <c r="H100" s="512">
        <f t="shared" ca="1" si="47"/>
        <v>28.425191350179624</v>
      </c>
      <c r="I100" s="512">
        <f t="shared" ca="1" si="47"/>
        <v>39.495175079586986</v>
      </c>
      <c r="J100" s="512">
        <f t="shared" ca="1" si="47"/>
        <v>48.103696774677644</v>
      </c>
      <c r="K100" s="512">
        <f t="shared" ref="K100:AB100" ca="1" si="48">-K88</f>
        <v>57.268359657408567</v>
      </c>
      <c r="L100" s="512">
        <f t="shared" ca="1" si="48"/>
        <v>64.821413747793443</v>
      </c>
      <c r="M100" s="512">
        <f t="shared" ca="1" si="48"/>
        <v>73.822696290617458</v>
      </c>
      <c r="N100" s="512">
        <f t="shared" ca="1" si="48"/>
        <v>85.41103431671479</v>
      </c>
      <c r="O100" s="512">
        <f t="shared" ca="1" si="48"/>
        <v>99.419647001284758</v>
      </c>
      <c r="P100" s="512">
        <f t="shared" ca="1" si="48"/>
        <v>109.32284457290019</v>
      </c>
      <c r="Q100" s="512">
        <f t="shared" ca="1" si="48"/>
        <v>114.54957069227362</v>
      </c>
      <c r="R100" s="512">
        <f t="shared" ca="1" si="48"/>
        <v>117.75464168597512</v>
      </c>
      <c r="S100" s="512">
        <f t="shared" ca="1" si="48"/>
        <v>118.68674214854606</v>
      </c>
      <c r="T100" s="512">
        <f t="shared" ca="1" si="48"/>
        <v>119.88268298819145</v>
      </c>
      <c r="U100" s="512">
        <f t="shared" ca="1" si="48"/>
        <v>121.71688585305023</v>
      </c>
      <c r="V100" s="512">
        <f t="shared" ca="1" si="48"/>
        <v>131.3095784125089</v>
      </c>
      <c r="W100" s="512">
        <f t="shared" ca="1" si="48"/>
        <v>148.50747115724451</v>
      </c>
      <c r="X100" s="512">
        <f t="shared" ca="1" si="48"/>
        <v>153.85575148175195</v>
      </c>
      <c r="Y100" s="512">
        <f t="shared" ca="1" si="48"/>
        <v>171.77210657182525</v>
      </c>
      <c r="Z100" s="512">
        <f t="shared" ca="1" si="48"/>
        <v>190.476295985626</v>
      </c>
      <c r="AA100" s="512">
        <f t="shared" ca="1" si="48"/>
        <v>209.99592392939181</v>
      </c>
      <c r="AB100" s="512">
        <f t="shared" ca="1" si="48"/>
        <v>230.83398131226963</v>
      </c>
    </row>
    <row r="101" spans="1:28">
      <c r="A101" s="548" t="s">
        <v>187</v>
      </c>
      <c r="B101" s="49"/>
      <c r="C101" s="549">
        <f>SUM(C97:C100)</f>
        <v>0</v>
      </c>
      <c r="D101" s="549">
        <f t="shared" ref="D101" si="49">SUM(D97:D100)</f>
        <v>0</v>
      </c>
      <c r="E101" s="549"/>
      <c r="F101" s="549">
        <f t="shared" ref="F101:AB101" si="50">SUM(F96:F100)</f>
        <v>-110.75599999999818</v>
      </c>
      <c r="G101" s="549">
        <f>SUM(G96:G100)</f>
        <v>-124.9020000000001</v>
      </c>
      <c r="H101" s="549">
        <f t="shared" ca="1" si="50"/>
        <v>-621.99482791088462</v>
      </c>
      <c r="I101" s="549">
        <f t="shared" ca="1" si="50"/>
        <v>34.352485198919183</v>
      </c>
      <c r="J101" s="549">
        <f t="shared" ca="1" si="50"/>
        <v>201.74657628131021</v>
      </c>
      <c r="K101" s="549">
        <f t="shared" ca="1" si="50"/>
        <v>57.268359657408567</v>
      </c>
      <c r="L101" s="549">
        <f t="shared" ca="1" si="50"/>
        <v>64.821413747793443</v>
      </c>
      <c r="M101" s="549">
        <f t="shared" ca="1" si="50"/>
        <v>73.822696290617458</v>
      </c>
      <c r="N101" s="549">
        <f t="shared" ca="1" si="50"/>
        <v>85.41103431671479</v>
      </c>
      <c r="O101" s="549">
        <f t="shared" ca="1" si="50"/>
        <v>99.419647001284758</v>
      </c>
      <c r="P101" s="549">
        <f t="shared" ca="1" si="50"/>
        <v>109.32284457290019</v>
      </c>
      <c r="Q101" s="549">
        <f t="shared" ca="1" si="50"/>
        <v>114.54957069227362</v>
      </c>
      <c r="R101" s="549">
        <f t="shared" ca="1" si="50"/>
        <v>117.75464168597512</v>
      </c>
      <c r="S101" s="549">
        <f t="shared" ca="1" si="50"/>
        <v>118.68674214854606</v>
      </c>
      <c r="T101" s="549">
        <f t="shared" ca="1" si="50"/>
        <v>119.88268298819145</v>
      </c>
      <c r="U101" s="549">
        <f t="shared" ca="1" si="50"/>
        <v>121.71688585305023</v>
      </c>
      <c r="V101" s="549">
        <f t="shared" ca="1" si="50"/>
        <v>131.3095784125089</v>
      </c>
      <c r="W101" s="549">
        <f t="shared" ca="1" si="50"/>
        <v>148.50747115724451</v>
      </c>
      <c r="X101" s="549">
        <f t="shared" ca="1" si="50"/>
        <v>153.85575148175195</v>
      </c>
      <c r="Y101" s="549">
        <f t="shared" ca="1" si="50"/>
        <v>171.77210657182525</v>
      </c>
      <c r="Z101" s="549">
        <f t="shared" ca="1" si="50"/>
        <v>190.476295985626</v>
      </c>
      <c r="AA101" s="549">
        <f t="shared" ca="1" si="50"/>
        <v>209.99592392939181</v>
      </c>
      <c r="AB101" s="549">
        <f t="shared" ca="1" si="50"/>
        <v>230.83398131226963</v>
      </c>
    </row>
    <row r="102" spans="1:28" s="310" customFormat="1" ht="12.75"/>
    <row r="103" spans="1:28" s="310" customFormat="1" ht="12.75">
      <c r="A103" s="310" t="s">
        <v>188</v>
      </c>
    </row>
    <row r="104" spans="1:28" s="310" customFormat="1" ht="12.75">
      <c r="A104" s="310" t="s">
        <v>189</v>
      </c>
      <c r="E104" s="502"/>
      <c r="F104" s="502">
        <f>F72-E72</f>
        <v>-120.60200000000009</v>
      </c>
      <c r="G104" s="502">
        <f>G72-F72</f>
        <v>-211.10499999999996</v>
      </c>
      <c r="H104" s="502">
        <f ca="1">H72-G72</f>
        <v>154.5393402012408</v>
      </c>
      <c r="I104" s="502">
        <f t="shared" ref="I104:J104" ca="1" si="51">I72-H72</f>
        <v>5.3414699104846477</v>
      </c>
      <c r="J104" s="502">
        <f t="shared" ca="1" si="51"/>
        <v>8.3556839113671231</v>
      </c>
      <c r="K104" s="545">
        <f t="shared" ref="K104:AB104" ca="1" si="52">K72-J72</f>
        <v>6.1599186850999104</v>
      </c>
      <c r="L104" s="545">
        <f t="shared" ca="1" si="52"/>
        <v>8.3573057803316715</v>
      </c>
      <c r="M104" s="545">
        <f t="shared" ca="1" si="52"/>
        <v>10.113274614731381</v>
      </c>
      <c r="N104" s="545">
        <f t="shared" ca="1" si="52"/>
        <v>13.388197151878671</v>
      </c>
      <c r="O104" s="545">
        <f t="shared" ca="1" si="52"/>
        <v>10.521723800966129</v>
      </c>
      <c r="P104" s="545">
        <f t="shared" ca="1" si="52"/>
        <v>-127.83617967914267</v>
      </c>
      <c r="Q104" s="545">
        <f t="shared" ca="1" si="52"/>
        <v>8.4717213904512505</v>
      </c>
      <c r="R104" s="545">
        <f t="shared" ca="1" si="52"/>
        <v>0.61659753779275661</v>
      </c>
      <c r="S104" s="545">
        <f t="shared" ca="1" si="52"/>
        <v>4.3139003924989652</v>
      </c>
      <c r="T104" s="545">
        <f t="shared" ca="1" si="52"/>
        <v>7.4717749047420625</v>
      </c>
      <c r="U104" s="545">
        <f t="shared" ca="1" si="52"/>
        <v>7.8084291508852175</v>
      </c>
      <c r="V104" s="545">
        <f t="shared" ca="1" si="52"/>
        <v>9.4580371320608947</v>
      </c>
      <c r="W104" s="545">
        <f t="shared" ca="1" si="52"/>
        <v>11.39591579350656</v>
      </c>
      <c r="X104" s="545">
        <f t="shared" ca="1" si="52"/>
        <v>11.324475708885302</v>
      </c>
      <c r="Y104" s="545">
        <f t="shared" ca="1" si="52"/>
        <v>11.837351535450352</v>
      </c>
      <c r="Z104" s="545">
        <f t="shared" ca="1" si="52"/>
        <v>16.82834435764687</v>
      </c>
      <c r="AA104" s="545">
        <f t="shared" ca="1" si="52"/>
        <v>11.604250169357783</v>
      </c>
      <c r="AB104" s="545">
        <f t="shared" ca="1" si="52"/>
        <v>13.719112996970694</v>
      </c>
    </row>
    <row r="105" spans="1:28" s="310" customFormat="1" ht="12.75">
      <c r="A105" s="310" t="s">
        <v>190</v>
      </c>
      <c r="E105" s="502"/>
      <c r="F105" s="502">
        <f>F66+F74-E66-E74-F107-SUMIF('Finance Cost'!$D$7:$BS$7,'Financial Statement'!F7,'Finance Cost'!$D$31:$BS$31)-42.13</f>
        <v>253.39254358503865</v>
      </c>
      <c r="G105" s="502">
        <f>G66+G74-F66-F74-G107-SUMIF('Finance Cost'!$D$7:$BS$7,'Financial Statement'!G7,'Finance Cost'!$D$31:$BS$31)</f>
        <v>91.271350824259457</v>
      </c>
      <c r="H105" s="502">
        <f ca="1">H66+H74-G66-G74-H107-SUMIF('Finance Cost'!$D$7:$BS$7,'Financial Statement'!H7,'Finance Cost'!$D$31:$BS$31)</f>
        <v>589.6230246870507</v>
      </c>
      <c r="I105" s="502">
        <f ca="1">I66+I74-H66-H74-I107-SUMIF('Finance Cost'!$D$7:$BS$7,'Financial Statement'!I7,'Finance Cost'!$D$31:$BS$31)</f>
        <v>-51.767840370024224</v>
      </c>
      <c r="J105" s="502">
        <f ca="1">J66+J74-I66-I74-J107-SUMIF('Finance Cost'!$D$7:$BS$7,'Financial Statement'!J7,'Finance Cost'!$D$31:$BS$31)</f>
        <v>-1.0182965581861936E-12</v>
      </c>
      <c r="K105" s="502">
        <f ca="1">K66+K74-J66-J74-K107-SUMIF('Finance Cost'!$D$7:$BS$7,'Financial Statement'!K7,'Finance Cost'!$D$31:$BS$31)</f>
        <v>4.2588155224621005E-13</v>
      </c>
      <c r="L105" s="502">
        <f>SUMIF(Phasing!$E$7:$P$7,'Financial Statement'!L7,Phasing!$E$57:$P$57)</f>
        <v>0</v>
      </c>
    </row>
    <row r="106" spans="1:28" s="310" customFormat="1" ht="12.75">
      <c r="A106" s="310" t="s">
        <v>384</v>
      </c>
      <c r="E106" s="512"/>
      <c r="F106" s="512">
        <f>-634.025</f>
        <v>-634.02499999999998</v>
      </c>
      <c r="G106" s="512">
        <f>-G87+SUMIF('Finance Cost'!$D$7:$BS$7,'Financial Statement'!G7,'Finance Cost'!$D$31:$BS$31)</f>
        <v>-636.51365082425957</v>
      </c>
      <c r="H106" s="512">
        <f ca="1">-H87+SUMIF('Finance Cost'!$D$7:$BS$7,'Financial Statement'!H7,'Finance Cost'!$D$31:$BS$31)</f>
        <v>-610.65912707502878</v>
      </c>
      <c r="I106" s="512">
        <f ca="1">-I87+SUMIF('Finance Cost'!$D$7:$BS$7,'Financial Statement'!I7,'Finance Cost'!$D$31:$BS$31)</f>
        <v>-586.35049366515648</v>
      </c>
      <c r="J106" s="512">
        <f ca="1">-J87+SUMIF('Finance Cost'!$D$7:$BS$7,'Financial Statement'!J7,'Finance Cost'!$D$31:$BS$31)</f>
        <v>-565.09140948387505</v>
      </c>
      <c r="K106" s="512">
        <f ca="1">-K87+SUMIF('Finance Cost'!$D$7:$BS$7,'Financial Statement'!K7,'Finance Cost'!$D$31:$BS$31)</f>
        <v>-523.74678626470961</v>
      </c>
      <c r="L106" s="512">
        <f ca="1">-L87+SUMIF('Finance Cost'!$D$7:$BS$7,'Financial Statement'!L7,'Finance Cost'!$D$31:$BS$31)</f>
        <v>-481.18527345410013</v>
      </c>
      <c r="M106" s="512">
        <f ca="1">-M87+SUMIF('Finance Cost'!$D$7:$BS$7,'Financial Statement'!M7,'Finance Cost'!$D$31:$BS$31)</f>
        <v>-436.5656793238665</v>
      </c>
      <c r="N106" s="512">
        <f ca="1">-N87+SUMIF('Finance Cost'!$D$7:$BS$7,'Financial Statement'!N7,'Finance Cost'!$D$31:$BS$31)</f>
        <v>-395.05418023073315</v>
      </c>
      <c r="O106" s="512">
        <f ca="1">-O87+SUMIF('Finance Cost'!$D$7:$BS$7,'Financial Statement'!O7,'Finance Cost'!$D$31:$BS$31)</f>
        <v>-352.46670311755145</v>
      </c>
      <c r="P106" s="512">
        <f ca="1">-P87+SUMIF('Finance Cost'!$D$7:$BS$7,'Financial Statement'!P7,'Finance Cost'!$D$31:$BS$31)</f>
        <v>-301.25825557011069</v>
      </c>
      <c r="Q106" s="512">
        <f ca="1">-Q87+SUMIF('Finance Cost'!$D$7:$BS$7,'Financial Statement'!Q7,'Finance Cost'!$D$31:$BS$31)</f>
        <v>-249.92054934157821</v>
      </c>
      <c r="R106" s="512">
        <f ca="1">-R87+SUMIF('Finance Cost'!$D$7:$BS$7,'Financial Statement'!R7,'Finance Cost'!$D$31:$BS$31)</f>
        <v>-204.91995061672716</v>
      </c>
      <c r="S106" s="512">
        <f ca="1">-S87+SUMIF('Finance Cost'!$D$7:$BS$7,'Financial Statement'!S7,'Finance Cost'!$D$31:$BS$31)</f>
        <v>-158.90501039809064</v>
      </c>
      <c r="T106" s="512">
        <f ca="1">-T87+SUMIF('Finance Cost'!$D$7:$BS$7,'Financial Statement'!T7,'Finance Cost'!$D$31:$BS$31)</f>
        <v>-112.72554078060456</v>
      </c>
      <c r="U106" s="512">
        <f ca="1">-U87+SUMIF('Finance Cost'!$D$7:$BS$7,'Financial Statement'!U7,'Finance Cost'!$D$31:$BS$31)</f>
        <v>-56.287886110088245</v>
      </c>
      <c r="V106" s="512">
        <f ca="1">-V87+SUMIF('Finance Cost'!$D$7:$BS$7,'Financial Statement'!V7,'Finance Cost'!$D$31:$BS$31)</f>
        <v>-43.35742337038112</v>
      </c>
      <c r="W106" s="512">
        <f ca="1">-W87+SUMIF('Finance Cost'!$D$7:$BS$7,'Financial Statement'!W7,'Finance Cost'!$D$31:$BS$31)</f>
        <v>-44.199765910091038</v>
      </c>
      <c r="X106" s="512">
        <f ca="1">-X87+SUMIF('Finance Cost'!$D$7:$BS$7,'Financial Statement'!X7,'Finance Cost'!$D$31:$BS$31)</f>
        <v>-45.159702451067091</v>
      </c>
      <c r="Y106" s="512">
        <f ca="1">-Y87+SUMIF('Finance Cost'!$D$7:$BS$7,'Financial Statement'!Y7,'Finance Cost'!$D$31:$BS$31)</f>
        <v>-46.138289652140273</v>
      </c>
      <c r="Z106" s="512">
        <f ca="1">-Z87+SUMIF('Finance Cost'!$D$7:$BS$7,'Financial Statement'!Z7,'Finance Cost'!$D$31:$BS$31)</f>
        <v>-47.349415303623616</v>
      </c>
      <c r="AA106" s="512">
        <f ca="1">-AA87+SUMIF('Finance Cost'!$D$7:$BS$7,'Financial Statement'!AA7,'Finance Cost'!$D$31:$BS$31)</f>
        <v>-48.550692422389552</v>
      </c>
      <c r="AB106" s="512">
        <f ca="1">-AB87+SUMIF('Finance Cost'!$D$7:$BS$7,'Financial Statement'!AB7,'Finance Cost'!$D$31:$BS$31)</f>
        <v>-49.620604516166935</v>
      </c>
    </row>
    <row r="107" spans="1:28" s="310" customFormat="1" ht="12.75">
      <c r="A107" s="310" t="s">
        <v>191</v>
      </c>
      <c r="E107" s="502"/>
      <c r="F107" s="502">
        <f>-198.84</f>
        <v>-198.84</v>
      </c>
      <c r="G107" s="502">
        <f>IF(Assumption!$F$1="with FGD",-(SUMIF('Finance Cost'!E7:BU7,G7,'Finance Cost'!E12:BU12)+SUMIF('Finance Cost'!E7:BU7,G7,'Finance Cost'!E20:BU20)+SUMIF('FGD Phasing'!$D$84:$CH$84,'Financial Statement'!G7,'FGD Phasing'!$D$92:$CH$92)),-(SUMIF('Finance Cost'!E7:BU7,G7,'Finance Cost'!E12:BU12)+SUMIF('Finance Cost'!E7:BU7,G7,'Finance Cost'!E20:BU20)))</f>
        <v>-167.61169999999998</v>
      </c>
      <c r="H107" s="502">
        <f>-(SUMIF('Finance Cost'!C7:BR7,'Financial Statement'!H7,'Finance Cost'!C12:BR12)+SUMIF('Finance Cost'!C7:BR7,'Financial Statement'!H7,'Finance Cost'!C20:BR20)+SUMIF('FGD Phasing'!C84:CT84,'Financial Statement'!H7,'FGD Phasing'!C89:CT89))</f>
        <v>-457.17650000000003</v>
      </c>
      <c r="I107" s="502">
        <f ca="1">-(SUMIF('Finance Cost'!D7:BS7,'Financial Statement'!I7,'Finance Cost'!D12:BS12)+SUMIF('Finance Cost'!D7:BS7,'Financial Statement'!I7,'Finance Cost'!D20:BS20)+SUMIF('FGD Phasing'!D84:CU84,'Financial Statement'!I7,'FGD Phasing'!D89:CU89))</f>
        <v>-326.70389488905289</v>
      </c>
      <c r="J107" s="502">
        <f ca="1">-(SUMIF('Finance Cost'!E7:BT7,'Financial Statement'!J7,'Finance Cost'!E12:BT12)+SUMIF('Finance Cost'!E7:BT7,'Financial Statement'!J7,'Finance Cost'!E20:BT20)+SUMIF('FGD Phasing'!E84:CV84,'Financial Statement'!J7,'FGD Phasing'!E89:CV89))</f>
        <v>-404.1843897781057</v>
      </c>
      <c r="K107" s="502">
        <f ca="1">-(SUMIF('Finance Cost'!F7:BU7,'Financial Statement'!K7,'Finance Cost'!F12:BU12)+SUMIF('Finance Cost'!F7:BU7,'Financial Statement'!K7,'Finance Cost'!F20:BU20)+SUMIF('FGD Phasing'!F84:CW84,'Financial Statement'!K7,'FGD Phasing'!F89:CW89))</f>
        <v>-432.68463977810575</v>
      </c>
      <c r="L107" s="502">
        <f ca="1">-(SUMIF('Finance Cost'!G7:BV7,'Financial Statement'!L7,'Finance Cost'!G12:BV12)+SUMIF('Finance Cost'!G7:BV7,'Financial Statement'!L7,'Finance Cost'!G20:BV20)+SUMIF('FGD Phasing'!G84:CX84,'Financial Statement'!L7,'FGD Phasing'!G89:CX89))</f>
        <v>-461.8492897781058</v>
      </c>
      <c r="M107" s="502">
        <f ca="1">-(SUMIF('Finance Cost'!H7:BW7,'Financial Statement'!M7,'Finance Cost'!H12:BW12)+SUMIF('Finance Cost'!H7:BW7,'Financial Statement'!M7,'Finance Cost'!H20:BW20)+SUMIF('FGD Phasing'!H84:CY84,'Financial Statement'!M7,'FGD Phasing'!H89:CY89))</f>
        <v>-460.00786350036901</v>
      </c>
      <c r="N107" s="502">
        <f ca="1">-(SUMIF('Finance Cost'!I7:BX7,'Financial Statement'!N7,'Finance Cost'!I12:BX12)+SUMIF('Finance Cost'!I7:BX7,'Financial Statement'!N7,'Finance Cost'!I20:BX20)+SUMIF('FGD Phasing'!I84:CZ84,'Financial Statement'!N7,'FGD Phasing'!I89:CZ89))</f>
        <v>-439.24178466715864</v>
      </c>
      <c r="O107" s="502">
        <f ca="1">-(SUMIF('Finance Cost'!J7:BY7,'Financial Statement'!O7,'Finance Cost'!J12:BY12)+SUMIF('Finance Cost'!J7:BY7,'Financial Statement'!O7,'Finance Cost'!J20:BY20)+SUMIF('FGD Phasing'!J84:DA84,'Financial Statement'!O7,'FGD Phasing'!J89:DA89))</f>
        <v>-456.47678466715865</v>
      </c>
      <c r="P107" s="502">
        <f ca="1">-(SUMIF('Finance Cost'!K7:BZ7,'Financial Statement'!P7,'Finance Cost'!K12:BZ12)+SUMIF('Finance Cost'!K7:BZ7,'Financial Statement'!P7,'Finance Cost'!K20:BZ20)+SUMIF('FGD Phasing'!K84:DB84,'Financial Statement'!P7,'FGD Phasing'!K89:DB89))</f>
        <v>-484.01893722263225</v>
      </c>
      <c r="Q107" s="502">
        <f ca="1">-(SUMIF('Finance Cost'!L7:CA7,'Financial Statement'!Q7,'Finance Cost'!L12:CA12)+SUMIF('Finance Cost'!L7:CA7,'Financial Statement'!Q7,'Finance Cost'!L20:CA20)+SUMIF('FGD Phasing'!L84:DC84,'Financial Statement'!Q7,'FGD Phasing'!L89:DC89))</f>
        <v>-475.17489488905289</v>
      </c>
      <c r="R107" s="502">
        <f ca="1">-(SUMIF('Finance Cost'!M7:CB7,'Financial Statement'!R7,'Finance Cost'!M12:CB12)+SUMIF('Finance Cost'!M7:CB7,'Financial Statement'!R7,'Finance Cost'!M20:CB20)+SUMIF('FGD Phasing'!M84:DD84,'Financial Statement'!R7,'FGD Phasing'!M89:DD89))</f>
        <v>-475.17489488905289</v>
      </c>
      <c r="S107" s="502">
        <f ca="1">-(SUMIF('Finance Cost'!N7:CC7,'Financial Statement'!S7,'Finance Cost'!N12:CC12)+SUMIF('Finance Cost'!N7:CC7,'Financial Statement'!S7,'Finance Cost'!N20:CC20)+SUMIF('FGD Phasing'!N84:DE84,'Financial Statement'!S7,'FGD Phasing'!N89:DE89))</f>
        <v>-477.97441861131614</v>
      </c>
      <c r="T107" s="502">
        <f ca="1">-(SUMIF('Finance Cost'!O7:CD7,'Financial Statement'!T7,'Finance Cost'!O12:CD12)+SUMIF('Finance Cost'!O7:CD7,'Financial Statement'!T7,'Finance Cost'!O20:CD20)+SUMIF('FGD Phasing'!O84:DF84,'Financial Statement'!T7,'FGD Phasing'!O89:DF89))</f>
        <v>-486.37298977810576</v>
      </c>
      <c r="U107" s="502">
        <f ca="1">-(SUMIF('Finance Cost'!P7:CE7,'Financial Statement'!U7,'Finance Cost'!P12:CE12)+SUMIF('Finance Cost'!P7:CE7,'Financial Statement'!U7,'Finance Cost'!P20:CE20)+SUMIF('FGD Phasing'!P84:DG84,'Financial Statement'!U7,'FGD Phasing'!P89:DG89))</f>
        <v>-485.573572555846</v>
      </c>
      <c r="V107" s="502">
        <f ca="1">-(SUMIF('Finance Cost'!Q7:CF7,'Financial Statement'!V7,'Finance Cost'!Q12:CF12)+SUMIF('Finance Cost'!Q7:CF7,'Financial Statement'!V7,'Finance Cost'!Q20:CF20)+SUMIF('FGD Phasing'!Q84:DH84,'Financial Statement'!V7,'FGD Phasing'!Q89:DH89))</f>
        <v>-2.7995237222632205</v>
      </c>
      <c r="W107" s="502">
        <f ca="1">-(SUMIF('Finance Cost'!R7:CG7,'Financial Statement'!W7,'Finance Cost'!R12:CG12)+SUMIF('Finance Cost'!R7:CG7,'Financial Statement'!W7,'Finance Cost'!R20:CG20)+SUMIF('FGD Phasing'!R84:DI84,'Financial Statement'!W7,'FGD Phasing'!R89:DI89))</f>
        <v>0</v>
      </c>
      <c r="X107" s="502">
        <f ca="1">-(SUMIF('Finance Cost'!S7:CH7,'Financial Statement'!X7,'Finance Cost'!S12:CH12)+SUMIF('Finance Cost'!S7:CH7,'Financial Statement'!X7,'Finance Cost'!S20:CH20)+SUMIF('FGD Phasing'!S84:DJ84,'Financial Statement'!X7,'FGD Phasing'!S89:DJ89))</f>
        <v>0</v>
      </c>
      <c r="Y107" s="502">
        <f ca="1">-(SUMIF('Finance Cost'!T7:CI7,'Financial Statement'!Y7,'Finance Cost'!T12:CI12)+SUMIF('Finance Cost'!T7:CI7,'Financial Statement'!Y7,'Finance Cost'!T20:CI20)+SUMIF('FGD Phasing'!T84:DK84,'Financial Statement'!Y7,'FGD Phasing'!T89:DK89))</f>
        <v>0</v>
      </c>
      <c r="Z107" s="502">
        <f ca="1">-(SUMIF('Finance Cost'!U7:CJ7,'Financial Statement'!Z7,'Finance Cost'!U12:CJ12)+SUMIF('Finance Cost'!U7:CJ7,'Financial Statement'!Z7,'Finance Cost'!U20:CJ20)+SUMIF('FGD Phasing'!U84:DL84,'Financial Statement'!Z7,'FGD Phasing'!U89:DL89))</f>
        <v>0</v>
      </c>
      <c r="AA107" s="502">
        <f>IF(Assumption!$F$1="with FGD",-(SUMIF('Finance Cost'!Y7:CO7,AA7,'Finance Cost'!Y12:CO12)+SUMIF('Finance Cost'!Y7:CO7,AA7,'Finance Cost'!Y20:CO20)+SUMIF('FGD Phasing'!$D$84:$CH$84,'Financial Statement'!AA7,'FGD Phasing'!$D$92:$CH$92)),-(SUMIF('Finance Cost'!Y7:CO7,AA7,'Finance Cost'!Y12:CO12)+SUMIF('Finance Cost'!Y7:CO7,AA7,'Finance Cost'!Y20:CO20)))</f>
        <v>0</v>
      </c>
      <c r="AB107" s="502">
        <f>IF(Assumption!$F$1="with FGD",-(SUMIF('Finance Cost'!Z7:CP7,AB7,'Finance Cost'!Z12:CP12)+SUMIF('Finance Cost'!Z7:CP7,AB7,'Finance Cost'!Z20:CP20)+SUMIF('FGD Phasing'!$D$84:$CH$84,'Financial Statement'!AB7,'FGD Phasing'!$D$92:$CH$92)),-(SUMIF('Finance Cost'!Z7:CP7,AB7,'Finance Cost'!Z12:CP12)+SUMIF('Finance Cost'!Z7:CP7,AB7,'Finance Cost'!Z20:CP20)))</f>
        <v>0</v>
      </c>
    </row>
    <row r="108" spans="1:28">
      <c r="A108" s="548" t="s">
        <v>192</v>
      </c>
      <c r="B108" s="49"/>
      <c r="C108" s="549">
        <f>SUM(C105:C107)</f>
        <v>0</v>
      </c>
      <c r="D108" s="549">
        <f t="shared" ref="D108" si="53">SUM(D105:D107)</f>
        <v>0</v>
      </c>
      <c r="E108" s="549"/>
      <c r="F108" s="549">
        <f t="shared" ref="F108:AB108" si="54">SUM(F103:F107)</f>
        <v>-700.07445641496145</v>
      </c>
      <c r="G108" s="549">
        <f t="shared" si="54"/>
        <v>-923.95900000000006</v>
      </c>
      <c r="H108" s="549">
        <f t="shared" ca="1" si="54"/>
        <v>-323.67326218673736</v>
      </c>
      <c r="I108" s="549">
        <f t="shared" ca="1" si="54"/>
        <v>-959.48075901374898</v>
      </c>
      <c r="J108" s="549">
        <f t="shared" ca="1" si="54"/>
        <v>-960.92011535061465</v>
      </c>
      <c r="K108" s="549">
        <f t="shared" ca="1" si="54"/>
        <v>-950.271507357715</v>
      </c>
      <c r="L108" s="549">
        <f t="shared" ca="1" si="54"/>
        <v>-934.67725745187431</v>
      </c>
      <c r="M108" s="549">
        <f t="shared" ca="1" si="54"/>
        <v>-886.46026820950419</v>
      </c>
      <c r="N108" s="549">
        <f t="shared" ca="1" si="54"/>
        <v>-820.90776774601318</v>
      </c>
      <c r="O108" s="549">
        <f t="shared" ca="1" si="54"/>
        <v>-798.42176398374397</v>
      </c>
      <c r="P108" s="549">
        <f t="shared" ca="1" si="54"/>
        <v>-913.11337247188567</v>
      </c>
      <c r="Q108" s="549">
        <f t="shared" ca="1" si="54"/>
        <v>-716.62372284017988</v>
      </c>
      <c r="R108" s="549">
        <f t="shared" ca="1" si="54"/>
        <v>-679.47824796798727</v>
      </c>
      <c r="S108" s="549">
        <f t="shared" ca="1" si="54"/>
        <v>-632.56552861690784</v>
      </c>
      <c r="T108" s="549">
        <f t="shared" ca="1" si="54"/>
        <v>-591.6267556539683</v>
      </c>
      <c r="U108" s="549">
        <f t="shared" ca="1" si="54"/>
        <v>-534.05302951504905</v>
      </c>
      <c r="V108" s="549">
        <f t="shared" ca="1" si="54"/>
        <v>-36.69890996058345</v>
      </c>
      <c r="W108" s="549">
        <f t="shared" ca="1" si="54"/>
        <v>-32.803850116584478</v>
      </c>
      <c r="X108" s="549">
        <f t="shared" ca="1" si="54"/>
        <v>-33.835226742181788</v>
      </c>
      <c r="Y108" s="549">
        <f t="shared" ca="1" si="54"/>
        <v>-34.30093811668992</v>
      </c>
      <c r="Z108" s="549">
        <f t="shared" ca="1" si="54"/>
        <v>-30.521070945976746</v>
      </c>
      <c r="AA108" s="549">
        <f t="shared" ca="1" si="54"/>
        <v>-36.946442253031769</v>
      </c>
      <c r="AB108" s="549">
        <f t="shared" ca="1" si="54"/>
        <v>-35.901491519196242</v>
      </c>
    </row>
    <row r="109" spans="1:28">
      <c r="A109" s="578"/>
      <c r="B109" s="579"/>
      <c r="C109" s="580"/>
      <c r="D109" s="580"/>
      <c r="E109" s="580"/>
      <c r="F109" s="580"/>
      <c r="G109" s="580"/>
      <c r="H109" s="580"/>
      <c r="I109" s="580"/>
      <c r="J109" s="580"/>
      <c r="K109" s="580"/>
      <c r="L109" s="580"/>
      <c r="M109" s="580"/>
      <c r="N109" s="580"/>
      <c r="O109" s="580"/>
      <c r="P109" s="580"/>
      <c r="Q109" s="580"/>
      <c r="R109" s="580"/>
      <c r="S109" s="580"/>
      <c r="T109" s="580"/>
      <c r="U109" s="580"/>
      <c r="V109" s="580"/>
      <c r="W109" s="580"/>
      <c r="X109" s="580"/>
      <c r="Y109" s="580"/>
      <c r="Z109" s="580"/>
      <c r="AA109" s="580"/>
      <c r="AB109" s="580"/>
    </row>
    <row r="110" spans="1:28" s="310" customFormat="1" ht="12.75">
      <c r="A110" s="581" t="s">
        <v>692</v>
      </c>
      <c r="G110" s="310">
        <v>408</v>
      </c>
    </row>
    <row r="111" spans="1:28">
      <c r="A111" s="548" t="s">
        <v>193</v>
      </c>
      <c r="B111" s="49"/>
      <c r="C111" s="549">
        <f>C108+C101+C94</f>
        <v>0</v>
      </c>
      <c r="D111" s="549">
        <f>D108+D101+D94</f>
        <v>0</v>
      </c>
      <c r="E111" s="549"/>
      <c r="F111" s="549">
        <f t="shared" ref="F111:AB111" si="55">F108+F101+F94</f>
        <v>-5.3414564149595662</v>
      </c>
      <c r="G111" s="549">
        <f ca="1">G108+G101+G94+G110</f>
        <v>379.26799999999923</v>
      </c>
      <c r="H111" s="549">
        <f t="shared" ca="1" si="55"/>
        <v>536.01275667864172</v>
      </c>
      <c r="I111" s="549">
        <f t="shared" ca="1" si="55"/>
        <v>201.98615861518215</v>
      </c>
      <c r="J111" s="549">
        <f t="shared" ca="1" si="55"/>
        <v>371.91528772419531</v>
      </c>
      <c r="K111" s="549">
        <f t="shared" ca="1" si="55"/>
        <v>239.06223779119944</v>
      </c>
      <c r="L111" s="549">
        <f t="shared" ca="1" si="55"/>
        <v>264.47470156779218</v>
      </c>
      <c r="M111" s="549">
        <f t="shared" ca="1" si="55"/>
        <v>335.61080128714173</v>
      </c>
      <c r="N111" s="549">
        <f t="shared" ca="1" si="55"/>
        <v>436.9450671193473</v>
      </c>
      <c r="O111" s="549">
        <f t="shared" ca="1" si="55"/>
        <v>496.96244518531785</v>
      </c>
      <c r="P111" s="549">
        <f t="shared" ca="1" si="55"/>
        <v>163.25072625571102</v>
      </c>
      <c r="Q111" s="549">
        <f t="shared" ca="1" si="55"/>
        <v>185.19768170251768</v>
      </c>
      <c r="R111" s="549">
        <f t="shared" ca="1" si="55"/>
        <v>28.473717877581407</v>
      </c>
      <c r="S111" s="549">
        <f t="shared" ca="1" si="55"/>
        <v>33.66631296048206</v>
      </c>
      <c r="T111" s="549">
        <f t="shared" ca="1" si="55"/>
        <v>46.063076349210689</v>
      </c>
      <c r="U111" s="549">
        <f t="shared" ca="1" si="55"/>
        <v>76.217114641369676</v>
      </c>
      <c r="V111" s="549">
        <f t="shared" ca="1" si="55"/>
        <v>563.29572265592503</v>
      </c>
      <c r="W111" s="549">
        <f t="shared" ca="1" si="55"/>
        <v>583.23046032602201</v>
      </c>
      <c r="X111" s="549">
        <f t="shared" ca="1" si="55"/>
        <v>589.3215613109387</v>
      </c>
      <c r="Y111" s="549">
        <f t="shared" ca="1" si="55"/>
        <v>605.10211134004749</v>
      </c>
      <c r="Z111" s="549">
        <f t="shared" ca="1" si="55"/>
        <v>641.84384970278643</v>
      </c>
      <c r="AA111" s="549">
        <f t="shared" ca="1" si="55"/>
        <v>659.46467920465739</v>
      </c>
      <c r="AB111" s="549">
        <f t="shared" ca="1" si="55"/>
        <v>729.73914973371336</v>
      </c>
    </row>
    <row r="112" spans="1:28">
      <c r="A112" s="548" t="s">
        <v>116</v>
      </c>
      <c r="B112" s="49"/>
      <c r="C112" s="549"/>
      <c r="D112" s="549">
        <f>C113</f>
        <v>0</v>
      </c>
      <c r="E112" s="549"/>
      <c r="F112" s="549">
        <f t="shared" ref="F112:AB112" si="56">E113</f>
        <v>280.67400000000004</v>
      </c>
      <c r="G112" s="549">
        <f t="shared" si="56"/>
        <v>275.33254358504047</v>
      </c>
      <c r="H112" s="549">
        <f>G113</f>
        <v>271.5</v>
      </c>
      <c r="I112" s="549">
        <f t="shared" ca="1" si="56"/>
        <v>807.51275667864172</v>
      </c>
      <c r="J112" s="549">
        <f t="shared" ca="1" si="56"/>
        <v>1009.4989152938239</v>
      </c>
      <c r="K112" s="549">
        <f t="shared" ca="1" si="56"/>
        <v>1381.4142030180192</v>
      </c>
      <c r="L112" s="549">
        <f t="shared" ca="1" si="56"/>
        <v>1620.4764408092187</v>
      </c>
      <c r="M112" s="549">
        <f t="shared" ca="1" si="56"/>
        <v>1884.9511423770109</v>
      </c>
      <c r="N112" s="549">
        <f t="shared" ca="1" si="56"/>
        <v>2220.5619436641527</v>
      </c>
      <c r="O112" s="549">
        <f t="shared" ca="1" si="56"/>
        <v>2657.5070107835004</v>
      </c>
      <c r="P112" s="549">
        <f t="shared" ca="1" si="56"/>
        <v>3154.4694559688182</v>
      </c>
      <c r="Q112" s="549">
        <f t="shared" ca="1" si="56"/>
        <v>3317.7201822245288</v>
      </c>
      <c r="R112" s="549">
        <f t="shared" ca="1" si="56"/>
        <v>3502.9178639270467</v>
      </c>
      <c r="S112" s="549">
        <f t="shared" ca="1" si="56"/>
        <v>3531.391581804628</v>
      </c>
      <c r="T112" s="549">
        <f t="shared" ca="1" si="56"/>
        <v>3565.0578947651102</v>
      </c>
      <c r="U112" s="549">
        <f t="shared" ca="1" si="56"/>
        <v>3611.120971114321</v>
      </c>
      <c r="V112" s="549">
        <f t="shared" ca="1" si="56"/>
        <v>3687.338085755689</v>
      </c>
      <c r="W112" s="549">
        <f t="shared" ca="1" si="56"/>
        <v>4250.6338084116287</v>
      </c>
      <c r="X112" s="549">
        <f t="shared" ca="1" si="56"/>
        <v>4833.8642687375232</v>
      </c>
      <c r="Y112" s="549">
        <f t="shared" ca="1" si="56"/>
        <v>5423.1858300494378</v>
      </c>
      <c r="Z112" s="549">
        <f t="shared" ca="1" si="56"/>
        <v>6028.2879413827804</v>
      </c>
      <c r="AA112" s="549">
        <f t="shared" ca="1" si="56"/>
        <v>6670.1317911274291</v>
      </c>
      <c r="AB112" s="549">
        <f t="shared" ca="1" si="56"/>
        <v>7329.5964700926643</v>
      </c>
    </row>
    <row r="113" spans="1:28" ht="15.75" thickBot="1">
      <c r="A113" s="551" t="s">
        <v>119</v>
      </c>
      <c r="B113" s="552"/>
      <c r="C113" s="564">
        <f>C112+C111</f>
        <v>0</v>
      </c>
      <c r="D113" s="564">
        <f>D51</f>
        <v>426.93299999999999</v>
      </c>
      <c r="E113" s="564">
        <f>E51</f>
        <v>280.67400000000004</v>
      </c>
      <c r="F113" s="564">
        <f>F112+F111</f>
        <v>275.33254358504047</v>
      </c>
      <c r="G113" s="564">
        <v>271.5</v>
      </c>
      <c r="H113" s="619">
        <f ca="1">H112+H111-G63</f>
        <v>807.51275667864172</v>
      </c>
      <c r="I113" s="564">
        <f ca="1">I112+I111-H63</f>
        <v>1009.4989152938239</v>
      </c>
      <c r="J113" s="564">
        <f t="shared" ref="J113:AB113" ca="1" si="57">J112+J111</f>
        <v>1381.4142030180192</v>
      </c>
      <c r="K113" s="564">
        <f t="shared" ca="1" si="57"/>
        <v>1620.4764408092187</v>
      </c>
      <c r="L113" s="564">
        <f t="shared" ca="1" si="57"/>
        <v>1884.9511423770109</v>
      </c>
      <c r="M113" s="564">
        <f t="shared" ca="1" si="57"/>
        <v>2220.5619436641527</v>
      </c>
      <c r="N113" s="564">
        <f t="shared" ca="1" si="57"/>
        <v>2657.5070107834999</v>
      </c>
      <c r="O113" s="564">
        <f t="shared" ca="1" si="57"/>
        <v>3154.4694559688182</v>
      </c>
      <c r="P113" s="564">
        <f t="shared" ca="1" si="57"/>
        <v>3317.7201822245293</v>
      </c>
      <c r="Q113" s="564">
        <f t="shared" ca="1" si="57"/>
        <v>3502.9178639270467</v>
      </c>
      <c r="R113" s="564">
        <f t="shared" ca="1" si="57"/>
        <v>3531.391581804628</v>
      </c>
      <c r="S113" s="564">
        <f t="shared" ca="1" si="57"/>
        <v>3565.0578947651102</v>
      </c>
      <c r="T113" s="564">
        <f t="shared" ca="1" si="57"/>
        <v>3611.120971114321</v>
      </c>
      <c r="U113" s="564">
        <f t="shared" ca="1" si="57"/>
        <v>3687.3380857556908</v>
      </c>
      <c r="V113" s="564">
        <f t="shared" ca="1" si="57"/>
        <v>4250.6338084116142</v>
      </c>
      <c r="W113" s="564">
        <f t="shared" ca="1" si="57"/>
        <v>4833.8642687376505</v>
      </c>
      <c r="X113" s="564">
        <f t="shared" ca="1" si="57"/>
        <v>5423.1858300484619</v>
      </c>
      <c r="Y113" s="564">
        <f t="shared" ca="1" si="57"/>
        <v>6028.2879413894852</v>
      </c>
      <c r="Z113" s="564">
        <f t="shared" ca="1" si="57"/>
        <v>6670.1317910855669</v>
      </c>
      <c r="AA113" s="564">
        <f t="shared" ca="1" si="57"/>
        <v>7329.596470332086</v>
      </c>
      <c r="AB113" s="564">
        <f t="shared" ca="1" si="57"/>
        <v>8059.3356198263773</v>
      </c>
    </row>
    <row r="114" spans="1:28" ht="15.75" thickTop="1">
      <c r="A114" s="578"/>
      <c r="B114" s="582"/>
      <c r="C114" s="583"/>
      <c r="D114" s="583"/>
      <c r="E114" s="583"/>
      <c r="F114" s="583"/>
      <c r="G114" s="583"/>
      <c r="H114" s="583"/>
      <c r="I114" s="583"/>
      <c r="J114" s="583"/>
      <c r="K114" s="583"/>
      <c r="L114" s="583"/>
      <c r="M114" s="583"/>
      <c r="N114" s="583"/>
      <c r="O114" s="583"/>
      <c r="P114" s="583"/>
      <c r="Q114" s="583"/>
      <c r="R114" s="583"/>
      <c r="S114" s="583"/>
      <c r="T114" s="583"/>
      <c r="U114" s="583"/>
      <c r="V114" s="583"/>
      <c r="W114" s="583"/>
      <c r="X114" s="583"/>
      <c r="Y114" s="583"/>
      <c r="Z114" s="583"/>
      <c r="AA114" s="583"/>
      <c r="AB114" s="583"/>
    </row>
    <row r="115" spans="1:28" s="310" customFormat="1" ht="12.75">
      <c r="E115" s="512"/>
      <c r="F115" s="512"/>
      <c r="G115" s="510"/>
    </row>
    <row r="116" spans="1:28" s="310" customFormat="1" ht="12.75">
      <c r="E116" s="569"/>
      <c r="F116" s="514"/>
      <c r="G116" s="514"/>
      <c r="H116" s="570"/>
      <c r="I116" s="569"/>
      <c r="J116" s="569"/>
    </row>
    <row r="117" spans="1:28" s="573" customFormat="1">
      <c r="A117" s="571" t="s">
        <v>31</v>
      </c>
      <c r="B117" s="572"/>
      <c r="C117" s="571"/>
      <c r="D117" s="571"/>
      <c r="E117" s="571"/>
      <c r="F117" s="571"/>
      <c r="G117" s="571"/>
      <c r="H117" s="571"/>
      <c r="I117" s="571"/>
      <c r="J117" s="571"/>
      <c r="K117" s="571"/>
      <c r="L117" s="571"/>
      <c r="M117" s="571"/>
      <c r="N117" s="571"/>
      <c r="O117" s="571"/>
      <c r="P117" s="571"/>
      <c r="Q117" s="571"/>
      <c r="R117" s="571"/>
      <c r="S117" s="571"/>
      <c r="T117" s="571"/>
      <c r="U117" s="571"/>
      <c r="V117" s="571"/>
      <c r="W117" s="571"/>
      <c r="X117" s="571"/>
      <c r="Y117" s="571"/>
      <c r="Z117" s="571"/>
      <c r="AA117" s="571"/>
      <c r="AB117" s="571"/>
    </row>
    <row r="118" spans="1:28" s="310" customFormat="1" ht="12.75"/>
    <row r="119" spans="1:28" s="310" customFormat="1" ht="12.75">
      <c r="E119" s="514"/>
    </row>
    <row r="120" spans="1:28" s="310" customFormat="1" ht="12.75"/>
    <row r="121" spans="1:28" s="310" customFormat="1" ht="12.75"/>
    <row r="122" spans="1:28" s="310" customFormat="1" ht="12.75">
      <c r="C122" s="574"/>
    </row>
    <row r="123" spans="1:28" s="310" customFormat="1" ht="12.75">
      <c r="C123" s="574"/>
    </row>
    <row r="124" spans="1:28" s="310" customFormat="1" ht="12.75"/>
    <row r="125" spans="1:28" s="310" customFormat="1" ht="12.75"/>
    <row r="126" spans="1:28" s="310" customFormat="1" ht="12.75"/>
    <row r="127" spans="1:28" s="310" customFormat="1" ht="12.75"/>
    <row r="128" spans="1:28" s="310" customFormat="1" ht="12.75"/>
    <row r="129" spans="3:3" s="310" customFormat="1" ht="12.75"/>
    <row r="130" spans="3:3" s="310" customFormat="1" ht="12.75"/>
    <row r="131" spans="3:3" s="310" customFormat="1" ht="12.75">
      <c r="C131" s="514"/>
    </row>
    <row r="132" spans="3:3" s="310" customFormat="1" ht="12.75"/>
    <row r="133" spans="3:3" s="310" customFormat="1" ht="12.75"/>
    <row r="134" spans="3:3" s="310" customFormat="1" ht="12.75"/>
    <row r="135" spans="3:3" s="310" customFormat="1" ht="12.75"/>
    <row r="136" spans="3:3" s="310" customFormat="1" ht="12.75"/>
    <row r="137" spans="3:3" s="310" customFormat="1" ht="12.75"/>
    <row r="138" spans="3:3" s="310" customFormat="1" ht="12.75"/>
    <row r="139" spans="3:3" s="310" customFormat="1" ht="12.75"/>
    <row r="140" spans="3:3" s="310" customFormat="1" ht="12.75"/>
    <row r="141" spans="3:3" s="310" customFormat="1" ht="12.75"/>
    <row r="142" spans="3:3" s="310" customFormat="1" ht="12.75"/>
    <row r="143" spans="3:3" s="310" customFormat="1" ht="12.75"/>
    <row r="144" spans="3:3" s="310" customFormat="1" ht="12.75"/>
    <row r="145" s="310" customFormat="1" ht="12.75"/>
    <row r="146" s="310" customFormat="1" ht="12.75"/>
    <row r="147" s="310" customFormat="1" ht="12.75"/>
    <row r="148" s="310" customFormat="1" ht="12.75"/>
    <row r="149" s="310" customFormat="1" ht="12.75"/>
    <row r="150" s="310" customFormat="1" ht="12.75"/>
    <row r="151" s="310" customFormat="1" ht="12.75"/>
    <row r="152" s="310" customFormat="1" ht="12.75"/>
    <row r="153" s="310" customFormat="1" ht="12.75"/>
    <row r="154" s="310" customFormat="1" ht="12.75"/>
    <row r="155" s="310" customFormat="1" ht="12.75"/>
    <row r="156" s="310" customFormat="1" ht="12.75"/>
    <row r="157" s="310" customFormat="1" ht="12.75"/>
    <row r="158" s="310" customFormat="1" ht="12.75"/>
    <row r="159" s="310" customFormat="1" ht="12.75"/>
    <row r="160" s="310" customFormat="1" ht="12.75"/>
    <row r="161" s="535" customFormat="1"/>
    <row r="162" s="535" customFormat="1"/>
    <row r="163" s="535" customFormat="1"/>
    <row r="164" s="535" customFormat="1"/>
    <row r="165" s="535" customFormat="1"/>
    <row r="166" s="535" customFormat="1"/>
    <row r="167" s="535" customFormat="1"/>
    <row r="168" s="535" customFormat="1"/>
    <row r="169" s="535" customFormat="1"/>
    <row r="170" s="535" customFormat="1"/>
    <row r="171" s="535" customFormat="1"/>
    <row r="172" s="535" customFormat="1"/>
    <row r="173" s="535" customFormat="1"/>
    <row r="174" s="535" customFormat="1"/>
    <row r="175" s="535" customFormat="1"/>
    <row r="176" s="535" customFormat="1"/>
    <row r="177" s="535" customFormat="1"/>
    <row r="178" s="535" customFormat="1"/>
    <row r="179" s="535" customFormat="1"/>
    <row r="180" s="535" customFormat="1"/>
    <row r="181" s="535" customFormat="1"/>
    <row r="182" s="535" customFormat="1"/>
    <row r="183" s="535" customFormat="1"/>
    <row r="184" s="535" customFormat="1"/>
    <row r="185" s="535" customFormat="1"/>
  </sheetData>
  <mergeCells count="1">
    <mergeCell ref="A5:A7"/>
  </mergeCells>
  <pageMargins left="0.7" right="0.7" top="0.75" bottom="0.75" header="0.3" footer="0.3"/>
  <pageSetup paperSize="9" scale="54" orientation="landscape" r:id="rId1"/>
  <ignoredErrors>
    <ignoredError sqref="D1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workbookViewId="0">
      <pane xSplit="7" ySplit="7" topLeftCell="H87" activePane="bottomRight" state="frozen"/>
      <selection pane="topRight" activeCell="H1" sqref="H1"/>
      <selection pane="bottomLeft" activeCell="A8" sqref="A8"/>
      <selection pane="bottomRight" activeCell="C103" sqref="C103"/>
    </sheetView>
  </sheetViews>
  <sheetFormatPr defaultRowHeight="15"/>
  <cols>
    <col min="1" max="1" width="30.85546875" bestFit="1" customWidth="1"/>
    <col min="2" max="2" width="9.140625" style="45"/>
    <col min="3" max="7" width="9.140625" customWidth="1"/>
  </cols>
  <sheetData>
    <row r="1" spans="1:28" s="15" customFormat="1" ht="18.75">
      <c r="A1" s="21" t="s">
        <v>29</v>
      </c>
      <c r="B1" s="4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s="17" customFormat="1" ht="15.75">
      <c r="A2" s="22" t="s">
        <v>30</v>
      </c>
      <c r="B2" s="4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>
      <c r="A3" s="56"/>
      <c r="B3" s="57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s="20" customFormat="1" ht="16.5" thickBot="1">
      <c r="A4" s="58" t="s">
        <v>76</v>
      </c>
      <c r="B4" s="59"/>
      <c r="C4" s="60"/>
      <c r="D4" s="60"/>
      <c r="E4" s="60"/>
      <c r="F4" s="60"/>
      <c r="G4" s="60"/>
      <c r="H4" s="60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ht="15.75" thickTop="1">
      <c r="A5" s="641" t="s">
        <v>0</v>
      </c>
      <c r="B5" s="46"/>
      <c r="C5" s="19">
        <f>B6+1</f>
        <v>42095</v>
      </c>
      <c r="D5" s="19">
        <f>C6+1</f>
        <v>42461</v>
      </c>
      <c r="E5" s="19">
        <v>43191</v>
      </c>
      <c r="F5" s="19">
        <f>E6+1</f>
        <v>43556</v>
      </c>
      <c r="G5" s="19">
        <f>F6+1</f>
        <v>43922</v>
      </c>
      <c r="H5" s="19">
        <f t="shared" ref="H5:AB5" si="0">G6+1</f>
        <v>44287</v>
      </c>
      <c r="I5" s="19">
        <f t="shared" si="0"/>
        <v>44652</v>
      </c>
      <c r="J5" s="19">
        <f t="shared" si="0"/>
        <v>45017</v>
      </c>
      <c r="K5" s="19">
        <f t="shared" si="0"/>
        <v>45383</v>
      </c>
      <c r="L5" s="19">
        <f t="shared" si="0"/>
        <v>45748</v>
      </c>
      <c r="M5" s="19">
        <f t="shared" si="0"/>
        <v>46113</v>
      </c>
      <c r="N5" s="19">
        <f t="shared" si="0"/>
        <v>46478</v>
      </c>
      <c r="O5" s="19">
        <f t="shared" si="0"/>
        <v>46844</v>
      </c>
      <c r="P5" s="19">
        <f t="shared" si="0"/>
        <v>47209</v>
      </c>
      <c r="Q5" s="19">
        <f t="shared" si="0"/>
        <v>47574</v>
      </c>
      <c r="R5" s="19">
        <f t="shared" si="0"/>
        <v>47939</v>
      </c>
      <c r="S5" s="19">
        <f t="shared" si="0"/>
        <v>48305</v>
      </c>
      <c r="T5" s="19">
        <f t="shared" si="0"/>
        <v>48670</v>
      </c>
      <c r="U5" s="19">
        <f t="shared" si="0"/>
        <v>49035</v>
      </c>
      <c r="V5" s="19">
        <f t="shared" si="0"/>
        <v>49400</v>
      </c>
      <c r="W5" s="19">
        <f t="shared" si="0"/>
        <v>49766</v>
      </c>
      <c r="X5" s="19">
        <f t="shared" si="0"/>
        <v>50131</v>
      </c>
      <c r="Y5" s="19">
        <f t="shared" si="0"/>
        <v>50496</v>
      </c>
      <c r="Z5" s="19">
        <f t="shared" si="0"/>
        <v>50861</v>
      </c>
      <c r="AA5" s="19">
        <f t="shared" si="0"/>
        <v>51227</v>
      </c>
      <c r="AB5" s="19">
        <f t="shared" si="0"/>
        <v>51592</v>
      </c>
    </row>
    <row r="6" spans="1:28">
      <c r="A6" s="642"/>
      <c r="B6" s="6">
        <v>42094</v>
      </c>
      <c r="C6" s="6">
        <f>EOMONTH(B6,12)</f>
        <v>42460</v>
      </c>
      <c r="D6" s="6">
        <f>EOMONTH(C6,12)</f>
        <v>42825</v>
      </c>
      <c r="E6" s="6">
        <v>43555</v>
      </c>
      <c r="F6" s="6">
        <f>EOMONTH(E6,12)</f>
        <v>43921</v>
      </c>
      <c r="G6" s="6">
        <f t="shared" ref="G6:S6" si="1">EOMONTH(F6,12)</f>
        <v>44286</v>
      </c>
      <c r="H6" s="6">
        <f t="shared" si="1"/>
        <v>44651</v>
      </c>
      <c r="I6" s="6">
        <f t="shared" si="1"/>
        <v>45016</v>
      </c>
      <c r="J6" s="6">
        <f t="shared" si="1"/>
        <v>45382</v>
      </c>
      <c r="K6" s="6">
        <f t="shared" si="1"/>
        <v>45747</v>
      </c>
      <c r="L6" s="6">
        <f t="shared" si="1"/>
        <v>46112</v>
      </c>
      <c r="M6" s="6">
        <f t="shared" si="1"/>
        <v>46477</v>
      </c>
      <c r="N6" s="6">
        <f t="shared" si="1"/>
        <v>46843</v>
      </c>
      <c r="O6" s="6">
        <f t="shared" si="1"/>
        <v>47208</v>
      </c>
      <c r="P6" s="6">
        <f t="shared" si="1"/>
        <v>47573</v>
      </c>
      <c r="Q6" s="6">
        <f t="shared" si="1"/>
        <v>47938</v>
      </c>
      <c r="R6" s="6">
        <f t="shared" si="1"/>
        <v>48304</v>
      </c>
      <c r="S6" s="6">
        <f t="shared" si="1"/>
        <v>48669</v>
      </c>
      <c r="T6" s="6">
        <f t="shared" ref="T6:AB6" si="2">EOMONTH(S6,12)</f>
        <v>49034</v>
      </c>
      <c r="U6" s="6">
        <f t="shared" si="2"/>
        <v>49399</v>
      </c>
      <c r="V6" s="6">
        <f t="shared" si="2"/>
        <v>49765</v>
      </c>
      <c r="W6" s="6">
        <f t="shared" si="2"/>
        <v>50130</v>
      </c>
      <c r="X6" s="6">
        <f t="shared" si="2"/>
        <v>50495</v>
      </c>
      <c r="Y6" s="6">
        <f t="shared" si="2"/>
        <v>50860</v>
      </c>
      <c r="Z6" s="6">
        <f t="shared" si="2"/>
        <v>51226</v>
      </c>
      <c r="AA6" s="6">
        <f t="shared" si="2"/>
        <v>51591</v>
      </c>
      <c r="AB6" s="6">
        <f t="shared" si="2"/>
        <v>51956</v>
      </c>
    </row>
    <row r="7" spans="1:28">
      <c r="A7" s="643"/>
      <c r="B7" s="7"/>
      <c r="C7" s="8">
        <f>YEAR(C6)</f>
        <v>2016</v>
      </c>
      <c r="D7" s="8">
        <f t="shared" ref="D7:AB7" si="3">YEAR(D6)</f>
        <v>2017</v>
      </c>
      <c r="E7" s="8">
        <f t="shared" si="3"/>
        <v>2019</v>
      </c>
      <c r="F7" s="8">
        <f t="shared" si="3"/>
        <v>2020</v>
      </c>
      <c r="G7" s="8">
        <f t="shared" si="3"/>
        <v>2021</v>
      </c>
      <c r="H7" s="8">
        <f t="shared" si="3"/>
        <v>2022</v>
      </c>
      <c r="I7" s="8">
        <f t="shared" si="3"/>
        <v>2023</v>
      </c>
      <c r="J7" s="8">
        <f t="shared" si="3"/>
        <v>2024</v>
      </c>
      <c r="K7" s="8">
        <f t="shared" si="3"/>
        <v>2025</v>
      </c>
      <c r="L7" s="8">
        <f t="shared" si="3"/>
        <v>2026</v>
      </c>
      <c r="M7" s="8">
        <f t="shared" si="3"/>
        <v>2027</v>
      </c>
      <c r="N7" s="8">
        <f t="shared" si="3"/>
        <v>2028</v>
      </c>
      <c r="O7" s="8">
        <f t="shared" si="3"/>
        <v>2029</v>
      </c>
      <c r="P7" s="8">
        <f t="shared" si="3"/>
        <v>2030</v>
      </c>
      <c r="Q7" s="8">
        <f t="shared" si="3"/>
        <v>2031</v>
      </c>
      <c r="R7" s="8">
        <f t="shared" si="3"/>
        <v>2032</v>
      </c>
      <c r="S7" s="8">
        <f t="shared" si="3"/>
        <v>2033</v>
      </c>
      <c r="T7" s="8">
        <f t="shared" si="3"/>
        <v>2034</v>
      </c>
      <c r="U7" s="8">
        <f t="shared" si="3"/>
        <v>2035</v>
      </c>
      <c r="V7" s="8">
        <f t="shared" si="3"/>
        <v>2036</v>
      </c>
      <c r="W7" s="8">
        <f t="shared" si="3"/>
        <v>2037</v>
      </c>
      <c r="X7" s="8">
        <f t="shared" si="3"/>
        <v>2038</v>
      </c>
      <c r="Y7" s="8">
        <f t="shared" si="3"/>
        <v>2039</v>
      </c>
      <c r="Z7" s="8">
        <f t="shared" si="3"/>
        <v>2040</v>
      </c>
      <c r="AA7" s="8">
        <f t="shared" si="3"/>
        <v>2041</v>
      </c>
      <c r="AB7" s="8">
        <f t="shared" si="3"/>
        <v>2042</v>
      </c>
    </row>
    <row r="8" spans="1:28">
      <c r="A8" s="29" t="s">
        <v>1</v>
      </c>
      <c r="B8" s="47">
        <f>Assumption!C19</f>
        <v>0.03</v>
      </c>
      <c r="C8" s="30"/>
      <c r="D8" s="30"/>
      <c r="E8" s="35"/>
      <c r="F8" s="35">
        <f>Assumption!C18</f>
        <v>955</v>
      </c>
      <c r="G8" s="35">
        <f>F8*(1+$B$8)</f>
        <v>983.65</v>
      </c>
      <c r="H8" s="35">
        <f t="shared" ref="H8:S8" si="4">G8*(1+$B$8)</f>
        <v>1013.1595</v>
      </c>
      <c r="I8" s="35">
        <f t="shared" si="4"/>
        <v>1043.5542849999999</v>
      </c>
      <c r="J8" s="35">
        <f t="shared" si="4"/>
        <v>1074.8609135499999</v>
      </c>
      <c r="K8" s="35">
        <f t="shared" si="4"/>
        <v>1107.1067409564998</v>
      </c>
      <c r="L8" s="35">
        <f t="shared" si="4"/>
        <v>1140.3199431851949</v>
      </c>
      <c r="M8" s="35">
        <f t="shared" si="4"/>
        <v>1174.5295414807508</v>
      </c>
      <c r="N8" s="35">
        <f t="shared" si="4"/>
        <v>1209.7654277251734</v>
      </c>
      <c r="O8" s="35">
        <f t="shared" si="4"/>
        <v>1246.0583905569285</v>
      </c>
      <c r="P8" s="35">
        <f t="shared" si="4"/>
        <v>1283.4401422736364</v>
      </c>
      <c r="Q8" s="35">
        <f t="shared" si="4"/>
        <v>1321.9433465418456</v>
      </c>
      <c r="R8" s="35">
        <f t="shared" si="4"/>
        <v>1361.6016469381009</v>
      </c>
      <c r="S8" s="35">
        <f t="shared" si="4"/>
        <v>1402.4496963462439</v>
      </c>
      <c r="T8" s="35">
        <f t="shared" ref="T8:AB8" si="5">S8*(1+$B$8)</f>
        <v>1444.5231872366312</v>
      </c>
      <c r="U8" s="35">
        <f t="shared" si="5"/>
        <v>1487.8588828537302</v>
      </c>
      <c r="V8" s="35">
        <f t="shared" si="5"/>
        <v>1532.494649339342</v>
      </c>
      <c r="W8" s="35">
        <f t="shared" si="5"/>
        <v>1578.4694888195222</v>
      </c>
      <c r="X8" s="35">
        <f t="shared" si="5"/>
        <v>1625.823573484108</v>
      </c>
      <c r="Y8" s="35">
        <f t="shared" si="5"/>
        <v>1674.5982806886313</v>
      </c>
      <c r="Z8" s="35">
        <f t="shared" si="5"/>
        <v>1724.8362291092903</v>
      </c>
      <c r="AA8" s="35">
        <f t="shared" si="5"/>
        <v>1776.5813159825691</v>
      </c>
      <c r="AB8" s="35">
        <f t="shared" si="5"/>
        <v>1829.8787554620462</v>
      </c>
    </row>
    <row r="9" spans="1:28">
      <c r="A9" s="29" t="s">
        <v>2</v>
      </c>
      <c r="B9" s="47">
        <v>0.18479999999999999</v>
      </c>
      <c r="C9" s="31"/>
      <c r="D9" s="31"/>
      <c r="E9" s="36"/>
      <c r="F9" s="36">
        <f t="shared" ref="F9:AB9" si="6">F8*$B$9</f>
        <v>176.48399999999998</v>
      </c>
      <c r="G9" s="36">
        <f t="shared" si="6"/>
        <v>181.77851999999999</v>
      </c>
      <c r="H9" s="36">
        <f t="shared" si="6"/>
        <v>187.2318756</v>
      </c>
      <c r="I9" s="36">
        <f t="shared" si="6"/>
        <v>192.84883186799999</v>
      </c>
      <c r="J9" s="36">
        <f t="shared" si="6"/>
        <v>198.63429682403995</v>
      </c>
      <c r="K9" s="36">
        <f t="shared" si="6"/>
        <v>204.59332572876116</v>
      </c>
      <c r="L9" s="36">
        <f t="shared" si="6"/>
        <v>210.73112550062402</v>
      </c>
      <c r="M9" s="36">
        <f t="shared" si="6"/>
        <v>217.05305926564273</v>
      </c>
      <c r="N9" s="36">
        <f t="shared" si="6"/>
        <v>223.56465104361203</v>
      </c>
      <c r="O9" s="36">
        <f t="shared" si="6"/>
        <v>230.2715905749204</v>
      </c>
      <c r="P9" s="36">
        <f t="shared" si="6"/>
        <v>237.179738292168</v>
      </c>
      <c r="Q9" s="36">
        <f t="shared" si="6"/>
        <v>244.29513044093306</v>
      </c>
      <c r="R9" s="36">
        <f t="shared" si="6"/>
        <v>251.62398435416102</v>
      </c>
      <c r="S9" s="36">
        <f t="shared" si="6"/>
        <v>259.17270388478585</v>
      </c>
      <c r="T9" s="36">
        <f t="shared" si="6"/>
        <v>266.94788500132944</v>
      </c>
      <c r="U9" s="36">
        <f t="shared" si="6"/>
        <v>274.95632155136934</v>
      </c>
      <c r="V9" s="36">
        <f t="shared" si="6"/>
        <v>283.20501119791038</v>
      </c>
      <c r="W9" s="36">
        <f t="shared" si="6"/>
        <v>291.70116153384771</v>
      </c>
      <c r="X9" s="36">
        <f t="shared" si="6"/>
        <v>300.45219637986315</v>
      </c>
      <c r="Y9" s="36">
        <f t="shared" si="6"/>
        <v>309.46576227125905</v>
      </c>
      <c r="Z9" s="36">
        <f t="shared" si="6"/>
        <v>318.74973513939682</v>
      </c>
      <c r="AA9" s="36">
        <f t="shared" si="6"/>
        <v>328.31222719357874</v>
      </c>
      <c r="AB9" s="36">
        <f t="shared" si="6"/>
        <v>338.16159400938614</v>
      </c>
    </row>
    <row r="10" spans="1:28">
      <c r="A10" s="29" t="s">
        <v>3</v>
      </c>
      <c r="B10" s="48"/>
      <c r="C10" s="31"/>
      <c r="D10" s="31"/>
      <c r="E10" s="36"/>
      <c r="F10" s="36">
        <v>50</v>
      </c>
      <c r="G10" s="36">
        <v>50</v>
      </c>
      <c r="H10" s="36">
        <v>50</v>
      </c>
      <c r="I10" s="36">
        <v>50</v>
      </c>
      <c r="J10" s="36">
        <v>50</v>
      </c>
      <c r="K10" s="36">
        <v>50</v>
      </c>
      <c r="L10" s="36">
        <v>50</v>
      </c>
      <c r="M10" s="36">
        <v>50</v>
      </c>
      <c r="N10" s="36">
        <v>50</v>
      </c>
      <c r="O10" s="36">
        <v>50</v>
      </c>
      <c r="P10" s="36">
        <v>50</v>
      </c>
      <c r="Q10" s="36">
        <v>50</v>
      </c>
      <c r="R10" s="36">
        <v>50</v>
      </c>
      <c r="S10" s="36">
        <v>50</v>
      </c>
      <c r="T10" s="36">
        <v>50</v>
      </c>
      <c r="U10" s="36">
        <v>50</v>
      </c>
      <c r="V10" s="36">
        <v>50</v>
      </c>
      <c r="W10" s="36">
        <v>50</v>
      </c>
      <c r="X10" s="36">
        <v>50</v>
      </c>
      <c r="Y10" s="36">
        <v>50</v>
      </c>
      <c r="Z10" s="36">
        <v>50</v>
      </c>
      <c r="AA10" s="36">
        <v>50</v>
      </c>
      <c r="AB10" s="36">
        <v>50</v>
      </c>
    </row>
    <row r="11" spans="1:28">
      <c r="A11" s="29" t="s">
        <v>4</v>
      </c>
      <c r="B11" s="48"/>
      <c r="C11" s="31"/>
      <c r="D11" s="31"/>
      <c r="E11" s="36"/>
      <c r="F11" s="36">
        <f>(51+79+100)/3</f>
        <v>76.666666666666671</v>
      </c>
      <c r="G11" s="36">
        <f>(51+79+100)/3</f>
        <v>76.666666666666671</v>
      </c>
      <c r="H11" s="36">
        <f t="shared" ref="H11:AB11" si="7">(51+79+100)/3</f>
        <v>76.666666666666671</v>
      </c>
      <c r="I11" s="36">
        <f t="shared" si="7"/>
        <v>76.666666666666671</v>
      </c>
      <c r="J11" s="36">
        <f t="shared" si="7"/>
        <v>76.666666666666671</v>
      </c>
      <c r="K11" s="36">
        <f t="shared" si="7"/>
        <v>76.666666666666671</v>
      </c>
      <c r="L11" s="36">
        <f t="shared" si="7"/>
        <v>76.666666666666671</v>
      </c>
      <c r="M11" s="36">
        <f t="shared" si="7"/>
        <v>76.666666666666671</v>
      </c>
      <c r="N11" s="36">
        <f t="shared" si="7"/>
        <v>76.666666666666671</v>
      </c>
      <c r="O11" s="36">
        <f t="shared" si="7"/>
        <v>76.666666666666671</v>
      </c>
      <c r="P11" s="36">
        <f t="shared" si="7"/>
        <v>76.666666666666671</v>
      </c>
      <c r="Q11" s="36">
        <f t="shared" si="7"/>
        <v>76.666666666666671</v>
      </c>
      <c r="R11" s="36">
        <f t="shared" si="7"/>
        <v>76.666666666666671</v>
      </c>
      <c r="S11" s="36">
        <f t="shared" si="7"/>
        <v>76.666666666666671</v>
      </c>
      <c r="T11" s="36">
        <f t="shared" si="7"/>
        <v>76.666666666666671</v>
      </c>
      <c r="U11" s="36">
        <f t="shared" si="7"/>
        <v>76.666666666666671</v>
      </c>
      <c r="V11" s="36">
        <f t="shared" si="7"/>
        <v>76.666666666666671</v>
      </c>
      <c r="W11" s="36">
        <f t="shared" si="7"/>
        <v>76.666666666666671</v>
      </c>
      <c r="X11" s="36">
        <f t="shared" si="7"/>
        <v>76.666666666666671</v>
      </c>
      <c r="Y11" s="36">
        <f t="shared" si="7"/>
        <v>76.666666666666671</v>
      </c>
      <c r="Z11" s="36">
        <f t="shared" si="7"/>
        <v>76.666666666666671</v>
      </c>
      <c r="AA11" s="36">
        <f t="shared" si="7"/>
        <v>76.666666666666671</v>
      </c>
      <c r="AB11" s="36">
        <f t="shared" si="7"/>
        <v>76.666666666666671</v>
      </c>
    </row>
    <row r="12" spans="1:28">
      <c r="A12" s="29" t="s">
        <v>5</v>
      </c>
      <c r="B12" s="48"/>
      <c r="C12" s="31"/>
      <c r="D12" s="31"/>
      <c r="E12" s="36"/>
      <c r="F12" s="36">
        <f>(57+116)/2</f>
        <v>86.5</v>
      </c>
      <c r="G12" s="36">
        <f>(57+116)/2</f>
        <v>86.5</v>
      </c>
      <c r="H12" s="36">
        <f t="shared" ref="H12:AB12" si="8">(57+116)/2</f>
        <v>86.5</v>
      </c>
      <c r="I12" s="36">
        <f t="shared" si="8"/>
        <v>86.5</v>
      </c>
      <c r="J12" s="36">
        <f t="shared" si="8"/>
        <v>86.5</v>
      </c>
      <c r="K12" s="36">
        <f t="shared" si="8"/>
        <v>86.5</v>
      </c>
      <c r="L12" s="36">
        <f t="shared" si="8"/>
        <v>86.5</v>
      </c>
      <c r="M12" s="36">
        <f t="shared" si="8"/>
        <v>86.5</v>
      </c>
      <c r="N12" s="36">
        <f t="shared" si="8"/>
        <v>86.5</v>
      </c>
      <c r="O12" s="36">
        <f t="shared" si="8"/>
        <v>86.5</v>
      </c>
      <c r="P12" s="36">
        <f t="shared" si="8"/>
        <v>86.5</v>
      </c>
      <c r="Q12" s="36">
        <f t="shared" si="8"/>
        <v>86.5</v>
      </c>
      <c r="R12" s="36">
        <f t="shared" si="8"/>
        <v>86.5</v>
      </c>
      <c r="S12" s="36">
        <f t="shared" si="8"/>
        <v>86.5</v>
      </c>
      <c r="T12" s="36">
        <f t="shared" si="8"/>
        <v>86.5</v>
      </c>
      <c r="U12" s="36">
        <f t="shared" si="8"/>
        <v>86.5</v>
      </c>
      <c r="V12" s="36">
        <f t="shared" si="8"/>
        <v>86.5</v>
      </c>
      <c r="W12" s="36">
        <f t="shared" si="8"/>
        <v>86.5</v>
      </c>
      <c r="X12" s="36">
        <f t="shared" si="8"/>
        <v>86.5</v>
      </c>
      <c r="Y12" s="36">
        <f t="shared" si="8"/>
        <v>86.5</v>
      </c>
      <c r="Z12" s="36">
        <f t="shared" si="8"/>
        <v>86.5</v>
      </c>
      <c r="AA12" s="36">
        <f t="shared" si="8"/>
        <v>86.5</v>
      </c>
      <c r="AB12" s="36">
        <f t="shared" si="8"/>
        <v>86.5</v>
      </c>
    </row>
    <row r="13" spans="1:28">
      <c r="A13" s="29" t="s">
        <v>6</v>
      </c>
      <c r="B13" s="48"/>
      <c r="C13" s="31"/>
      <c r="D13" s="31"/>
      <c r="E13" s="36"/>
      <c r="F13" s="36">
        <f>(F8+F11)*0.2%</f>
        <v>2.0633333333333335</v>
      </c>
      <c r="G13" s="36">
        <f>(G8+G11)*0.2%</f>
        <v>2.1206333333333331</v>
      </c>
      <c r="H13" s="36">
        <f t="shared" ref="H13:S13" si="9">(H8+H11)*0.2%</f>
        <v>2.1796523333333333</v>
      </c>
      <c r="I13" s="36">
        <f t="shared" si="9"/>
        <v>2.2404419033333336</v>
      </c>
      <c r="J13" s="36">
        <f t="shared" si="9"/>
        <v>2.3030551604333334</v>
      </c>
      <c r="K13" s="36">
        <f t="shared" si="9"/>
        <v>2.367546815246333</v>
      </c>
      <c r="L13" s="36">
        <f t="shared" si="9"/>
        <v>2.4339732197037232</v>
      </c>
      <c r="M13" s="36">
        <f t="shared" si="9"/>
        <v>2.502392416294835</v>
      </c>
      <c r="N13" s="36">
        <f t="shared" si="9"/>
        <v>2.5728641887836803</v>
      </c>
      <c r="O13" s="36">
        <f t="shared" si="9"/>
        <v>2.6454501144471907</v>
      </c>
      <c r="P13" s="36">
        <f t="shared" si="9"/>
        <v>2.7202136178806064</v>
      </c>
      <c r="Q13" s="36">
        <f t="shared" si="9"/>
        <v>2.7972200264170248</v>
      </c>
      <c r="R13" s="36">
        <f t="shared" si="9"/>
        <v>2.8765366272095352</v>
      </c>
      <c r="S13" s="36">
        <f t="shared" si="9"/>
        <v>2.9582327260258214</v>
      </c>
      <c r="T13" s="36">
        <f t="shared" ref="T13:AB13" si="10">(T8+T11)*0.2%</f>
        <v>3.0423797078065959</v>
      </c>
      <c r="U13" s="36">
        <f t="shared" si="10"/>
        <v>3.1290510990407938</v>
      </c>
      <c r="V13" s="36">
        <f t="shared" si="10"/>
        <v>3.2183226320120175</v>
      </c>
      <c r="W13" s="36">
        <f t="shared" si="10"/>
        <v>3.310272310972378</v>
      </c>
      <c r="X13" s="36">
        <f t="shared" si="10"/>
        <v>3.4049804803015498</v>
      </c>
      <c r="Y13" s="36">
        <f t="shared" si="10"/>
        <v>3.5025298947105963</v>
      </c>
      <c r="Z13" s="36">
        <f t="shared" si="10"/>
        <v>3.6030057915519142</v>
      </c>
      <c r="AA13" s="36">
        <f t="shared" si="10"/>
        <v>3.7064959652984717</v>
      </c>
      <c r="AB13" s="36">
        <f t="shared" si="10"/>
        <v>3.8130908442574261</v>
      </c>
    </row>
    <row r="14" spans="1:28">
      <c r="A14" s="29" t="s">
        <v>7</v>
      </c>
      <c r="B14" s="48"/>
      <c r="C14" s="31"/>
      <c r="D14" s="31"/>
      <c r="E14" s="35"/>
      <c r="F14" s="35">
        <v>7.5</v>
      </c>
      <c r="G14" s="35">
        <v>7.5</v>
      </c>
      <c r="H14" s="35">
        <v>7.5</v>
      </c>
      <c r="I14" s="35">
        <v>7.5</v>
      </c>
      <c r="J14" s="35">
        <v>7.5</v>
      </c>
      <c r="K14" s="35">
        <v>7.5</v>
      </c>
      <c r="L14" s="35">
        <v>7.5</v>
      </c>
      <c r="M14" s="35">
        <v>7.5</v>
      </c>
      <c r="N14" s="35">
        <v>7.5</v>
      </c>
      <c r="O14" s="35">
        <v>7.5</v>
      </c>
      <c r="P14" s="35">
        <v>7.5</v>
      </c>
      <c r="Q14" s="35">
        <v>7.5</v>
      </c>
      <c r="R14" s="35">
        <v>7.5</v>
      </c>
      <c r="S14" s="35">
        <v>7.5</v>
      </c>
      <c r="T14" s="35">
        <v>7.5</v>
      </c>
      <c r="U14" s="35">
        <v>7.5</v>
      </c>
      <c r="V14" s="35">
        <v>7.5</v>
      </c>
      <c r="W14" s="35">
        <v>7.5</v>
      </c>
      <c r="X14" s="35">
        <v>7.5</v>
      </c>
      <c r="Y14" s="35">
        <v>7.5</v>
      </c>
      <c r="Z14" s="35">
        <v>7.5</v>
      </c>
      <c r="AA14" s="35">
        <v>7.5</v>
      </c>
      <c r="AB14" s="35">
        <v>7.5</v>
      </c>
    </row>
    <row r="15" spans="1:28">
      <c r="A15" s="29" t="s">
        <v>8</v>
      </c>
      <c r="B15" s="48"/>
      <c r="C15" s="31"/>
      <c r="D15" s="31"/>
      <c r="E15" s="35"/>
      <c r="F15" s="35">
        <v>7.5</v>
      </c>
      <c r="G15" s="35">
        <v>7.5</v>
      </c>
      <c r="H15" s="35">
        <v>7.5</v>
      </c>
      <c r="I15" s="35">
        <v>7.5</v>
      </c>
      <c r="J15" s="35">
        <v>7.5</v>
      </c>
      <c r="K15" s="35">
        <v>7.5</v>
      </c>
      <c r="L15" s="35">
        <v>7.5</v>
      </c>
      <c r="M15" s="35">
        <v>7.5</v>
      </c>
      <c r="N15" s="35">
        <v>7.5</v>
      </c>
      <c r="O15" s="35">
        <v>7.5</v>
      </c>
      <c r="P15" s="35">
        <v>7.5</v>
      </c>
      <c r="Q15" s="35">
        <v>7.5</v>
      </c>
      <c r="R15" s="35">
        <v>7.5</v>
      </c>
      <c r="S15" s="35">
        <v>7.5</v>
      </c>
      <c r="T15" s="35">
        <v>7.5</v>
      </c>
      <c r="U15" s="35">
        <v>7.5</v>
      </c>
      <c r="V15" s="35">
        <v>7.5</v>
      </c>
      <c r="W15" s="35">
        <v>7.5</v>
      </c>
      <c r="X15" s="35">
        <v>7.5</v>
      </c>
      <c r="Y15" s="35">
        <v>7.5</v>
      </c>
      <c r="Z15" s="35">
        <v>7.5</v>
      </c>
      <c r="AA15" s="35">
        <v>7.5</v>
      </c>
      <c r="AB15" s="35">
        <v>7.5</v>
      </c>
    </row>
    <row r="16" spans="1:28" s="4" customFormat="1">
      <c r="A16" s="37" t="s">
        <v>9</v>
      </c>
      <c r="B16" s="49"/>
      <c r="C16" s="9"/>
      <c r="D16" s="9"/>
      <c r="E16" s="10"/>
      <c r="F16" s="10">
        <f>SUM(F8:F15)</f>
        <v>1361.7139999999999</v>
      </c>
      <c r="G16" s="10">
        <f>SUM(G8:G15)</f>
        <v>1395.7158200000001</v>
      </c>
      <c r="H16" s="10">
        <f t="shared" ref="H16:S16" si="11">SUM(H8:H15)</f>
        <v>1430.7376945999999</v>
      </c>
      <c r="I16" s="10">
        <f t="shared" si="11"/>
        <v>1466.8102254379999</v>
      </c>
      <c r="J16" s="10">
        <f t="shared" si="11"/>
        <v>1503.9649322011398</v>
      </c>
      <c r="K16" s="10">
        <f t="shared" si="11"/>
        <v>1542.2342801671741</v>
      </c>
      <c r="L16" s="10">
        <f t="shared" si="11"/>
        <v>1581.6517085721896</v>
      </c>
      <c r="M16" s="10">
        <f t="shared" si="11"/>
        <v>1622.2516598293553</v>
      </c>
      <c r="N16" s="10">
        <f t="shared" si="11"/>
        <v>1664.0696096242357</v>
      </c>
      <c r="O16" s="10">
        <f t="shared" si="11"/>
        <v>1707.1420979129628</v>
      </c>
      <c r="P16" s="10">
        <f t="shared" si="11"/>
        <v>1751.5067608503516</v>
      </c>
      <c r="Q16" s="10">
        <f t="shared" si="11"/>
        <v>1797.2023636758624</v>
      </c>
      <c r="R16" s="10">
        <f t="shared" si="11"/>
        <v>1844.2688345861382</v>
      </c>
      <c r="S16" s="10">
        <f t="shared" si="11"/>
        <v>1892.7472996237223</v>
      </c>
      <c r="T16" s="10">
        <f t="shared" ref="T16" si="12">SUM(T8:T15)</f>
        <v>1942.6801186124339</v>
      </c>
      <c r="U16" s="10">
        <f t="shared" ref="U16" si="13">SUM(U8:U15)</f>
        <v>1994.110922170807</v>
      </c>
      <c r="V16" s="10">
        <f t="shared" ref="V16" si="14">SUM(V8:V15)</f>
        <v>2047.084649835931</v>
      </c>
      <c r="W16" s="10">
        <f t="shared" ref="W16" si="15">SUM(W8:W15)</f>
        <v>2101.6475893310089</v>
      </c>
      <c r="X16" s="10">
        <f t="shared" ref="X16" si="16">SUM(X8:X15)</f>
        <v>2157.8474170109394</v>
      </c>
      <c r="Y16" s="10">
        <f t="shared" ref="Y16" si="17">SUM(Y8:Y15)</f>
        <v>2215.7332395212679</v>
      </c>
      <c r="Z16" s="10">
        <f t="shared" ref="Z16" si="18">SUM(Z8:Z15)</f>
        <v>2275.3556367069054</v>
      </c>
      <c r="AA16" s="10">
        <f t="shared" ref="AA16" si="19">SUM(AA8:AA15)</f>
        <v>2336.7667058081129</v>
      </c>
      <c r="AB16" s="10">
        <f t="shared" ref="AB16" si="20">SUM(AB8:AB15)</f>
        <v>2400.0201069823561</v>
      </c>
    </row>
    <row r="17" spans="1:28">
      <c r="A17" s="29" t="s">
        <v>10</v>
      </c>
      <c r="B17" s="48"/>
      <c r="C17" s="31"/>
      <c r="D17" s="31"/>
      <c r="E17" s="35"/>
      <c r="F17" s="35">
        <f>F16*5%</f>
        <v>68.085700000000003</v>
      </c>
      <c r="G17" s="35">
        <f>G16*5%</f>
        <v>69.785791000000003</v>
      </c>
      <c r="H17" s="35">
        <f t="shared" ref="H17:S17" si="21">H16*5%</f>
        <v>71.536884729999997</v>
      </c>
      <c r="I17" s="35">
        <f t="shared" si="21"/>
        <v>73.340511271899999</v>
      </c>
      <c r="J17" s="35">
        <f t="shared" si="21"/>
        <v>75.198246610056998</v>
      </c>
      <c r="K17" s="35">
        <f t="shared" si="21"/>
        <v>77.111714008358717</v>
      </c>
      <c r="L17" s="35">
        <f t="shared" si="21"/>
        <v>79.082585428609491</v>
      </c>
      <c r="M17" s="35">
        <f t="shared" si="21"/>
        <v>81.112582991467775</v>
      </c>
      <c r="N17" s="35">
        <f t="shared" si="21"/>
        <v>83.203480481211784</v>
      </c>
      <c r="O17" s="35">
        <f t="shared" si="21"/>
        <v>85.357104895648149</v>
      </c>
      <c r="P17" s="35">
        <f t="shared" si="21"/>
        <v>87.575338042517586</v>
      </c>
      <c r="Q17" s="35">
        <f t="shared" si="21"/>
        <v>89.860118183793134</v>
      </c>
      <c r="R17" s="35">
        <f t="shared" si="21"/>
        <v>92.213441729306908</v>
      </c>
      <c r="S17" s="35">
        <f t="shared" si="21"/>
        <v>94.637364981186124</v>
      </c>
      <c r="T17" s="35">
        <f t="shared" ref="T17" si="22">T16*5%</f>
        <v>97.134005930621697</v>
      </c>
      <c r="U17" s="35">
        <f t="shared" ref="U17" si="23">U16*5%</f>
        <v>99.705546108540361</v>
      </c>
      <c r="V17" s="35">
        <f t="shared" ref="V17" si="24">V16*5%</f>
        <v>102.35423249179655</v>
      </c>
      <c r="W17" s="35">
        <f t="shared" ref="W17" si="25">W16*5%</f>
        <v>105.08237946655045</v>
      </c>
      <c r="X17" s="35">
        <f t="shared" ref="X17" si="26">X16*5%</f>
        <v>107.89237085054697</v>
      </c>
      <c r="Y17" s="35">
        <f t="shared" ref="Y17" si="27">Y16*5%</f>
        <v>110.7866619760634</v>
      </c>
      <c r="Z17" s="35">
        <f t="shared" ref="Z17" si="28">Z16*5%</f>
        <v>113.76778183534527</v>
      </c>
      <c r="AA17" s="35">
        <f t="shared" ref="AA17" si="29">AA16*5%</f>
        <v>116.83833529040565</v>
      </c>
      <c r="AB17" s="35">
        <f t="shared" ref="AB17" si="30">AB16*5%</f>
        <v>120.0010053491178</v>
      </c>
    </row>
    <row r="18" spans="1:28">
      <c r="A18" s="29" t="s">
        <v>11</v>
      </c>
      <c r="B18" s="48"/>
      <c r="C18" s="31"/>
      <c r="D18" s="31"/>
      <c r="E18" s="35"/>
      <c r="F18" s="35">
        <v>400</v>
      </c>
      <c r="G18" s="35">
        <v>400</v>
      </c>
      <c r="H18" s="35">
        <v>400</v>
      </c>
      <c r="I18" s="35">
        <v>400</v>
      </c>
      <c r="J18" s="35">
        <v>400</v>
      </c>
      <c r="K18" s="35">
        <v>400</v>
      </c>
      <c r="L18" s="35">
        <v>400</v>
      </c>
      <c r="M18" s="35">
        <v>400</v>
      </c>
      <c r="N18" s="35">
        <v>400</v>
      </c>
      <c r="O18" s="35">
        <v>400</v>
      </c>
      <c r="P18" s="35">
        <v>400</v>
      </c>
      <c r="Q18" s="35">
        <v>400</v>
      </c>
      <c r="R18" s="35">
        <v>400</v>
      </c>
      <c r="S18" s="35">
        <v>400</v>
      </c>
      <c r="T18" s="35">
        <v>400</v>
      </c>
      <c r="U18" s="35">
        <v>400</v>
      </c>
      <c r="V18" s="35">
        <v>400</v>
      </c>
      <c r="W18" s="35">
        <v>400</v>
      </c>
      <c r="X18" s="35">
        <v>400</v>
      </c>
      <c r="Y18" s="35">
        <v>400</v>
      </c>
      <c r="Z18" s="35">
        <v>400</v>
      </c>
      <c r="AA18" s="35">
        <v>400</v>
      </c>
      <c r="AB18" s="35">
        <v>400</v>
      </c>
    </row>
    <row r="19" spans="1:28" s="4" customFormat="1">
      <c r="A19" s="37" t="s">
        <v>12</v>
      </c>
      <c r="B19" s="50"/>
      <c r="C19" s="9"/>
      <c r="D19" s="9"/>
      <c r="E19" s="10"/>
      <c r="F19" s="10">
        <f>SUM(F16:F18)</f>
        <v>1829.7997</v>
      </c>
      <c r="G19" s="10">
        <f>SUM(G16:G18)</f>
        <v>1865.5016110000001</v>
      </c>
      <c r="H19" s="10">
        <f t="shared" ref="H19:S19" si="31">SUM(H16:H18)</f>
        <v>1902.2745793300001</v>
      </c>
      <c r="I19" s="10">
        <f t="shared" si="31"/>
        <v>1940.1507367098998</v>
      </c>
      <c r="J19" s="10">
        <f t="shared" si="31"/>
        <v>1979.1631788111968</v>
      </c>
      <c r="K19" s="10">
        <f t="shared" si="31"/>
        <v>2019.3459941755327</v>
      </c>
      <c r="L19" s="10">
        <f t="shared" si="31"/>
        <v>2060.7342940007993</v>
      </c>
      <c r="M19" s="10">
        <f t="shared" si="31"/>
        <v>2103.3642428208232</v>
      </c>
      <c r="N19" s="10">
        <f t="shared" si="31"/>
        <v>2147.2730901054474</v>
      </c>
      <c r="O19" s="10">
        <f t="shared" si="31"/>
        <v>2192.4992028086108</v>
      </c>
      <c r="P19" s="10">
        <f t="shared" si="31"/>
        <v>2239.082098892869</v>
      </c>
      <c r="Q19" s="10">
        <f t="shared" si="31"/>
        <v>2287.0624818596557</v>
      </c>
      <c r="R19" s="10">
        <f t="shared" si="31"/>
        <v>2336.4822763154452</v>
      </c>
      <c r="S19" s="10">
        <f t="shared" si="31"/>
        <v>2387.3846646049083</v>
      </c>
      <c r="T19" s="10">
        <f t="shared" ref="T19" si="32">SUM(T16:T18)</f>
        <v>2439.8141245430556</v>
      </c>
      <c r="U19" s="10">
        <f t="shared" ref="U19" si="33">SUM(U16:U18)</f>
        <v>2493.8164682793472</v>
      </c>
      <c r="V19" s="10">
        <f t="shared" ref="V19" si="34">SUM(V16:V18)</f>
        <v>2549.4388823277277</v>
      </c>
      <c r="W19" s="10">
        <f t="shared" ref="W19" si="35">SUM(W16:W18)</f>
        <v>2606.7299687975592</v>
      </c>
      <c r="X19" s="10">
        <f t="shared" ref="X19" si="36">SUM(X16:X18)</f>
        <v>2665.7397878614865</v>
      </c>
      <c r="Y19" s="10">
        <f t="shared" ref="Y19" si="37">SUM(Y16:Y18)</f>
        <v>2726.5199014973314</v>
      </c>
      <c r="Z19" s="10">
        <f t="shared" ref="Z19" si="38">SUM(Z16:Z18)</f>
        <v>2789.1234185422509</v>
      </c>
      <c r="AA19" s="10">
        <f t="shared" ref="AA19" si="39">SUM(AA16:AA18)</f>
        <v>2853.6050410985185</v>
      </c>
      <c r="AB19" s="10">
        <f t="shared" ref="AB19" si="40">SUM(AB16:AB18)</f>
        <v>2920.0211123314739</v>
      </c>
    </row>
    <row r="20" spans="1:28">
      <c r="A20" s="38" t="s">
        <v>13</v>
      </c>
      <c r="B20" s="51"/>
      <c r="C20" s="32"/>
      <c r="D20" s="32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>
      <c r="A21" s="39" t="s">
        <v>14</v>
      </c>
      <c r="B21" s="47">
        <f>Assumption!C19</f>
        <v>0.03</v>
      </c>
      <c r="C21" s="33"/>
      <c r="D21" s="33"/>
      <c r="E21" s="36"/>
      <c r="F21" s="36">
        <v>389.6</v>
      </c>
      <c r="G21" s="36">
        <f>F21*(1+$B$21)</f>
        <v>401.28800000000001</v>
      </c>
      <c r="H21" s="36">
        <f t="shared" ref="H21:S21" si="41">G21*(1+$B$21)</f>
        <v>413.32664</v>
      </c>
      <c r="I21" s="36">
        <f t="shared" si="41"/>
        <v>425.72643920000002</v>
      </c>
      <c r="J21" s="36">
        <f t="shared" si="41"/>
        <v>438.49823237600003</v>
      </c>
      <c r="K21" s="36">
        <f t="shared" si="41"/>
        <v>451.65317934728006</v>
      </c>
      <c r="L21" s="36">
        <f t="shared" si="41"/>
        <v>465.20277472769845</v>
      </c>
      <c r="M21" s="36">
        <f t="shared" si="41"/>
        <v>479.15885796952944</v>
      </c>
      <c r="N21" s="36">
        <f t="shared" si="41"/>
        <v>493.53362370861532</v>
      </c>
      <c r="O21" s="36">
        <f t="shared" si="41"/>
        <v>508.33963241987379</v>
      </c>
      <c r="P21" s="36">
        <f t="shared" si="41"/>
        <v>523.58982139247007</v>
      </c>
      <c r="Q21" s="36">
        <f t="shared" si="41"/>
        <v>539.29751603424415</v>
      </c>
      <c r="R21" s="36">
        <f t="shared" si="41"/>
        <v>555.47644151527152</v>
      </c>
      <c r="S21" s="36">
        <f t="shared" si="41"/>
        <v>572.14073476072963</v>
      </c>
      <c r="T21" s="36">
        <f t="shared" ref="T21:AB21" si="42">S21*(1+$B$21)</f>
        <v>589.30495680355148</v>
      </c>
      <c r="U21" s="36">
        <f t="shared" si="42"/>
        <v>606.984105507658</v>
      </c>
      <c r="V21" s="36">
        <f t="shared" si="42"/>
        <v>625.19362867288771</v>
      </c>
      <c r="W21" s="36">
        <f t="shared" si="42"/>
        <v>643.94943753307439</v>
      </c>
      <c r="X21" s="36">
        <f t="shared" si="42"/>
        <v>663.26792065906659</v>
      </c>
      <c r="Y21" s="36">
        <f t="shared" si="42"/>
        <v>683.16595827883862</v>
      </c>
      <c r="Z21" s="36">
        <f t="shared" si="42"/>
        <v>703.66093702720377</v>
      </c>
      <c r="AA21" s="36">
        <f t="shared" si="42"/>
        <v>724.7707651380199</v>
      </c>
      <c r="AB21" s="36">
        <f t="shared" si="42"/>
        <v>746.51388809216053</v>
      </c>
    </row>
    <row r="22" spans="1:28">
      <c r="A22" s="39" t="s">
        <v>10</v>
      </c>
      <c r="B22" s="48"/>
      <c r="C22" s="34"/>
      <c r="D22" s="34"/>
      <c r="E22" s="36"/>
      <c r="F22" s="36">
        <f>SUM(F21:F21)*5%</f>
        <v>19.480000000000004</v>
      </c>
      <c r="G22" s="36">
        <f>SUM(G21:G21)*5%</f>
        <v>20.064400000000003</v>
      </c>
      <c r="H22" s="36">
        <f t="shared" ref="H22:S22" si="43">SUM(H21:H21)*5%</f>
        <v>20.666332000000001</v>
      </c>
      <c r="I22" s="36">
        <f t="shared" si="43"/>
        <v>21.286321960000002</v>
      </c>
      <c r="J22" s="36">
        <f t="shared" si="43"/>
        <v>21.924911618800003</v>
      </c>
      <c r="K22" s="36">
        <f t="shared" si="43"/>
        <v>22.582658967364004</v>
      </c>
      <c r="L22" s="36">
        <f t="shared" si="43"/>
        <v>23.260138736384924</v>
      </c>
      <c r="M22" s="36">
        <f t="shared" si="43"/>
        <v>23.957942898476475</v>
      </c>
      <c r="N22" s="36">
        <f t="shared" si="43"/>
        <v>24.676681185430766</v>
      </c>
      <c r="O22" s="36">
        <f t="shared" si="43"/>
        <v>25.416981620993692</v>
      </c>
      <c r="P22" s="36">
        <f t="shared" si="43"/>
        <v>26.179491069623506</v>
      </c>
      <c r="Q22" s="36">
        <f t="shared" si="43"/>
        <v>26.964875801712211</v>
      </c>
      <c r="R22" s="36">
        <f t="shared" si="43"/>
        <v>27.773822075763576</v>
      </c>
      <c r="S22" s="36">
        <f t="shared" si="43"/>
        <v>28.607036738036484</v>
      </c>
      <c r="T22" s="36">
        <f t="shared" ref="T22" si="44">SUM(T21:T21)*5%</f>
        <v>29.465247840177575</v>
      </c>
      <c r="U22" s="36">
        <f t="shared" ref="U22" si="45">SUM(U21:U21)*5%</f>
        <v>30.3492052753829</v>
      </c>
      <c r="V22" s="36">
        <f t="shared" ref="V22" si="46">SUM(V21:V21)*5%</f>
        <v>31.259681433644388</v>
      </c>
      <c r="W22" s="36">
        <f t="shared" ref="W22" si="47">SUM(W21:W21)*5%</f>
        <v>32.197471876653722</v>
      </c>
      <c r="X22" s="36">
        <f t="shared" ref="X22" si="48">SUM(X21:X21)*5%</f>
        <v>33.163396032953329</v>
      </c>
      <c r="Y22" s="36">
        <f t="shared" ref="Y22" si="49">SUM(Y21:Y21)*5%</f>
        <v>34.158297913941929</v>
      </c>
      <c r="Z22" s="36">
        <f t="shared" ref="Z22" si="50">SUM(Z21:Z21)*5%</f>
        <v>35.183046851360189</v>
      </c>
      <c r="AA22" s="36">
        <f t="shared" ref="AA22" si="51">SUM(AA21:AA21)*5%</f>
        <v>36.238538256900995</v>
      </c>
      <c r="AB22" s="36">
        <f t="shared" ref="AB22" si="52">SUM(AB21:AB21)*5%</f>
        <v>37.325694404608029</v>
      </c>
    </row>
    <row r="23" spans="1:28" s="4" customFormat="1">
      <c r="A23" s="37" t="s">
        <v>15</v>
      </c>
      <c r="B23" s="50"/>
      <c r="C23" s="9"/>
      <c r="D23" s="9"/>
      <c r="E23" s="10"/>
      <c r="F23" s="10">
        <f>SUM(F21:F22)</f>
        <v>409.08000000000004</v>
      </c>
      <c r="G23" s="10">
        <f>SUM(G21:G22)</f>
        <v>421.35239999999999</v>
      </c>
      <c r="H23" s="10">
        <f t="shared" ref="H23:S23" si="53">SUM(H21:H22)</f>
        <v>433.99297200000001</v>
      </c>
      <c r="I23" s="10">
        <f t="shared" si="53"/>
        <v>447.01276116000003</v>
      </c>
      <c r="J23" s="10">
        <f t="shared" si="53"/>
        <v>460.42314399480006</v>
      </c>
      <c r="K23" s="10">
        <f t="shared" si="53"/>
        <v>474.23583831464407</v>
      </c>
      <c r="L23" s="10">
        <f t="shared" si="53"/>
        <v>488.46291346408339</v>
      </c>
      <c r="M23" s="10">
        <f t="shared" si="53"/>
        <v>503.1168008680059</v>
      </c>
      <c r="N23" s="10">
        <f t="shared" si="53"/>
        <v>518.21030489404609</v>
      </c>
      <c r="O23" s="10">
        <f t="shared" si="53"/>
        <v>533.75661404086748</v>
      </c>
      <c r="P23" s="10">
        <f t="shared" si="53"/>
        <v>549.76931246209358</v>
      </c>
      <c r="Q23" s="10">
        <f t="shared" si="53"/>
        <v>566.26239183595635</v>
      </c>
      <c r="R23" s="10">
        <f t="shared" si="53"/>
        <v>583.25026359103504</v>
      </c>
      <c r="S23" s="10">
        <f t="shared" si="53"/>
        <v>600.74777149876616</v>
      </c>
      <c r="T23" s="10">
        <f t="shared" ref="T23" si="54">SUM(T21:T22)</f>
        <v>618.77020464372902</v>
      </c>
      <c r="U23" s="10">
        <f t="shared" ref="U23" si="55">SUM(U21:U22)</f>
        <v>637.33331078304093</v>
      </c>
      <c r="V23" s="10">
        <f t="shared" ref="V23" si="56">SUM(V21:V22)</f>
        <v>656.45331010653206</v>
      </c>
      <c r="W23" s="10">
        <f t="shared" ref="W23" si="57">SUM(W21:W22)</f>
        <v>676.1469094097281</v>
      </c>
      <c r="X23" s="10">
        <f t="shared" ref="X23" si="58">SUM(X21:X22)</f>
        <v>696.43131669201989</v>
      </c>
      <c r="Y23" s="10">
        <f t="shared" ref="Y23" si="59">SUM(Y21:Y22)</f>
        <v>717.32425619278058</v>
      </c>
      <c r="Z23" s="10">
        <f t="shared" ref="Z23" si="60">SUM(Z21:Z22)</f>
        <v>738.8439838785639</v>
      </c>
      <c r="AA23" s="10">
        <f t="shared" ref="AA23" si="61">SUM(AA21:AA22)</f>
        <v>761.00930339492083</v>
      </c>
      <c r="AB23" s="10">
        <f t="shared" ref="AB23" si="62">SUM(AB21:AB22)</f>
        <v>783.83958249676857</v>
      </c>
    </row>
    <row r="24" spans="1:28" hidden="1">
      <c r="A24" s="39" t="s">
        <v>16</v>
      </c>
      <c r="B24" s="47">
        <f>Assumption!C19</f>
        <v>0.03</v>
      </c>
      <c r="C24" s="33"/>
      <c r="D24" s="33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idden="1">
      <c r="A25" s="39" t="s">
        <v>10</v>
      </c>
      <c r="B25" s="48"/>
      <c r="C25" s="34"/>
      <c r="D25" s="34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>
      <c r="A26" s="39" t="s">
        <v>17</v>
      </c>
      <c r="B26" s="47">
        <f>Assumption!C19</f>
        <v>0.03</v>
      </c>
      <c r="C26" s="33"/>
      <c r="D26" s="33"/>
      <c r="E26" s="36"/>
      <c r="F26" s="36">
        <v>500</v>
      </c>
      <c r="G26" s="36">
        <f>F26*(1+$B$26)</f>
        <v>515</v>
      </c>
      <c r="H26" s="36">
        <f t="shared" ref="H26:S26" si="63">G26*(1+$B$26)</f>
        <v>530.45000000000005</v>
      </c>
      <c r="I26" s="36">
        <f t="shared" si="63"/>
        <v>546.36350000000004</v>
      </c>
      <c r="J26" s="36">
        <f t="shared" si="63"/>
        <v>562.75440500000002</v>
      </c>
      <c r="K26" s="36">
        <f t="shared" si="63"/>
        <v>579.63703715000008</v>
      </c>
      <c r="L26" s="36">
        <f t="shared" si="63"/>
        <v>597.02614826450008</v>
      </c>
      <c r="M26" s="36">
        <f t="shared" si="63"/>
        <v>614.93693271243512</v>
      </c>
      <c r="N26" s="36">
        <f t="shared" si="63"/>
        <v>633.38504069380815</v>
      </c>
      <c r="O26" s="36">
        <f t="shared" si="63"/>
        <v>652.38659191462239</v>
      </c>
      <c r="P26" s="36">
        <f t="shared" si="63"/>
        <v>671.95818967206105</v>
      </c>
      <c r="Q26" s="36">
        <f t="shared" si="63"/>
        <v>692.11693536222288</v>
      </c>
      <c r="R26" s="36">
        <f t="shared" si="63"/>
        <v>712.88044342308956</v>
      </c>
      <c r="S26" s="36">
        <f t="shared" si="63"/>
        <v>734.2668567257823</v>
      </c>
      <c r="T26" s="36">
        <f t="shared" ref="T26:AB26" si="64">S26*(1+$B$26)</f>
        <v>756.29486242755581</v>
      </c>
      <c r="U26" s="36">
        <f t="shared" si="64"/>
        <v>778.98370830038255</v>
      </c>
      <c r="V26" s="36">
        <f t="shared" si="64"/>
        <v>802.353219549394</v>
      </c>
      <c r="W26" s="36">
        <f t="shared" si="64"/>
        <v>826.42381613587588</v>
      </c>
      <c r="X26" s="36">
        <f t="shared" si="64"/>
        <v>851.21653061995221</v>
      </c>
      <c r="Y26" s="36">
        <f t="shared" si="64"/>
        <v>876.75302653855078</v>
      </c>
      <c r="Z26" s="36">
        <f t="shared" si="64"/>
        <v>903.05561733470734</v>
      </c>
      <c r="AA26" s="36">
        <f t="shared" si="64"/>
        <v>930.14728585474859</v>
      </c>
      <c r="AB26" s="36">
        <f t="shared" si="64"/>
        <v>958.05170443039106</v>
      </c>
    </row>
    <row r="27" spans="1:28">
      <c r="A27" s="39" t="s">
        <v>10</v>
      </c>
      <c r="B27" s="48"/>
      <c r="C27" s="34"/>
      <c r="D27" s="34"/>
      <c r="E27" s="36"/>
      <c r="F27" s="36">
        <f>F26*5%</f>
        <v>25</v>
      </c>
      <c r="G27" s="36">
        <f>G26*5%</f>
        <v>25.75</v>
      </c>
      <c r="H27" s="36">
        <f t="shared" ref="H27:S27" si="65">H26*5%</f>
        <v>26.522500000000004</v>
      </c>
      <c r="I27" s="36">
        <f t="shared" si="65"/>
        <v>27.318175000000004</v>
      </c>
      <c r="J27" s="36">
        <f t="shared" si="65"/>
        <v>28.137720250000001</v>
      </c>
      <c r="K27" s="36">
        <f t="shared" si="65"/>
        <v>28.981851857500004</v>
      </c>
      <c r="L27" s="36">
        <f t="shared" si="65"/>
        <v>29.851307413225005</v>
      </c>
      <c r="M27" s="36">
        <f t="shared" si="65"/>
        <v>30.746846635621758</v>
      </c>
      <c r="N27" s="36">
        <f t="shared" si="65"/>
        <v>31.669252034690409</v>
      </c>
      <c r="O27" s="36">
        <f t="shared" si="65"/>
        <v>32.619329595731124</v>
      </c>
      <c r="P27" s="36">
        <f t="shared" si="65"/>
        <v>33.597909483603054</v>
      </c>
      <c r="Q27" s="36">
        <f t="shared" si="65"/>
        <v>34.605846768111142</v>
      </c>
      <c r="R27" s="36">
        <f t="shared" si="65"/>
        <v>35.644022171154482</v>
      </c>
      <c r="S27" s="36">
        <f t="shared" si="65"/>
        <v>36.713342836289115</v>
      </c>
      <c r="T27" s="36">
        <f t="shared" ref="T27" si="66">T26*5%</f>
        <v>37.814743121377795</v>
      </c>
      <c r="U27" s="36">
        <f t="shared" ref="U27" si="67">U26*5%</f>
        <v>38.94918541501913</v>
      </c>
      <c r="V27" s="36">
        <f t="shared" ref="V27" si="68">V26*5%</f>
        <v>40.117660977469704</v>
      </c>
      <c r="W27" s="36">
        <f t="shared" ref="W27" si="69">W26*5%</f>
        <v>41.321190806793794</v>
      </c>
      <c r="X27" s="36">
        <f t="shared" ref="X27" si="70">X26*5%</f>
        <v>42.560826530997616</v>
      </c>
      <c r="Y27" s="36">
        <f t="shared" ref="Y27" si="71">Y26*5%</f>
        <v>43.837651326927542</v>
      </c>
      <c r="Z27" s="36">
        <f t="shared" ref="Z27" si="72">Z26*5%</f>
        <v>45.15278086673537</v>
      </c>
      <c r="AA27" s="36">
        <f t="shared" ref="AA27" si="73">AA26*5%</f>
        <v>46.507364292737435</v>
      </c>
      <c r="AB27" s="36">
        <f t="shared" ref="AB27" si="74">AB26*5%</f>
        <v>47.902585221519558</v>
      </c>
    </row>
    <row r="28" spans="1:28" s="4" customFormat="1">
      <c r="A28" s="40" t="s">
        <v>18</v>
      </c>
      <c r="B28" s="52"/>
      <c r="C28" s="11"/>
      <c r="D28" s="11"/>
      <c r="E28" s="12">
        <f>SUM(E24:E27)</f>
        <v>0</v>
      </c>
      <c r="F28" s="12">
        <f>SUM(F24:F27)</f>
        <v>525</v>
      </c>
      <c r="G28" s="12">
        <f>SUM(G24:G27)</f>
        <v>540.75</v>
      </c>
      <c r="H28" s="12">
        <f t="shared" ref="H28:S28" si="75">SUM(H24:H27)</f>
        <v>556.97250000000008</v>
      </c>
      <c r="I28" s="12">
        <f t="shared" si="75"/>
        <v>573.68167500000004</v>
      </c>
      <c r="J28" s="12">
        <f t="shared" si="75"/>
        <v>590.89212525000005</v>
      </c>
      <c r="K28" s="12">
        <f t="shared" si="75"/>
        <v>608.61888900750012</v>
      </c>
      <c r="L28" s="12">
        <f t="shared" si="75"/>
        <v>626.87745567772504</v>
      </c>
      <c r="M28" s="12">
        <f t="shared" si="75"/>
        <v>645.68377934805687</v>
      </c>
      <c r="N28" s="12">
        <f t="shared" si="75"/>
        <v>665.05429272849858</v>
      </c>
      <c r="O28" s="12">
        <f t="shared" si="75"/>
        <v>685.00592151035346</v>
      </c>
      <c r="P28" s="12">
        <f t="shared" si="75"/>
        <v>705.55609915566413</v>
      </c>
      <c r="Q28" s="12">
        <f t="shared" si="75"/>
        <v>726.72278213033405</v>
      </c>
      <c r="R28" s="12">
        <f t="shared" si="75"/>
        <v>748.52446559424402</v>
      </c>
      <c r="S28" s="12">
        <f t="shared" si="75"/>
        <v>770.98019956207145</v>
      </c>
      <c r="T28" s="12">
        <f t="shared" ref="T28" si="76">SUM(T24:T27)</f>
        <v>794.10960554893359</v>
      </c>
      <c r="U28" s="12">
        <f t="shared" ref="U28" si="77">SUM(U24:U27)</f>
        <v>817.93289371540163</v>
      </c>
      <c r="V28" s="12">
        <f t="shared" ref="V28" si="78">SUM(V24:V27)</f>
        <v>842.47088052686365</v>
      </c>
      <c r="W28" s="12">
        <f t="shared" ref="W28" si="79">SUM(W24:W27)</f>
        <v>867.74500694266965</v>
      </c>
      <c r="X28" s="12">
        <f t="shared" ref="X28" si="80">SUM(X24:X27)</f>
        <v>893.7773571509498</v>
      </c>
      <c r="Y28" s="12">
        <f t="shared" ref="Y28" si="81">SUM(Y24:Y27)</f>
        <v>920.59067786547837</v>
      </c>
      <c r="Z28" s="12">
        <f t="shared" ref="Z28" si="82">SUM(Z24:Z27)</f>
        <v>948.20839820144272</v>
      </c>
      <c r="AA28" s="12">
        <f t="shared" ref="AA28" si="83">SUM(AA24:AA27)</f>
        <v>976.654650147486</v>
      </c>
      <c r="AB28" s="12">
        <f t="shared" ref="AB28" si="84">SUM(AB24:AB27)</f>
        <v>1005.9542896519106</v>
      </c>
    </row>
    <row r="29" spans="1:28" s="4" customFormat="1">
      <c r="A29" s="37" t="s">
        <v>19</v>
      </c>
      <c r="B29" s="50"/>
      <c r="C29" s="9"/>
      <c r="D29" s="9"/>
      <c r="E29" s="10">
        <f>IF(Assumption!$C$20&lt;=E5,E23,(E23+E28))</f>
        <v>0</v>
      </c>
      <c r="F29" s="10">
        <f>((F23*Assumption!$C$30)+('Coal Cost'!F28*(1-Assumption!$C$30)))</f>
        <v>438.06000000000006</v>
      </c>
      <c r="G29" s="10">
        <f>((G23*Assumption!$C$30)+('Coal Cost'!G28*(1-Assumption!$C$30)))</f>
        <v>451.20179999999999</v>
      </c>
      <c r="H29" s="10">
        <f>((H23*Assumption!$C$30)+('Coal Cost'!H28*(1-Assumption!$C$30)))</f>
        <v>464.73785400000003</v>
      </c>
      <c r="I29" s="10">
        <f>((I23*Assumption!$C$30)+('Coal Cost'!I28*(1-Assumption!$C$30)))</f>
        <v>478.67998962000001</v>
      </c>
      <c r="J29" s="10">
        <f>((J23*Assumption!$C$30)+('Coal Cost'!J28*(1-Assumption!$C$30)))</f>
        <v>493.04038930860008</v>
      </c>
      <c r="K29" s="10">
        <f>((K23*Assumption!$C$30)+('Coal Cost'!K28*(1-Assumption!$C$30)))</f>
        <v>507.83160098785811</v>
      </c>
      <c r="L29" s="10">
        <f>((L23*Assumption!$C$30)+('Coal Cost'!L28*(1-Assumption!$C$30)))</f>
        <v>523.0665490174938</v>
      </c>
      <c r="M29" s="10">
        <f>((M23*Assumption!$C$30)+('Coal Cost'!M28*(1-Assumption!$C$30)))</f>
        <v>538.75854548801863</v>
      </c>
      <c r="N29" s="10">
        <f>((N23*Assumption!$C$30)+('Coal Cost'!N28*(1-Assumption!$C$30)))</f>
        <v>554.92130185265921</v>
      </c>
      <c r="O29" s="10">
        <f>((O23*Assumption!$C$30)+('Coal Cost'!O28*(1-Assumption!$C$30)))</f>
        <v>571.56894090823891</v>
      </c>
      <c r="P29" s="10">
        <f>((P23*Assumption!$C$30)+('Coal Cost'!P28*(1-Assumption!$C$30)))</f>
        <v>588.71600913548616</v>
      </c>
      <c r="Q29" s="10">
        <f>((Q23*Assumption!$C$30)+('Coal Cost'!Q28*(1-Assumption!$C$30)))</f>
        <v>606.37748940955078</v>
      </c>
      <c r="R29" s="10">
        <f>((R23*Assumption!$C$30)+('Coal Cost'!R28*(1-Assumption!$C$30)))</f>
        <v>624.56881409183734</v>
      </c>
      <c r="S29" s="10">
        <f>((S23*Assumption!$C$30)+('Coal Cost'!S28*(1-Assumption!$C$30)))</f>
        <v>643.30587851459245</v>
      </c>
      <c r="T29" s="10">
        <f>((T23*Assumption!$C$30)+('Coal Cost'!T28*(1-Assumption!$C$30)))</f>
        <v>662.60505487003024</v>
      </c>
      <c r="U29" s="10">
        <f>((U23*Assumption!$C$30)+('Coal Cost'!U28*(1-Assumption!$C$30)))</f>
        <v>682.48320651613108</v>
      </c>
      <c r="V29" s="10">
        <f>((V23*Assumption!$C$30)+('Coal Cost'!V28*(1-Assumption!$C$30)))</f>
        <v>702.95770271161496</v>
      </c>
      <c r="W29" s="10">
        <f>((W23*Assumption!$C$30)+('Coal Cost'!W28*(1-Assumption!$C$30)))</f>
        <v>724.04643379296351</v>
      </c>
      <c r="X29" s="10">
        <f>((X23*Assumption!$C$30)+('Coal Cost'!X28*(1-Assumption!$C$30)))</f>
        <v>745.76782680675228</v>
      </c>
      <c r="Y29" s="10">
        <f>((Y23*Assumption!$C$30)+('Coal Cost'!Y28*(1-Assumption!$C$30)))</f>
        <v>768.14086161095508</v>
      </c>
      <c r="Z29" s="10">
        <f>((Z23*Assumption!$C$30)+('Coal Cost'!Z28*(1-Assumption!$C$30)))</f>
        <v>791.18508745928364</v>
      </c>
      <c r="AA29" s="10">
        <f>((AA23*Assumption!$C$30)+('Coal Cost'!AA28*(1-Assumption!$C$30)))</f>
        <v>814.92064008306215</v>
      </c>
      <c r="AB29" s="10">
        <f>((AB23*Assumption!$C$30)+('Coal Cost'!AB28*(1-Assumption!$C$30)))</f>
        <v>839.36825928555413</v>
      </c>
    </row>
    <row r="30" spans="1:28" s="4" customFormat="1">
      <c r="A30" s="41" t="s">
        <v>20</v>
      </c>
      <c r="B30" s="53"/>
      <c r="C30" s="25"/>
      <c r="D30" s="25"/>
      <c r="E30" s="26">
        <f>E29+E19</f>
        <v>0</v>
      </c>
      <c r="F30" s="26">
        <f>F29+F19</f>
        <v>2267.8597</v>
      </c>
      <c r="G30" s="26">
        <f t="shared" ref="G30:AB30" si="85">G29+G19</f>
        <v>2316.703411</v>
      </c>
      <c r="H30" s="26">
        <f t="shared" si="85"/>
        <v>2367.01243333</v>
      </c>
      <c r="I30" s="26">
        <f t="shared" si="85"/>
        <v>2418.8307263298998</v>
      </c>
      <c r="J30" s="26">
        <f t="shared" si="85"/>
        <v>2472.2035681197967</v>
      </c>
      <c r="K30" s="26">
        <f t="shared" si="85"/>
        <v>2527.1775951633908</v>
      </c>
      <c r="L30" s="26">
        <f t="shared" si="85"/>
        <v>2583.8008430182931</v>
      </c>
      <c r="M30" s="26">
        <f t="shared" si="85"/>
        <v>2642.1227883088418</v>
      </c>
      <c r="N30" s="26">
        <f t="shared" si="85"/>
        <v>2702.1943919581067</v>
      </c>
      <c r="O30" s="26">
        <f t="shared" si="85"/>
        <v>2764.0681437168496</v>
      </c>
      <c r="P30" s="26">
        <f t="shared" si="85"/>
        <v>2827.7981080283553</v>
      </c>
      <c r="Q30" s="26">
        <f t="shared" si="85"/>
        <v>2893.4399712692066</v>
      </c>
      <c r="R30" s="26">
        <f t="shared" si="85"/>
        <v>2961.0510904072826</v>
      </c>
      <c r="S30" s="26">
        <f t="shared" si="85"/>
        <v>3030.6905431195009</v>
      </c>
      <c r="T30" s="26">
        <f t="shared" si="85"/>
        <v>3102.4191794130857</v>
      </c>
      <c r="U30" s="26">
        <f t="shared" si="85"/>
        <v>3176.2996747954785</v>
      </c>
      <c r="V30" s="26">
        <f t="shared" si="85"/>
        <v>3252.3965850393424</v>
      </c>
      <c r="W30" s="26">
        <f t="shared" si="85"/>
        <v>3330.7764025905226</v>
      </c>
      <c r="X30" s="26">
        <f t="shared" si="85"/>
        <v>3411.5076146682386</v>
      </c>
      <c r="Y30" s="26">
        <f t="shared" si="85"/>
        <v>3494.6607631082866</v>
      </c>
      <c r="Z30" s="26">
        <f t="shared" si="85"/>
        <v>3580.3085060015346</v>
      </c>
      <c r="AA30" s="26">
        <f t="shared" si="85"/>
        <v>3668.5256811815807</v>
      </c>
      <c r="AB30" s="26">
        <f t="shared" si="85"/>
        <v>3759.3893716170278</v>
      </c>
    </row>
    <row r="31" spans="1:28" s="80" customFormat="1">
      <c r="A31" s="78" t="s">
        <v>27</v>
      </c>
      <c r="B31" s="79">
        <f>Assumption!C17</f>
        <v>3400</v>
      </c>
      <c r="C31" s="34"/>
      <c r="D31" s="34"/>
      <c r="E31" s="84">
        <f>B31</f>
        <v>3400</v>
      </c>
      <c r="F31" s="84">
        <f>E31</f>
        <v>3400</v>
      </c>
      <c r="G31" s="84">
        <f t="shared" ref="G31:AB31" si="86">F31</f>
        <v>3400</v>
      </c>
      <c r="H31" s="84">
        <f t="shared" si="86"/>
        <v>3400</v>
      </c>
      <c r="I31" s="84">
        <f t="shared" si="86"/>
        <v>3400</v>
      </c>
      <c r="J31" s="84">
        <f t="shared" si="86"/>
        <v>3400</v>
      </c>
      <c r="K31" s="84">
        <f t="shared" si="86"/>
        <v>3400</v>
      </c>
      <c r="L31" s="84">
        <f t="shared" si="86"/>
        <v>3400</v>
      </c>
      <c r="M31" s="84">
        <f t="shared" si="86"/>
        <v>3400</v>
      </c>
      <c r="N31" s="84">
        <f t="shared" si="86"/>
        <v>3400</v>
      </c>
      <c r="O31" s="84">
        <f t="shared" si="86"/>
        <v>3400</v>
      </c>
      <c r="P31" s="84">
        <f t="shared" si="86"/>
        <v>3400</v>
      </c>
      <c r="Q31" s="84">
        <f t="shared" si="86"/>
        <v>3400</v>
      </c>
      <c r="R31" s="84">
        <f t="shared" si="86"/>
        <v>3400</v>
      </c>
      <c r="S31" s="84">
        <f t="shared" si="86"/>
        <v>3400</v>
      </c>
      <c r="T31" s="84">
        <f t="shared" si="86"/>
        <v>3400</v>
      </c>
      <c r="U31" s="84">
        <f t="shared" si="86"/>
        <v>3400</v>
      </c>
      <c r="V31" s="84">
        <f t="shared" si="86"/>
        <v>3400</v>
      </c>
      <c r="W31" s="84">
        <f t="shared" si="86"/>
        <v>3400</v>
      </c>
      <c r="X31" s="84">
        <f t="shared" si="86"/>
        <v>3400</v>
      </c>
      <c r="Y31" s="84">
        <f t="shared" si="86"/>
        <v>3400</v>
      </c>
      <c r="Z31" s="84">
        <f t="shared" si="86"/>
        <v>3400</v>
      </c>
      <c r="AA31" s="84">
        <f t="shared" si="86"/>
        <v>3400</v>
      </c>
      <c r="AB31" s="84">
        <f t="shared" si="86"/>
        <v>3400</v>
      </c>
    </row>
    <row r="32" spans="1:28" s="2" customFormat="1">
      <c r="A32" s="77" t="s">
        <v>28</v>
      </c>
      <c r="B32" s="48"/>
      <c r="C32" s="34"/>
      <c r="D32" s="34"/>
      <c r="E32" s="85">
        <f>E30/E31</f>
        <v>0</v>
      </c>
      <c r="F32" s="85">
        <f t="shared" ref="F32:AB32" si="87">F30/F31</f>
        <v>0.66701755882352942</v>
      </c>
      <c r="G32" s="85">
        <f t="shared" si="87"/>
        <v>0.68138335617647061</v>
      </c>
      <c r="H32" s="85">
        <f t="shared" si="87"/>
        <v>0.69618012745000002</v>
      </c>
      <c r="I32" s="85">
        <f t="shared" si="87"/>
        <v>0.71142080186173529</v>
      </c>
      <c r="J32" s="85">
        <f t="shared" si="87"/>
        <v>0.72711869650582261</v>
      </c>
      <c r="K32" s="85">
        <f t="shared" si="87"/>
        <v>0.74328752798923259</v>
      </c>
      <c r="L32" s="85">
        <f t="shared" si="87"/>
        <v>0.75994142441714507</v>
      </c>
      <c r="M32" s="85">
        <f t="shared" si="87"/>
        <v>0.77709493773789462</v>
      </c>
      <c r="N32" s="85">
        <f t="shared" si="87"/>
        <v>0.79476305645826673</v>
      </c>
      <c r="O32" s="85">
        <f t="shared" si="87"/>
        <v>0.81296121874024985</v>
      </c>
      <c r="P32" s="85">
        <f t="shared" si="87"/>
        <v>0.83170532589069268</v>
      </c>
      <c r="Q32" s="85">
        <f t="shared" si="87"/>
        <v>0.85101175625564895</v>
      </c>
      <c r="R32" s="85">
        <f t="shared" si="87"/>
        <v>0.87089737953155366</v>
      </c>
      <c r="S32" s="85">
        <f t="shared" si="87"/>
        <v>0.89137957150573555</v>
      </c>
      <c r="T32" s="85">
        <f t="shared" si="87"/>
        <v>0.91247622923914284</v>
      </c>
      <c r="U32" s="85">
        <f t="shared" si="87"/>
        <v>0.93420578670455245</v>
      </c>
      <c r="V32" s="85">
        <f t="shared" si="87"/>
        <v>0.95658723089392428</v>
      </c>
      <c r="W32" s="85">
        <f t="shared" si="87"/>
        <v>0.97964011840897725</v>
      </c>
      <c r="X32" s="85">
        <f t="shared" si="87"/>
        <v>1.003384592549482</v>
      </c>
      <c r="Y32" s="85">
        <f t="shared" si="87"/>
        <v>1.0278414009142018</v>
      </c>
      <c r="Z32" s="85">
        <f t="shared" si="87"/>
        <v>1.0530319135298631</v>
      </c>
      <c r="AA32" s="85">
        <f t="shared" si="87"/>
        <v>1.0789781415239943</v>
      </c>
      <c r="AB32" s="85">
        <f t="shared" si="87"/>
        <v>1.1057027563579493</v>
      </c>
    </row>
    <row r="33" spans="1:28" s="80" customFormat="1">
      <c r="A33" s="81" t="s">
        <v>47</v>
      </c>
      <c r="B33" s="82">
        <f>Assumption!C8</f>
        <v>2325</v>
      </c>
      <c r="C33" s="34"/>
      <c r="D33" s="34"/>
      <c r="E33" s="86">
        <f>B33</f>
        <v>2325</v>
      </c>
      <c r="F33" s="86">
        <f>E33*(1+Assumption!$C$9)</f>
        <v>2325</v>
      </c>
      <c r="G33" s="86">
        <f>F33*(1+Assumption!$C$9)</f>
        <v>2325</v>
      </c>
      <c r="H33" s="86">
        <f>G33*(1+Assumption!$C$9)</f>
        <v>2325</v>
      </c>
      <c r="I33" s="86">
        <f>H33*(1+Assumption!$C$9)</f>
        <v>2325</v>
      </c>
      <c r="J33" s="86">
        <f>I33*(1+Assumption!$C$9)</f>
        <v>2325</v>
      </c>
      <c r="K33" s="86">
        <f>J33*(1+Assumption!$C$9)</f>
        <v>2325</v>
      </c>
      <c r="L33" s="86">
        <f>K33*(1+Assumption!$C$9)</f>
        <v>2325</v>
      </c>
      <c r="M33" s="86">
        <f>L33*(1+Assumption!$C$9)</f>
        <v>2325</v>
      </c>
      <c r="N33" s="86">
        <f>M33*(1+Assumption!$C$9)</f>
        <v>2325</v>
      </c>
      <c r="O33" s="86">
        <f>N33*(1+Assumption!$C$9)</f>
        <v>2325</v>
      </c>
      <c r="P33" s="86">
        <f>O33*(1+Assumption!$C$9)</f>
        <v>2325</v>
      </c>
      <c r="Q33" s="86">
        <f>P33*(1+Assumption!$C$9)</f>
        <v>2325</v>
      </c>
      <c r="R33" s="86">
        <f>Q33*(1+Assumption!$C$9)</f>
        <v>2325</v>
      </c>
      <c r="S33" s="86">
        <f>R33*(1+Assumption!$C$9)</f>
        <v>2325</v>
      </c>
      <c r="T33" s="86">
        <f>S33*(1+Assumption!$C$9)</f>
        <v>2325</v>
      </c>
      <c r="U33" s="86">
        <f>T33*(1+Assumption!$C$9)</f>
        <v>2325</v>
      </c>
      <c r="V33" s="86">
        <f>U33*(1+Assumption!$C$9)</f>
        <v>2325</v>
      </c>
      <c r="W33" s="86">
        <f>V33*(1+Assumption!$C$9)</f>
        <v>2325</v>
      </c>
      <c r="X33" s="86">
        <f>W33*(1+Assumption!$C$9)</f>
        <v>2325</v>
      </c>
      <c r="Y33" s="86">
        <f>X33*(1+Assumption!$C$9)</f>
        <v>2325</v>
      </c>
      <c r="Z33" s="86">
        <f>Y33*(1+Assumption!$C$9)</f>
        <v>2325</v>
      </c>
      <c r="AA33" s="86">
        <f>Z33*(1+Assumption!$C$9)</f>
        <v>2325</v>
      </c>
      <c r="AB33" s="86">
        <f>AA33*(1+Assumption!$C$9)</f>
        <v>2325</v>
      </c>
    </row>
    <row r="34" spans="1:28" s="2" customFormat="1">
      <c r="A34" s="77" t="s">
        <v>48</v>
      </c>
      <c r="B34" s="83">
        <f>Assumption!C10</f>
        <v>5.7500000000000002E-2</v>
      </c>
      <c r="C34" s="34"/>
      <c r="D34" s="34"/>
      <c r="E34" s="87">
        <f>B34</f>
        <v>5.7500000000000002E-2</v>
      </c>
      <c r="F34" s="87">
        <f>E34</f>
        <v>5.7500000000000002E-2</v>
      </c>
      <c r="G34" s="87">
        <f t="shared" ref="G34:AB34" si="88">F34</f>
        <v>5.7500000000000002E-2</v>
      </c>
      <c r="H34" s="87">
        <f t="shared" si="88"/>
        <v>5.7500000000000002E-2</v>
      </c>
      <c r="I34" s="87">
        <f t="shared" si="88"/>
        <v>5.7500000000000002E-2</v>
      </c>
      <c r="J34" s="87">
        <f t="shared" si="88"/>
        <v>5.7500000000000002E-2</v>
      </c>
      <c r="K34" s="87">
        <f t="shared" si="88"/>
        <v>5.7500000000000002E-2</v>
      </c>
      <c r="L34" s="87">
        <f t="shared" si="88"/>
        <v>5.7500000000000002E-2</v>
      </c>
      <c r="M34" s="87">
        <f t="shared" si="88"/>
        <v>5.7500000000000002E-2</v>
      </c>
      <c r="N34" s="87">
        <f t="shared" si="88"/>
        <v>5.7500000000000002E-2</v>
      </c>
      <c r="O34" s="87">
        <f t="shared" si="88"/>
        <v>5.7500000000000002E-2</v>
      </c>
      <c r="P34" s="87">
        <f t="shared" si="88"/>
        <v>5.7500000000000002E-2</v>
      </c>
      <c r="Q34" s="87">
        <f t="shared" si="88"/>
        <v>5.7500000000000002E-2</v>
      </c>
      <c r="R34" s="87">
        <f t="shared" si="88"/>
        <v>5.7500000000000002E-2</v>
      </c>
      <c r="S34" s="87">
        <f t="shared" si="88"/>
        <v>5.7500000000000002E-2</v>
      </c>
      <c r="T34" s="87">
        <f t="shared" si="88"/>
        <v>5.7500000000000002E-2</v>
      </c>
      <c r="U34" s="87">
        <f t="shared" si="88"/>
        <v>5.7500000000000002E-2</v>
      </c>
      <c r="V34" s="87">
        <f t="shared" si="88"/>
        <v>5.7500000000000002E-2</v>
      </c>
      <c r="W34" s="87">
        <f t="shared" si="88"/>
        <v>5.7500000000000002E-2</v>
      </c>
      <c r="X34" s="87">
        <f t="shared" si="88"/>
        <v>5.7500000000000002E-2</v>
      </c>
      <c r="Y34" s="87">
        <f t="shared" si="88"/>
        <v>5.7500000000000002E-2</v>
      </c>
      <c r="Z34" s="87">
        <f t="shared" si="88"/>
        <v>5.7500000000000002E-2</v>
      </c>
      <c r="AA34" s="87">
        <f t="shared" si="88"/>
        <v>5.7500000000000002E-2</v>
      </c>
      <c r="AB34" s="87">
        <f t="shared" si="88"/>
        <v>5.7500000000000002E-2</v>
      </c>
    </row>
    <row r="35" spans="1:28" s="2" customFormat="1" ht="15.75" thickBot="1">
      <c r="A35" s="42" t="s">
        <v>49</v>
      </c>
      <c r="B35" s="55"/>
      <c r="C35" s="89"/>
      <c r="D35" s="89"/>
      <c r="E35" s="88">
        <f>(E32*E33/1000)/(1-E34)</f>
        <v>0</v>
      </c>
      <c r="F35" s="88">
        <f t="shared" ref="F35:AB35" si="89">(F32*F33/1000)/(1-F34)</f>
        <v>1.6454279302543298</v>
      </c>
      <c r="G35" s="88">
        <f t="shared" si="89"/>
        <v>1.6808661040958026</v>
      </c>
      <c r="H35" s="88">
        <f t="shared" si="89"/>
        <v>1.71736742315252</v>
      </c>
      <c r="I35" s="88">
        <f t="shared" si="89"/>
        <v>1.7549637817809387</v>
      </c>
      <c r="J35" s="88">
        <f t="shared" si="89"/>
        <v>1.7936880311682095</v>
      </c>
      <c r="K35" s="88">
        <f t="shared" si="89"/>
        <v>1.833574008037099</v>
      </c>
      <c r="L35" s="88">
        <f t="shared" si="89"/>
        <v>1.8746565642120554</v>
      </c>
      <c r="M35" s="88">
        <f t="shared" si="89"/>
        <v>1.9169715970722601</v>
      </c>
      <c r="N35" s="88">
        <f t="shared" si="89"/>
        <v>1.9605560809182707</v>
      </c>
      <c r="O35" s="88">
        <f t="shared" si="89"/>
        <v>2.0054480992796613</v>
      </c>
      <c r="P35" s="88">
        <f t="shared" si="89"/>
        <v>2.0516868781918944</v>
      </c>
      <c r="Q35" s="88">
        <f t="shared" si="89"/>
        <v>2.0993128204714946</v>
      </c>
      <c r="R35" s="88">
        <f t="shared" si="89"/>
        <v>2.148367541019482</v>
      </c>
      <c r="S35" s="88">
        <f t="shared" si="89"/>
        <v>2.1988939031839099</v>
      </c>
      <c r="T35" s="88">
        <f t="shared" si="89"/>
        <v>2.2509360562132703</v>
      </c>
      <c r="U35" s="88">
        <f t="shared" si="89"/>
        <v>2.3045394738335117</v>
      </c>
      <c r="V35" s="88">
        <f t="shared" si="89"/>
        <v>2.35975099398236</v>
      </c>
      <c r="W35" s="88">
        <f t="shared" si="89"/>
        <v>2.4166188597356735</v>
      </c>
      <c r="X35" s="88">
        <f t="shared" si="89"/>
        <v>2.4751927614615865</v>
      </c>
      <c r="Y35" s="88">
        <f t="shared" si="89"/>
        <v>2.5355238802392779</v>
      </c>
      <c r="Z35" s="88">
        <f t="shared" si="89"/>
        <v>2.5976649325802992</v>
      </c>
      <c r="AA35" s="88">
        <f t="shared" si="89"/>
        <v>2.6616702164915513</v>
      </c>
      <c r="AB35" s="88">
        <f t="shared" si="89"/>
        <v>2.7275956589201407</v>
      </c>
    </row>
    <row r="36" spans="1:28" ht="15.75" thickTop="1">
      <c r="A36" s="56"/>
      <c r="B36" s="57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</row>
    <row r="37" spans="1:28">
      <c r="A37" s="56"/>
      <c r="B37" s="57"/>
      <c r="C37" s="56"/>
      <c r="D37" s="56"/>
      <c r="E37" s="56"/>
      <c r="F37" s="265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</row>
    <row r="38" spans="1:28" ht="16.5" thickBot="1">
      <c r="A38" s="90" t="s">
        <v>21</v>
      </c>
      <c r="B38" s="55"/>
      <c r="C38" s="91"/>
      <c r="D38" s="91"/>
      <c r="E38" s="91"/>
      <c r="F38" s="91"/>
      <c r="G38" s="91"/>
      <c r="H38" s="91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</row>
    <row r="39" spans="1:28" ht="15.75" thickTop="1">
      <c r="A39" s="29" t="s">
        <v>1</v>
      </c>
      <c r="B39" s="47">
        <f>Assumption!C28</f>
        <v>0.03</v>
      </c>
      <c r="C39" s="30"/>
      <c r="D39" s="30"/>
      <c r="E39" s="35"/>
      <c r="F39" s="35">
        <f>Assumption!C26</f>
        <v>955</v>
      </c>
      <c r="G39" s="35">
        <f>F39*(1+$B$8)</f>
        <v>983.65</v>
      </c>
      <c r="H39" s="35">
        <f t="shared" ref="H39:AB39" si="90">G39*(1+$B$8)</f>
        <v>1013.1595</v>
      </c>
      <c r="I39" s="35">
        <f t="shared" si="90"/>
        <v>1043.5542849999999</v>
      </c>
      <c r="J39" s="35">
        <f t="shared" si="90"/>
        <v>1074.8609135499999</v>
      </c>
      <c r="K39" s="35">
        <f t="shared" si="90"/>
        <v>1107.1067409564998</v>
      </c>
      <c r="L39" s="35">
        <f t="shared" si="90"/>
        <v>1140.3199431851949</v>
      </c>
      <c r="M39" s="35">
        <f t="shared" si="90"/>
        <v>1174.5295414807508</v>
      </c>
      <c r="N39" s="35">
        <f t="shared" si="90"/>
        <v>1209.7654277251734</v>
      </c>
      <c r="O39" s="35">
        <f t="shared" si="90"/>
        <v>1246.0583905569285</v>
      </c>
      <c r="P39" s="35">
        <f t="shared" si="90"/>
        <v>1283.4401422736364</v>
      </c>
      <c r="Q39" s="35">
        <f t="shared" si="90"/>
        <v>1321.9433465418456</v>
      </c>
      <c r="R39" s="35">
        <f t="shared" si="90"/>
        <v>1361.6016469381009</v>
      </c>
      <c r="S39" s="35">
        <f t="shared" si="90"/>
        <v>1402.4496963462439</v>
      </c>
      <c r="T39" s="35">
        <f t="shared" si="90"/>
        <v>1444.5231872366312</v>
      </c>
      <c r="U39" s="35">
        <f t="shared" si="90"/>
        <v>1487.8588828537302</v>
      </c>
      <c r="V39" s="35">
        <f t="shared" si="90"/>
        <v>1532.494649339342</v>
      </c>
      <c r="W39" s="35">
        <f t="shared" si="90"/>
        <v>1578.4694888195222</v>
      </c>
      <c r="X39" s="35">
        <f t="shared" si="90"/>
        <v>1625.823573484108</v>
      </c>
      <c r="Y39" s="35">
        <f t="shared" si="90"/>
        <v>1674.5982806886313</v>
      </c>
      <c r="Z39" s="35">
        <f t="shared" si="90"/>
        <v>1724.8362291092903</v>
      </c>
      <c r="AA39" s="35">
        <f t="shared" si="90"/>
        <v>1776.5813159825691</v>
      </c>
      <c r="AB39" s="35">
        <f t="shared" si="90"/>
        <v>1829.8787554620462</v>
      </c>
    </row>
    <row r="40" spans="1:28">
      <c r="A40" s="29" t="s">
        <v>22</v>
      </c>
      <c r="B40" s="47">
        <f>Assumption!C28</f>
        <v>0.03</v>
      </c>
      <c r="C40" s="30"/>
      <c r="D40" s="30"/>
      <c r="E40" s="35"/>
      <c r="F40" s="35">
        <f>F39*Assumption!C27</f>
        <v>477.5</v>
      </c>
      <c r="G40" s="35">
        <f t="shared" ref="G40:AB40" si="91">F40*(1+$B$40)</f>
        <v>491.82499999999999</v>
      </c>
      <c r="H40" s="35">
        <f t="shared" si="91"/>
        <v>506.57974999999999</v>
      </c>
      <c r="I40" s="35">
        <f t="shared" si="91"/>
        <v>521.77714249999997</v>
      </c>
      <c r="J40" s="35">
        <f t="shared" si="91"/>
        <v>537.43045677499993</v>
      </c>
      <c r="K40" s="35">
        <f t="shared" si="91"/>
        <v>553.55337047824992</v>
      </c>
      <c r="L40" s="35">
        <f t="shared" si="91"/>
        <v>570.15997159259746</v>
      </c>
      <c r="M40" s="35">
        <f t="shared" si="91"/>
        <v>587.26477074037541</v>
      </c>
      <c r="N40" s="35">
        <f t="shared" si="91"/>
        <v>604.88271386258668</v>
      </c>
      <c r="O40" s="35">
        <f t="shared" si="91"/>
        <v>623.02919527846427</v>
      </c>
      <c r="P40" s="35">
        <f t="shared" si="91"/>
        <v>641.72007113681821</v>
      </c>
      <c r="Q40" s="35">
        <f t="shared" si="91"/>
        <v>660.97167327092279</v>
      </c>
      <c r="R40" s="35">
        <f t="shared" si="91"/>
        <v>680.80082346905044</v>
      </c>
      <c r="S40" s="35">
        <f t="shared" si="91"/>
        <v>701.22484817312193</v>
      </c>
      <c r="T40" s="35">
        <f t="shared" si="91"/>
        <v>722.2615936183156</v>
      </c>
      <c r="U40" s="35">
        <f t="shared" si="91"/>
        <v>743.92944142686508</v>
      </c>
      <c r="V40" s="35">
        <f t="shared" si="91"/>
        <v>766.247324669671</v>
      </c>
      <c r="W40" s="35">
        <f t="shared" si="91"/>
        <v>789.23474440976111</v>
      </c>
      <c r="X40" s="35">
        <f t="shared" si="91"/>
        <v>812.91178674205401</v>
      </c>
      <c r="Y40" s="35">
        <f t="shared" si="91"/>
        <v>837.29914034431567</v>
      </c>
      <c r="Z40" s="35">
        <f t="shared" si="91"/>
        <v>862.41811455464517</v>
      </c>
      <c r="AA40" s="35">
        <f t="shared" si="91"/>
        <v>888.29065799128455</v>
      </c>
      <c r="AB40" s="35">
        <f t="shared" si="91"/>
        <v>914.93937773102311</v>
      </c>
    </row>
    <row r="41" spans="1:28">
      <c r="A41" s="29" t="s">
        <v>2</v>
      </c>
      <c r="B41" s="47">
        <f>B9</f>
        <v>0.18479999999999999</v>
      </c>
      <c r="C41" s="31"/>
      <c r="D41" s="31"/>
      <c r="E41" s="36"/>
      <c r="F41" s="36">
        <f t="shared" ref="F41:AB41" si="92">(F39+F40)*$B$41</f>
        <v>264.726</v>
      </c>
      <c r="G41" s="36">
        <f t="shared" si="92"/>
        <v>272.66777999999999</v>
      </c>
      <c r="H41" s="36">
        <f t="shared" si="92"/>
        <v>280.84781340000001</v>
      </c>
      <c r="I41" s="36">
        <f t="shared" si="92"/>
        <v>289.27324780199996</v>
      </c>
      <c r="J41" s="36">
        <f t="shared" si="92"/>
        <v>297.9514452360599</v>
      </c>
      <c r="K41" s="36">
        <f t="shared" si="92"/>
        <v>306.88998859314177</v>
      </c>
      <c r="L41" s="36">
        <f t="shared" si="92"/>
        <v>316.09668825093604</v>
      </c>
      <c r="M41" s="36">
        <f t="shared" si="92"/>
        <v>325.57958889846412</v>
      </c>
      <c r="N41" s="36">
        <f t="shared" si="92"/>
        <v>335.34697656541806</v>
      </c>
      <c r="O41" s="36">
        <f t="shared" si="92"/>
        <v>345.40738586238058</v>
      </c>
      <c r="P41" s="36">
        <f t="shared" si="92"/>
        <v>355.76960743825202</v>
      </c>
      <c r="Q41" s="36">
        <f t="shared" si="92"/>
        <v>366.44269566139957</v>
      </c>
      <c r="R41" s="36">
        <f t="shared" si="92"/>
        <v>377.43597653124152</v>
      </c>
      <c r="S41" s="36">
        <f t="shared" si="92"/>
        <v>388.75905582717871</v>
      </c>
      <c r="T41" s="36">
        <f t="shared" si="92"/>
        <v>400.42182750199413</v>
      </c>
      <c r="U41" s="36">
        <f t="shared" si="92"/>
        <v>412.43448232705396</v>
      </c>
      <c r="V41" s="36">
        <f t="shared" si="92"/>
        <v>424.80751679686563</v>
      </c>
      <c r="W41" s="36">
        <f t="shared" si="92"/>
        <v>437.55174230077148</v>
      </c>
      <c r="X41" s="36">
        <f t="shared" si="92"/>
        <v>450.67829456979467</v>
      </c>
      <c r="Y41" s="36">
        <f t="shared" si="92"/>
        <v>464.19864340688861</v>
      </c>
      <c r="Z41" s="36">
        <f t="shared" si="92"/>
        <v>478.1246027090952</v>
      </c>
      <c r="AA41" s="36">
        <f t="shared" si="92"/>
        <v>492.46834079036813</v>
      </c>
      <c r="AB41" s="36">
        <f t="shared" si="92"/>
        <v>507.24239101407915</v>
      </c>
    </row>
    <row r="42" spans="1:28">
      <c r="A42" s="29" t="s">
        <v>3</v>
      </c>
      <c r="B42" s="48"/>
      <c r="C42" s="31"/>
      <c r="D42" s="31"/>
      <c r="E42" s="36"/>
      <c r="F42" s="36">
        <v>50</v>
      </c>
      <c r="G42" s="36">
        <v>50</v>
      </c>
      <c r="H42" s="36">
        <v>50</v>
      </c>
      <c r="I42" s="36">
        <v>50</v>
      </c>
      <c r="J42" s="36">
        <v>50</v>
      </c>
      <c r="K42" s="36">
        <v>50</v>
      </c>
      <c r="L42" s="36">
        <v>50</v>
      </c>
      <c r="M42" s="36">
        <v>50</v>
      </c>
      <c r="N42" s="36">
        <v>50</v>
      </c>
      <c r="O42" s="36">
        <v>50</v>
      </c>
      <c r="P42" s="36">
        <v>50</v>
      </c>
      <c r="Q42" s="36">
        <v>50</v>
      </c>
      <c r="R42" s="36">
        <v>50</v>
      </c>
      <c r="S42" s="36">
        <v>50</v>
      </c>
      <c r="T42" s="36">
        <v>50</v>
      </c>
      <c r="U42" s="36">
        <v>50</v>
      </c>
      <c r="V42" s="36">
        <v>50</v>
      </c>
      <c r="W42" s="36">
        <v>50</v>
      </c>
      <c r="X42" s="36">
        <v>50</v>
      </c>
      <c r="Y42" s="36">
        <v>50</v>
      </c>
      <c r="Z42" s="36">
        <v>50</v>
      </c>
      <c r="AA42" s="36">
        <v>50</v>
      </c>
      <c r="AB42" s="36">
        <v>50</v>
      </c>
    </row>
    <row r="43" spans="1:28">
      <c r="A43" s="29" t="s">
        <v>4</v>
      </c>
      <c r="B43" s="48"/>
      <c r="C43" s="31"/>
      <c r="D43" s="31"/>
      <c r="E43" s="36"/>
      <c r="F43" s="36">
        <f>(51+79+100)/3</f>
        <v>76.666666666666671</v>
      </c>
      <c r="G43" s="36">
        <f>(51+79+100)/3</f>
        <v>76.666666666666671</v>
      </c>
      <c r="H43" s="36">
        <f t="shared" ref="H43:AB43" si="93">(51+79+100)/3</f>
        <v>76.666666666666671</v>
      </c>
      <c r="I43" s="36">
        <f t="shared" si="93"/>
        <v>76.666666666666671</v>
      </c>
      <c r="J43" s="36">
        <f t="shared" si="93"/>
        <v>76.666666666666671</v>
      </c>
      <c r="K43" s="36">
        <f t="shared" si="93"/>
        <v>76.666666666666671</v>
      </c>
      <c r="L43" s="36">
        <f t="shared" si="93"/>
        <v>76.666666666666671</v>
      </c>
      <c r="M43" s="36">
        <f t="shared" si="93"/>
        <v>76.666666666666671</v>
      </c>
      <c r="N43" s="36">
        <f t="shared" si="93"/>
        <v>76.666666666666671</v>
      </c>
      <c r="O43" s="36">
        <f t="shared" si="93"/>
        <v>76.666666666666671</v>
      </c>
      <c r="P43" s="36">
        <f t="shared" si="93"/>
        <v>76.666666666666671</v>
      </c>
      <c r="Q43" s="36">
        <f t="shared" si="93"/>
        <v>76.666666666666671</v>
      </c>
      <c r="R43" s="36">
        <f t="shared" si="93"/>
        <v>76.666666666666671</v>
      </c>
      <c r="S43" s="36">
        <f t="shared" si="93"/>
        <v>76.666666666666671</v>
      </c>
      <c r="T43" s="36">
        <f t="shared" si="93"/>
        <v>76.666666666666671</v>
      </c>
      <c r="U43" s="36">
        <f t="shared" si="93"/>
        <v>76.666666666666671</v>
      </c>
      <c r="V43" s="36">
        <f t="shared" si="93"/>
        <v>76.666666666666671</v>
      </c>
      <c r="W43" s="36">
        <f t="shared" si="93"/>
        <v>76.666666666666671</v>
      </c>
      <c r="X43" s="36">
        <f t="shared" si="93"/>
        <v>76.666666666666671</v>
      </c>
      <c r="Y43" s="36">
        <f t="shared" si="93"/>
        <v>76.666666666666671</v>
      </c>
      <c r="Z43" s="36">
        <f t="shared" si="93"/>
        <v>76.666666666666671</v>
      </c>
      <c r="AA43" s="36">
        <f t="shared" si="93"/>
        <v>76.666666666666671</v>
      </c>
      <c r="AB43" s="36">
        <f t="shared" si="93"/>
        <v>76.666666666666671</v>
      </c>
    </row>
    <row r="44" spans="1:28">
      <c r="A44" s="29" t="s">
        <v>5</v>
      </c>
      <c r="B44" s="48"/>
      <c r="C44" s="31"/>
      <c r="D44" s="31"/>
      <c r="E44" s="36"/>
      <c r="F44" s="36">
        <f>(57+116)/2</f>
        <v>86.5</v>
      </c>
      <c r="G44" s="36">
        <f>(57+116)/2</f>
        <v>86.5</v>
      </c>
      <c r="H44" s="36">
        <f t="shared" ref="H44:AB44" si="94">(57+116)/2</f>
        <v>86.5</v>
      </c>
      <c r="I44" s="36">
        <f t="shared" si="94"/>
        <v>86.5</v>
      </c>
      <c r="J44" s="36">
        <f t="shared" si="94"/>
        <v>86.5</v>
      </c>
      <c r="K44" s="36">
        <f t="shared" si="94"/>
        <v>86.5</v>
      </c>
      <c r="L44" s="36">
        <f t="shared" si="94"/>
        <v>86.5</v>
      </c>
      <c r="M44" s="36">
        <f t="shared" si="94"/>
        <v>86.5</v>
      </c>
      <c r="N44" s="36">
        <f t="shared" si="94"/>
        <v>86.5</v>
      </c>
      <c r="O44" s="36">
        <f t="shared" si="94"/>
        <v>86.5</v>
      </c>
      <c r="P44" s="36">
        <f t="shared" si="94"/>
        <v>86.5</v>
      </c>
      <c r="Q44" s="36">
        <f t="shared" si="94"/>
        <v>86.5</v>
      </c>
      <c r="R44" s="36">
        <f t="shared" si="94"/>
        <v>86.5</v>
      </c>
      <c r="S44" s="36">
        <f t="shared" si="94"/>
        <v>86.5</v>
      </c>
      <c r="T44" s="36">
        <f t="shared" si="94"/>
        <v>86.5</v>
      </c>
      <c r="U44" s="36">
        <f t="shared" si="94"/>
        <v>86.5</v>
      </c>
      <c r="V44" s="36">
        <f t="shared" si="94"/>
        <v>86.5</v>
      </c>
      <c r="W44" s="36">
        <f t="shared" si="94"/>
        <v>86.5</v>
      </c>
      <c r="X44" s="36">
        <f t="shared" si="94"/>
        <v>86.5</v>
      </c>
      <c r="Y44" s="36">
        <f t="shared" si="94"/>
        <v>86.5</v>
      </c>
      <c r="Z44" s="36">
        <f t="shared" si="94"/>
        <v>86.5</v>
      </c>
      <c r="AA44" s="36">
        <f t="shared" si="94"/>
        <v>86.5</v>
      </c>
      <c r="AB44" s="36">
        <f t="shared" si="94"/>
        <v>86.5</v>
      </c>
    </row>
    <row r="45" spans="1:28">
      <c r="A45" s="29" t="s">
        <v>6</v>
      </c>
      <c r="B45" s="48"/>
      <c r="C45" s="31"/>
      <c r="D45" s="31"/>
      <c r="E45" s="36"/>
      <c r="F45" s="36">
        <f>(F39+F43)*0.2%</f>
        <v>2.0633333333333335</v>
      </c>
      <c r="G45" s="36">
        <f>(G39+G43)*0.2%</f>
        <v>2.1206333333333331</v>
      </c>
      <c r="H45" s="36">
        <f t="shared" ref="H45:AB45" si="95">(H39+H43)*0.2%</f>
        <v>2.1796523333333333</v>
      </c>
      <c r="I45" s="36">
        <f t="shared" si="95"/>
        <v>2.2404419033333336</v>
      </c>
      <c r="J45" s="36">
        <f t="shared" si="95"/>
        <v>2.3030551604333334</v>
      </c>
      <c r="K45" s="36">
        <f t="shared" si="95"/>
        <v>2.367546815246333</v>
      </c>
      <c r="L45" s="36">
        <f t="shared" si="95"/>
        <v>2.4339732197037232</v>
      </c>
      <c r="M45" s="36">
        <f t="shared" si="95"/>
        <v>2.502392416294835</v>
      </c>
      <c r="N45" s="36">
        <f t="shared" si="95"/>
        <v>2.5728641887836803</v>
      </c>
      <c r="O45" s="36">
        <f t="shared" si="95"/>
        <v>2.6454501144471907</v>
      </c>
      <c r="P45" s="36">
        <f t="shared" si="95"/>
        <v>2.7202136178806064</v>
      </c>
      <c r="Q45" s="36">
        <f t="shared" si="95"/>
        <v>2.7972200264170248</v>
      </c>
      <c r="R45" s="36">
        <f t="shared" si="95"/>
        <v>2.8765366272095352</v>
      </c>
      <c r="S45" s="36">
        <f t="shared" si="95"/>
        <v>2.9582327260258214</v>
      </c>
      <c r="T45" s="36">
        <f t="shared" si="95"/>
        <v>3.0423797078065959</v>
      </c>
      <c r="U45" s="36">
        <f t="shared" si="95"/>
        <v>3.1290510990407938</v>
      </c>
      <c r="V45" s="36">
        <f t="shared" si="95"/>
        <v>3.2183226320120175</v>
      </c>
      <c r="W45" s="36">
        <f t="shared" si="95"/>
        <v>3.310272310972378</v>
      </c>
      <c r="X45" s="36">
        <f t="shared" si="95"/>
        <v>3.4049804803015498</v>
      </c>
      <c r="Y45" s="36">
        <f t="shared" si="95"/>
        <v>3.5025298947105963</v>
      </c>
      <c r="Z45" s="36">
        <f t="shared" si="95"/>
        <v>3.6030057915519142</v>
      </c>
      <c r="AA45" s="36">
        <f t="shared" si="95"/>
        <v>3.7064959652984717</v>
      </c>
      <c r="AB45" s="36">
        <f t="shared" si="95"/>
        <v>3.8130908442574261</v>
      </c>
    </row>
    <row r="46" spans="1:28">
      <c r="A46" s="29" t="s">
        <v>7</v>
      </c>
      <c r="B46" s="48"/>
      <c r="C46" s="31"/>
      <c r="D46" s="31"/>
      <c r="E46" s="35"/>
      <c r="F46" s="35">
        <v>7.5</v>
      </c>
      <c r="G46" s="35">
        <v>7.5</v>
      </c>
      <c r="H46" s="35">
        <v>7.5</v>
      </c>
      <c r="I46" s="35">
        <v>7.5</v>
      </c>
      <c r="J46" s="35">
        <v>7.5</v>
      </c>
      <c r="K46" s="35">
        <v>7.5</v>
      </c>
      <c r="L46" s="35">
        <v>7.5</v>
      </c>
      <c r="M46" s="35">
        <v>7.5</v>
      </c>
      <c r="N46" s="35">
        <v>7.5</v>
      </c>
      <c r="O46" s="35">
        <v>7.5</v>
      </c>
      <c r="P46" s="35">
        <v>7.5</v>
      </c>
      <c r="Q46" s="35">
        <v>7.5</v>
      </c>
      <c r="R46" s="35">
        <v>7.5</v>
      </c>
      <c r="S46" s="35">
        <v>7.5</v>
      </c>
      <c r="T46" s="35">
        <v>7.5</v>
      </c>
      <c r="U46" s="35">
        <v>7.5</v>
      </c>
      <c r="V46" s="35">
        <v>7.5</v>
      </c>
      <c r="W46" s="35">
        <v>7.5</v>
      </c>
      <c r="X46" s="35">
        <v>7.5</v>
      </c>
      <c r="Y46" s="35">
        <v>7.5</v>
      </c>
      <c r="Z46" s="35">
        <v>7.5</v>
      </c>
      <c r="AA46" s="35">
        <v>7.5</v>
      </c>
      <c r="AB46" s="35">
        <v>7.5</v>
      </c>
    </row>
    <row r="47" spans="1:28">
      <c r="A47" s="29" t="s">
        <v>8</v>
      </c>
      <c r="B47" s="48"/>
      <c r="C47" s="31"/>
      <c r="D47" s="31"/>
      <c r="E47" s="35"/>
      <c r="F47" s="35">
        <v>7.5</v>
      </c>
      <c r="G47" s="35">
        <v>7.5</v>
      </c>
      <c r="H47" s="35">
        <v>7.5</v>
      </c>
      <c r="I47" s="35">
        <v>7.5</v>
      </c>
      <c r="J47" s="35">
        <v>7.5</v>
      </c>
      <c r="K47" s="35">
        <v>7.5</v>
      </c>
      <c r="L47" s="35">
        <v>7.5</v>
      </c>
      <c r="M47" s="35">
        <v>7.5</v>
      </c>
      <c r="N47" s="35">
        <v>7.5</v>
      </c>
      <c r="O47" s="35">
        <v>7.5</v>
      </c>
      <c r="P47" s="35">
        <v>7.5</v>
      </c>
      <c r="Q47" s="35">
        <v>7.5</v>
      </c>
      <c r="R47" s="35">
        <v>7.5</v>
      </c>
      <c r="S47" s="35">
        <v>7.5</v>
      </c>
      <c r="T47" s="35">
        <v>7.5</v>
      </c>
      <c r="U47" s="35">
        <v>7.5</v>
      </c>
      <c r="V47" s="35">
        <v>7.5</v>
      </c>
      <c r="W47" s="35">
        <v>7.5</v>
      </c>
      <c r="X47" s="35">
        <v>7.5</v>
      </c>
      <c r="Y47" s="35">
        <v>7.5</v>
      </c>
      <c r="Z47" s="35">
        <v>7.5</v>
      </c>
      <c r="AA47" s="35">
        <v>7.5</v>
      </c>
      <c r="AB47" s="35">
        <v>7.5</v>
      </c>
    </row>
    <row r="48" spans="1:28" s="4" customFormat="1">
      <c r="A48" s="37" t="s">
        <v>9</v>
      </c>
      <c r="B48" s="50"/>
      <c r="C48" s="9"/>
      <c r="D48" s="9"/>
      <c r="E48" s="10"/>
      <c r="F48" s="10">
        <f>SUM(F39:F47)</f>
        <v>1927.4560000000001</v>
      </c>
      <c r="G48" s="10">
        <f>SUM(G39:G47)</f>
        <v>1978.4300800000001</v>
      </c>
      <c r="H48" s="10">
        <f t="shared" ref="H48" si="96">SUM(H39:H47)</f>
        <v>2030.9333824</v>
      </c>
      <c r="I48" s="10">
        <f t="shared" ref="I48" si="97">SUM(I39:I47)</f>
        <v>2085.0117838719998</v>
      </c>
      <c r="J48" s="10">
        <f t="shared" ref="J48" si="98">SUM(J39:J47)</f>
        <v>2140.7125373881599</v>
      </c>
      <c r="K48" s="10">
        <f t="shared" ref="K48" si="99">SUM(K39:K47)</f>
        <v>2198.0843135098044</v>
      </c>
      <c r="L48" s="10">
        <f t="shared" ref="L48" si="100">SUM(L39:L47)</f>
        <v>2257.1772429150988</v>
      </c>
      <c r="M48" s="10">
        <f t="shared" ref="M48" si="101">SUM(M39:M47)</f>
        <v>2318.0429602025515</v>
      </c>
      <c r="N48" s="10">
        <f t="shared" ref="N48" si="102">SUM(N39:N47)</f>
        <v>2380.7346490086284</v>
      </c>
      <c r="O48" s="10">
        <f t="shared" ref="O48" si="103">SUM(O39:O47)</f>
        <v>2445.3070884788872</v>
      </c>
      <c r="P48" s="10">
        <f t="shared" ref="P48" si="104">SUM(P39:P47)</f>
        <v>2511.8167011332539</v>
      </c>
      <c r="Q48" s="10">
        <f t="shared" ref="Q48" si="105">SUM(Q39:Q47)</f>
        <v>2580.3216021672515</v>
      </c>
      <c r="R48" s="10">
        <f t="shared" ref="R48" si="106">SUM(R39:R47)</f>
        <v>2650.8816502322688</v>
      </c>
      <c r="S48" s="10">
        <f t="shared" ref="S48" si="107">SUM(S39:S47)</f>
        <v>2723.5584997392366</v>
      </c>
      <c r="T48" s="10">
        <f t="shared" ref="T48" si="108">SUM(T39:T47)</f>
        <v>2798.4156547314137</v>
      </c>
      <c r="U48" s="10">
        <f t="shared" ref="U48" si="109">SUM(U39:U47)</f>
        <v>2875.5185243733563</v>
      </c>
      <c r="V48" s="10">
        <f t="shared" ref="V48" si="110">SUM(V39:V47)</f>
        <v>2954.9344801045572</v>
      </c>
      <c r="W48" s="10">
        <f t="shared" ref="W48" si="111">SUM(W39:W47)</f>
        <v>3036.7329145076933</v>
      </c>
      <c r="X48" s="10">
        <f t="shared" ref="X48" si="112">SUM(X39:X47)</f>
        <v>3120.9853019429247</v>
      </c>
      <c r="Y48" s="10">
        <f t="shared" ref="Y48" si="113">SUM(Y39:Y47)</f>
        <v>3207.7652610012128</v>
      </c>
      <c r="Z48" s="10">
        <f t="shared" ref="Z48" si="114">SUM(Z39:Z47)</f>
        <v>3297.1486188312488</v>
      </c>
      <c r="AA48" s="10">
        <f t="shared" ref="AA48" si="115">SUM(AA39:AA47)</f>
        <v>3389.2134773961866</v>
      </c>
      <c r="AB48" s="10">
        <f t="shared" ref="AB48" si="116">SUM(AB39:AB47)</f>
        <v>3484.040281718072</v>
      </c>
    </row>
    <row r="49" spans="1:28">
      <c r="A49" s="29" t="s">
        <v>10</v>
      </c>
      <c r="B49" s="48"/>
      <c r="C49" s="31"/>
      <c r="D49" s="31"/>
      <c r="E49" s="35"/>
      <c r="F49" s="35">
        <f>F48*5%</f>
        <v>96.372800000000012</v>
      </c>
      <c r="G49" s="35">
        <f>G48*5%</f>
        <v>98.921504000000013</v>
      </c>
      <c r="H49" s="35">
        <f t="shared" ref="H49" si="117">H48*5%</f>
        <v>101.54666912</v>
      </c>
      <c r="I49" s="35">
        <f t="shared" ref="I49" si="118">I48*5%</f>
        <v>104.25058919359999</v>
      </c>
      <c r="J49" s="35">
        <f t="shared" ref="J49" si="119">J48*5%</f>
        <v>107.03562686940801</v>
      </c>
      <c r="K49" s="35">
        <f t="shared" ref="K49" si="120">K48*5%</f>
        <v>109.90421567549022</v>
      </c>
      <c r="L49" s="35">
        <f t="shared" ref="L49" si="121">L48*5%</f>
        <v>112.85886214575494</v>
      </c>
      <c r="M49" s="35">
        <f t="shared" ref="M49" si="122">M48*5%</f>
        <v>115.90214801012758</v>
      </c>
      <c r="N49" s="35">
        <f t="shared" ref="N49" si="123">N48*5%</f>
        <v>119.03673245043143</v>
      </c>
      <c r="O49" s="35">
        <f t="shared" ref="O49" si="124">O48*5%</f>
        <v>122.26535442394436</v>
      </c>
      <c r="P49" s="35">
        <f t="shared" ref="P49" si="125">P48*5%</f>
        <v>125.5908350566627</v>
      </c>
      <c r="Q49" s="35">
        <f t="shared" ref="Q49" si="126">Q48*5%</f>
        <v>129.01608010836259</v>
      </c>
      <c r="R49" s="35">
        <f t="shared" ref="R49" si="127">R48*5%</f>
        <v>132.54408251161345</v>
      </c>
      <c r="S49" s="35">
        <f t="shared" ref="S49" si="128">S48*5%</f>
        <v>136.17792498696184</v>
      </c>
      <c r="T49" s="35">
        <f t="shared" ref="T49" si="129">T48*5%</f>
        <v>139.92078273657069</v>
      </c>
      <c r="U49" s="35">
        <f t="shared" ref="U49" si="130">U48*5%</f>
        <v>143.77592621866782</v>
      </c>
      <c r="V49" s="35">
        <f t="shared" ref="V49" si="131">V48*5%</f>
        <v>147.74672400522786</v>
      </c>
      <c r="W49" s="35">
        <f t="shared" ref="W49" si="132">W48*5%</f>
        <v>151.83664572538467</v>
      </c>
      <c r="X49" s="35">
        <f t="shared" ref="X49" si="133">X48*5%</f>
        <v>156.04926509714625</v>
      </c>
      <c r="Y49" s="35">
        <f t="shared" ref="Y49" si="134">Y48*5%</f>
        <v>160.38826305006066</v>
      </c>
      <c r="Z49" s="35">
        <f t="shared" ref="Z49" si="135">Z48*5%</f>
        <v>164.85743094156246</v>
      </c>
      <c r="AA49" s="35">
        <f t="shared" ref="AA49" si="136">AA48*5%</f>
        <v>169.46067386980934</v>
      </c>
      <c r="AB49" s="35">
        <f t="shared" ref="AB49" si="137">AB48*5%</f>
        <v>174.20201408590361</v>
      </c>
    </row>
    <row r="50" spans="1:28">
      <c r="A50" s="29" t="s">
        <v>11</v>
      </c>
      <c r="B50" s="48"/>
      <c r="C50" s="31"/>
      <c r="D50" s="31"/>
      <c r="E50" s="35"/>
      <c r="F50" s="35">
        <v>400</v>
      </c>
      <c r="G50" s="35">
        <v>400</v>
      </c>
      <c r="H50" s="35">
        <v>400</v>
      </c>
      <c r="I50" s="35">
        <v>400</v>
      </c>
      <c r="J50" s="35">
        <v>400</v>
      </c>
      <c r="K50" s="35">
        <v>400</v>
      </c>
      <c r="L50" s="35">
        <v>400</v>
      </c>
      <c r="M50" s="35">
        <v>400</v>
      </c>
      <c r="N50" s="35">
        <v>400</v>
      </c>
      <c r="O50" s="35">
        <v>400</v>
      </c>
      <c r="P50" s="35">
        <v>400</v>
      </c>
      <c r="Q50" s="35">
        <v>400</v>
      </c>
      <c r="R50" s="35">
        <v>400</v>
      </c>
      <c r="S50" s="35">
        <v>400</v>
      </c>
      <c r="T50" s="35">
        <v>400</v>
      </c>
      <c r="U50" s="35">
        <v>400</v>
      </c>
      <c r="V50" s="35">
        <v>400</v>
      </c>
      <c r="W50" s="35">
        <v>400</v>
      </c>
      <c r="X50" s="35">
        <v>400</v>
      </c>
      <c r="Y50" s="35">
        <v>400</v>
      </c>
      <c r="Z50" s="35">
        <v>400</v>
      </c>
      <c r="AA50" s="35">
        <v>400</v>
      </c>
      <c r="AB50" s="35">
        <v>400</v>
      </c>
    </row>
    <row r="51" spans="1:28" s="4" customFormat="1">
      <c r="A51" s="37" t="s">
        <v>12</v>
      </c>
      <c r="B51" s="50"/>
      <c r="C51" s="9"/>
      <c r="D51" s="9"/>
      <c r="E51" s="10"/>
      <c r="F51" s="10">
        <f>SUM(F48:F50)</f>
        <v>2423.8288000000002</v>
      </c>
      <c r="G51" s="10">
        <f>SUM(G48:G50)</f>
        <v>2477.351584</v>
      </c>
      <c r="H51" s="10">
        <f t="shared" ref="H51" si="138">SUM(H48:H50)</f>
        <v>2532.48005152</v>
      </c>
      <c r="I51" s="10">
        <f t="shared" ref="I51" si="139">SUM(I48:I50)</f>
        <v>2589.2623730655996</v>
      </c>
      <c r="J51" s="10">
        <f t="shared" ref="J51" si="140">SUM(J48:J50)</f>
        <v>2647.7481642575681</v>
      </c>
      <c r="K51" s="10">
        <f t="shared" ref="K51" si="141">SUM(K48:K50)</f>
        <v>2707.9885291852947</v>
      </c>
      <c r="L51" s="10">
        <f t="shared" ref="L51" si="142">SUM(L48:L50)</f>
        <v>2770.0361050608535</v>
      </c>
      <c r="M51" s="10">
        <f t="shared" ref="M51" si="143">SUM(M48:M50)</f>
        <v>2833.9451082126789</v>
      </c>
      <c r="N51" s="10">
        <f t="shared" ref="N51" si="144">SUM(N48:N50)</f>
        <v>2899.7713814590597</v>
      </c>
      <c r="O51" s="10">
        <f t="shared" ref="O51" si="145">SUM(O48:O50)</f>
        <v>2967.5724429028314</v>
      </c>
      <c r="P51" s="10">
        <f t="shared" ref="P51" si="146">SUM(P48:P50)</f>
        <v>3037.4075361899168</v>
      </c>
      <c r="Q51" s="10">
        <f t="shared" ref="Q51" si="147">SUM(Q48:Q50)</f>
        <v>3109.337682275614</v>
      </c>
      <c r="R51" s="10">
        <f t="shared" ref="R51" si="148">SUM(R48:R50)</f>
        <v>3183.4257327438822</v>
      </c>
      <c r="S51" s="10">
        <f t="shared" ref="S51" si="149">SUM(S48:S50)</f>
        <v>3259.7364247261985</v>
      </c>
      <c r="T51" s="10">
        <f t="shared" ref="T51" si="150">SUM(T48:T50)</f>
        <v>3338.3364374679845</v>
      </c>
      <c r="U51" s="10">
        <f t="shared" ref="U51" si="151">SUM(U48:U50)</f>
        <v>3419.2944505920241</v>
      </c>
      <c r="V51" s="10">
        <f t="shared" ref="V51" si="152">SUM(V48:V50)</f>
        <v>3502.6812041097851</v>
      </c>
      <c r="W51" s="10">
        <f t="shared" ref="W51" si="153">SUM(W48:W50)</f>
        <v>3588.5695602330779</v>
      </c>
      <c r="X51" s="10">
        <f t="shared" ref="X51" si="154">SUM(X48:X50)</f>
        <v>3677.0345670400711</v>
      </c>
      <c r="Y51" s="10">
        <f t="shared" ref="Y51" si="155">SUM(Y48:Y50)</f>
        <v>3768.1535240512735</v>
      </c>
      <c r="Z51" s="10">
        <f t="shared" ref="Z51" si="156">SUM(Z48:Z50)</f>
        <v>3862.0060497728114</v>
      </c>
      <c r="AA51" s="10">
        <f t="shared" ref="AA51" si="157">SUM(AA48:AA50)</f>
        <v>3958.674151265996</v>
      </c>
      <c r="AB51" s="10">
        <f t="shared" ref="AB51" si="158">SUM(AB48:AB50)</f>
        <v>4058.2422958039756</v>
      </c>
    </row>
    <row r="52" spans="1:28">
      <c r="A52" s="38" t="s">
        <v>13</v>
      </c>
      <c r="B52" s="51"/>
      <c r="C52" s="32"/>
      <c r="D52" s="32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spans="1:28">
      <c r="A53" s="39" t="s">
        <v>14</v>
      </c>
      <c r="B53" s="47">
        <f>Assumption!C28</f>
        <v>0.03</v>
      </c>
      <c r="C53" s="33"/>
      <c r="D53" s="33"/>
      <c r="E53" s="36">
        <f>E21</f>
        <v>0</v>
      </c>
      <c r="F53" s="36">
        <f>F21</f>
        <v>389.6</v>
      </c>
      <c r="G53" s="36">
        <f>F53*(1+$B$21)</f>
        <v>401.28800000000001</v>
      </c>
      <c r="H53" s="36">
        <f t="shared" ref="H53:AB53" si="159">G53*(1+$B$21)</f>
        <v>413.32664</v>
      </c>
      <c r="I53" s="36">
        <f t="shared" si="159"/>
        <v>425.72643920000002</v>
      </c>
      <c r="J53" s="36">
        <f t="shared" si="159"/>
        <v>438.49823237600003</v>
      </c>
      <c r="K53" s="36">
        <f t="shared" si="159"/>
        <v>451.65317934728006</v>
      </c>
      <c r="L53" s="36">
        <f t="shared" si="159"/>
        <v>465.20277472769845</v>
      </c>
      <c r="M53" s="36">
        <f t="shared" si="159"/>
        <v>479.15885796952944</v>
      </c>
      <c r="N53" s="36">
        <f t="shared" si="159"/>
        <v>493.53362370861532</v>
      </c>
      <c r="O53" s="36">
        <f t="shared" si="159"/>
        <v>508.33963241987379</v>
      </c>
      <c r="P53" s="36">
        <f t="shared" si="159"/>
        <v>523.58982139247007</v>
      </c>
      <c r="Q53" s="36">
        <f t="shared" si="159"/>
        <v>539.29751603424415</v>
      </c>
      <c r="R53" s="36">
        <f t="shared" si="159"/>
        <v>555.47644151527152</v>
      </c>
      <c r="S53" s="36">
        <f t="shared" si="159"/>
        <v>572.14073476072963</v>
      </c>
      <c r="T53" s="36">
        <f t="shared" si="159"/>
        <v>589.30495680355148</v>
      </c>
      <c r="U53" s="36">
        <f t="shared" si="159"/>
        <v>606.984105507658</v>
      </c>
      <c r="V53" s="36">
        <f t="shared" si="159"/>
        <v>625.19362867288771</v>
      </c>
      <c r="W53" s="36">
        <f t="shared" si="159"/>
        <v>643.94943753307439</v>
      </c>
      <c r="X53" s="36">
        <f t="shared" si="159"/>
        <v>663.26792065906659</v>
      </c>
      <c r="Y53" s="36">
        <f t="shared" si="159"/>
        <v>683.16595827883862</v>
      </c>
      <c r="Z53" s="36">
        <f t="shared" si="159"/>
        <v>703.66093702720377</v>
      </c>
      <c r="AA53" s="36">
        <f t="shared" si="159"/>
        <v>724.7707651380199</v>
      </c>
      <c r="AB53" s="36">
        <f t="shared" si="159"/>
        <v>746.51388809216053</v>
      </c>
    </row>
    <row r="54" spans="1:28">
      <c r="A54" s="39" t="s">
        <v>10</v>
      </c>
      <c r="B54" s="48"/>
      <c r="C54" s="34"/>
      <c r="D54" s="34"/>
      <c r="E54" s="36">
        <f>SUM(E53:E53)*5%</f>
        <v>0</v>
      </c>
      <c r="F54" s="36">
        <f>SUM(F53:F53)*5%</f>
        <v>19.480000000000004</v>
      </c>
      <c r="G54" s="36">
        <f>SUM(G53:G53)*5%</f>
        <v>20.064400000000003</v>
      </c>
      <c r="H54" s="36">
        <f t="shared" ref="H54" si="160">SUM(H53:H53)*5%</f>
        <v>20.666332000000001</v>
      </c>
      <c r="I54" s="36">
        <f t="shared" ref="I54" si="161">SUM(I53:I53)*5%</f>
        <v>21.286321960000002</v>
      </c>
      <c r="J54" s="36">
        <f t="shared" ref="J54" si="162">SUM(J53:J53)*5%</f>
        <v>21.924911618800003</v>
      </c>
      <c r="K54" s="36">
        <f t="shared" ref="K54" si="163">SUM(K53:K53)*5%</f>
        <v>22.582658967364004</v>
      </c>
      <c r="L54" s="36">
        <f t="shared" ref="L54" si="164">SUM(L53:L53)*5%</f>
        <v>23.260138736384924</v>
      </c>
      <c r="M54" s="36">
        <f t="shared" ref="M54" si="165">SUM(M53:M53)*5%</f>
        <v>23.957942898476475</v>
      </c>
      <c r="N54" s="36">
        <f t="shared" ref="N54" si="166">SUM(N53:N53)*5%</f>
        <v>24.676681185430766</v>
      </c>
      <c r="O54" s="36">
        <f t="shared" ref="O54" si="167">SUM(O53:O53)*5%</f>
        <v>25.416981620993692</v>
      </c>
      <c r="P54" s="36">
        <f t="shared" ref="P54" si="168">SUM(P53:P53)*5%</f>
        <v>26.179491069623506</v>
      </c>
      <c r="Q54" s="36">
        <f t="shared" ref="Q54" si="169">SUM(Q53:Q53)*5%</f>
        <v>26.964875801712211</v>
      </c>
      <c r="R54" s="36">
        <f t="shared" ref="R54" si="170">SUM(R53:R53)*5%</f>
        <v>27.773822075763576</v>
      </c>
      <c r="S54" s="36">
        <f t="shared" ref="S54" si="171">SUM(S53:S53)*5%</f>
        <v>28.607036738036484</v>
      </c>
      <c r="T54" s="36">
        <f t="shared" ref="T54" si="172">SUM(T53:T53)*5%</f>
        <v>29.465247840177575</v>
      </c>
      <c r="U54" s="36">
        <f t="shared" ref="U54" si="173">SUM(U53:U53)*5%</f>
        <v>30.3492052753829</v>
      </c>
      <c r="V54" s="36">
        <f t="shared" ref="V54" si="174">SUM(V53:V53)*5%</f>
        <v>31.259681433644388</v>
      </c>
      <c r="W54" s="36">
        <f t="shared" ref="W54" si="175">SUM(W53:W53)*5%</f>
        <v>32.197471876653722</v>
      </c>
      <c r="X54" s="36">
        <f t="shared" ref="X54" si="176">SUM(X53:X53)*5%</f>
        <v>33.163396032953329</v>
      </c>
      <c r="Y54" s="36">
        <f t="shared" ref="Y54" si="177">SUM(Y53:Y53)*5%</f>
        <v>34.158297913941929</v>
      </c>
      <c r="Z54" s="36">
        <f t="shared" ref="Z54" si="178">SUM(Z53:Z53)*5%</f>
        <v>35.183046851360189</v>
      </c>
      <c r="AA54" s="36">
        <f t="shared" ref="AA54" si="179">SUM(AA53:AA53)*5%</f>
        <v>36.238538256900995</v>
      </c>
      <c r="AB54" s="36">
        <f t="shared" ref="AB54" si="180">SUM(AB53:AB53)*5%</f>
        <v>37.325694404608029</v>
      </c>
    </row>
    <row r="55" spans="1:28" s="4" customFormat="1">
      <c r="A55" s="37" t="s">
        <v>15</v>
      </c>
      <c r="B55" s="50"/>
      <c r="C55" s="9"/>
      <c r="D55" s="9"/>
      <c r="E55" s="10">
        <f>SUM(E53:E54)</f>
        <v>0</v>
      </c>
      <c r="F55" s="10">
        <f>SUM(F53:F54)</f>
        <v>409.08000000000004</v>
      </c>
      <c r="G55" s="10">
        <f>SUM(G53:G54)</f>
        <v>421.35239999999999</v>
      </c>
      <c r="H55" s="10">
        <f t="shared" ref="H55" si="181">SUM(H53:H54)</f>
        <v>433.99297200000001</v>
      </c>
      <c r="I55" s="10">
        <f t="shared" ref="I55" si="182">SUM(I53:I54)</f>
        <v>447.01276116000003</v>
      </c>
      <c r="J55" s="10">
        <f t="shared" ref="J55" si="183">SUM(J53:J54)</f>
        <v>460.42314399480006</v>
      </c>
      <c r="K55" s="10">
        <f t="shared" ref="K55" si="184">SUM(K53:K54)</f>
        <v>474.23583831464407</v>
      </c>
      <c r="L55" s="10">
        <f t="shared" ref="L55" si="185">SUM(L53:L54)</f>
        <v>488.46291346408339</v>
      </c>
      <c r="M55" s="10">
        <f t="shared" ref="M55" si="186">SUM(M53:M54)</f>
        <v>503.1168008680059</v>
      </c>
      <c r="N55" s="10">
        <f t="shared" ref="N55" si="187">SUM(N53:N54)</f>
        <v>518.21030489404609</v>
      </c>
      <c r="O55" s="10">
        <f t="shared" ref="O55" si="188">SUM(O53:O54)</f>
        <v>533.75661404086748</v>
      </c>
      <c r="P55" s="10">
        <f t="shared" ref="P55" si="189">SUM(P53:P54)</f>
        <v>549.76931246209358</v>
      </c>
      <c r="Q55" s="10">
        <f t="shared" ref="Q55" si="190">SUM(Q53:Q54)</f>
        <v>566.26239183595635</v>
      </c>
      <c r="R55" s="10">
        <f t="shared" ref="R55" si="191">SUM(R53:R54)</f>
        <v>583.25026359103504</v>
      </c>
      <c r="S55" s="10">
        <f t="shared" ref="S55" si="192">SUM(S53:S54)</f>
        <v>600.74777149876616</v>
      </c>
      <c r="T55" s="10">
        <f t="shared" ref="T55" si="193">SUM(T53:T54)</f>
        <v>618.77020464372902</v>
      </c>
      <c r="U55" s="10">
        <f t="shared" ref="U55" si="194">SUM(U53:U54)</f>
        <v>637.33331078304093</v>
      </c>
      <c r="V55" s="10">
        <f t="shared" ref="V55" si="195">SUM(V53:V54)</f>
        <v>656.45331010653206</v>
      </c>
      <c r="W55" s="10">
        <f t="shared" ref="W55" si="196">SUM(W53:W54)</f>
        <v>676.1469094097281</v>
      </c>
      <c r="X55" s="10">
        <f t="shared" ref="X55" si="197">SUM(X53:X54)</f>
        <v>696.43131669201989</v>
      </c>
      <c r="Y55" s="10">
        <f t="shared" ref="Y55" si="198">SUM(Y53:Y54)</f>
        <v>717.32425619278058</v>
      </c>
      <c r="Z55" s="10">
        <f t="shared" ref="Z55" si="199">SUM(Z53:Z54)</f>
        <v>738.8439838785639</v>
      </c>
      <c r="AA55" s="10">
        <f t="shared" ref="AA55" si="200">SUM(AA53:AA54)</f>
        <v>761.00930339492083</v>
      </c>
      <c r="AB55" s="10">
        <f t="shared" ref="AB55" si="201">SUM(AB53:AB54)</f>
        <v>783.83958249676857</v>
      </c>
    </row>
    <row r="56" spans="1:28" hidden="1">
      <c r="A56" s="39" t="s">
        <v>16</v>
      </c>
      <c r="B56" s="47">
        <f>Assumption!C28</f>
        <v>0.03</v>
      </c>
      <c r="C56" s="33"/>
      <c r="D56" s="33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spans="1:28" hidden="1">
      <c r="A57" s="39" t="s">
        <v>10</v>
      </c>
      <c r="B57" s="48"/>
      <c r="C57" s="34"/>
      <c r="D57" s="34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spans="1:28">
      <c r="A58" s="39" t="s">
        <v>17</v>
      </c>
      <c r="B58" s="47">
        <f>Assumption!C28</f>
        <v>0.03</v>
      </c>
      <c r="C58" s="33"/>
      <c r="D58" s="33"/>
      <c r="E58" s="36"/>
      <c r="F58" s="36">
        <v>500</v>
      </c>
      <c r="G58" s="36">
        <f>F58*(1+$B$26)</f>
        <v>515</v>
      </c>
      <c r="H58" s="36">
        <f t="shared" ref="H58:AB58" si="202">G58*(1+$B$26)</f>
        <v>530.45000000000005</v>
      </c>
      <c r="I58" s="36">
        <f t="shared" si="202"/>
        <v>546.36350000000004</v>
      </c>
      <c r="J58" s="36">
        <f t="shared" si="202"/>
        <v>562.75440500000002</v>
      </c>
      <c r="K58" s="36">
        <f t="shared" si="202"/>
        <v>579.63703715000008</v>
      </c>
      <c r="L58" s="36">
        <f t="shared" si="202"/>
        <v>597.02614826450008</v>
      </c>
      <c r="M58" s="36">
        <f t="shared" si="202"/>
        <v>614.93693271243512</v>
      </c>
      <c r="N58" s="36">
        <f t="shared" si="202"/>
        <v>633.38504069380815</v>
      </c>
      <c r="O58" s="36">
        <f t="shared" si="202"/>
        <v>652.38659191462239</v>
      </c>
      <c r="P58" s="36">
        <f t="shared" si="202"/>
        <v>671.95818967206105</v>
      </c>
      <c r="Q58" s="36">
        <f t="shared" si="202"/>
        <v>692.11693536222288</v>
      </c>
      <c r="R58" s="36">
        <f t="shared" si="202"/>
        <v>712.88044342308956</v>
      </c>
      <c r="S58" s="36">
        <f t="shared" si="202"/>
        <v>734.2668567257823</v>
      </c>
      <c r="T58" s="36">
        <f t="shared" si="202"/>
        <v>756.29486242755581</v>
      </c>
      <c r="U58" s="36">
        <f t="shared" si="202"/>
        <v>778.98370830038255</v>
      </c>
      <c r="V58" s="36">
        <f t="shared" si="202"/>
        <v>802.353219549394</v>
      </c>
      <c r="W58" s="36">
        <f t="shared" si="202"/>
        <v>826.42381613587588</v>
      </c>
      <c r="X58" s="36">
        <f t="shared" si="202"/>
        <v>851.21653061995221</v>
      </c>
      <c r="Y58" s="36">
        <f t="shared" si="202"/>
        <v>876.75302653855078</v>
      </c>
      <c r="Z58" s="36">
        <f t="shared" si="202"/>
        <v>903.05561733470734</v>
      </c>
      <c r="AA58" s="36">
        <f t="shared" si="202"/>
        <v>930.14728585474859</v>
      </c>
      <c r="AB58" s="36">
        <f t="shared" si="202"/>
        <v>958.05170443039106</v>
      </c>
    </row>
    <row r="59" spans="1:28">
      <c r="A59" s="39" t="s">
        <v>10</v>
      </c>
      <c r="B59" s="48"/>
      <c r="C59" s="34"/>
      <c r="D59" s="34"/>
      <c r="E59" s="36">
        <f>E58*5%</f>
        <v>0</v>
      </c>
      <c r="F59" s="36">
        <f>F58*5%</f>
        <v>25</v>
      </c>
      <c r="G59" s="36">
        <f>G58*5%</f>
        <v>25.75</v>
      </c>
      <c r="H59" s="36">
        <f t="shared" ref="H59" si="203">H58*5%</f>
        <v>26.522500000000004</v>
      </c>
      <c r="I59" s="36">
        <f t="shared" ref="I59" si="204">I58*5%</f>
        <v>27.318175000000004</v>
      </c>
      <c r="J59" s="36">
        <f t="shared" ref="J59" si="205">J58*5%</f>
        <v>28.137720250000001</v>
      </c>
      <c r="K59" s="36">
        <f t="shared" ref="K59" si="206">K58*5%</f>
        <v>28.981851857500004</v>
      </c>
      <c r="L59" s="36">
        <f t="shared" ref="L59" si="207">L58*5%</f>
        <v>29.851307413225005</v>
      </c>
      <c r="M59" s="36">
        <f t="shared" ref="M59" si="208">M58*5%</f>
        <v>30.746846635621758</v>
      </c>
      <c r="N59" s="36">
        <f t="shared" ref="N59" si="209">N58*5%</f>
        <v>31.669252034690409</v>
      </c>
      <c r="O59" s="36">
        <f t="shared" ref="O59" si="210">O58*5%</f>
        <v>32.619329595731124</v>
      </c>
      <c r="P59" s="36">
        <f t="shared" ref="P59" si="211">P58*5%</f>
        <v>33.597909483603054</v>
      </c>
      <c r="Q59" s="36">
        <f t="shared" ref="Q59" si="212">Q58*5%</f>
        <v>34.605846768111142</v>
      </c>
      <c r="R59" s="36">
        <f t="shared" ref="R59" si="213">R58*5%</f>
        <v>35.644022171154482</v>
      </c>
      <c r="S59" s="36">
        <f t="shared" ref="S59" si="214">S58*5%</f>
        <v>36.713342836289115</v>
      </c>
      <c r="T59" s="36">
        <f t="shared" ref="T59" si="215">T58*5%</f>
        <v>37.814743121377795</v>
      </c>
      <c r="U59" s="36">
        <f t="shared" ref="U59" si="216">U58*5%</f>
        <v>38.94918541501913</v>
      </c>
      <c r="V59" s="36">
        <f t="shared" ref="V59" si="217">V58*5%</f>
        <v>40.117660977469704</v>
      </c>
      <c r="W59" s="36">
        <f t="shared" ref="W59" si="218">W58*5%</f>
        <v>41.321190806793794</v>
      </c>
      <c r="X59" s="36">
        <f t="shared" ref="X59" si="219">X58*5%</f>
        <v>42.560826530997616</v>
      </c>
      <c r="Y59" s="36">
        <f t="shared" ref="Y59" si="220">Y58*5%</f>
        <v>43.837651326927542</v>
      </c>
      <c r="Z59" s="36">
        <f t="shared" ref="Z59" si="221">Z58*5%</f>
        <v>45.15278086673537</v>
      </c>
      <c r="AA59" s="36">
        <f t="shared" ref="AA59" si="222">AA58*5%</f>
        <v>46.507364292737435</v>
      </c>
      <c r="AB59" s="36">
        <f t="shared" ref="AB59" si="223">AB58*5%</f>
        <v>47.902585221519558</v>
      </c>
    </row>
    <row r="60" spans="1:28" s="4" customFormat="1">
      <c r="A60" s="37" t="s">
        <v>18</v>
      </c>
      <c r="B60" s="50"/>
      <c r="C60" s="9"/>
      <c r="D60" s="9"/>
      <c r="E60" s="10">
        <f>SUM(E56:E59)</f>
        <v>0</v>
      </c>
      <c r="F60" s="10">
        <f>SUM(F56:F59)</f>
        <v>525</v>
      </c>
      <c r="G60" s="10">
        <f>SUM(G56:G59)</f>
        <v>540.75</v>
      </c>
      <c r="H60" s="10">
        <f t="shared" ref="H60" si="224">SUM(H56:H59)</f>
        <v>556.97250000000008</v>
      </c>
      <c r="I60" s="10">
        <f t="shared" ref="I60" si="225">SUM(I56:I59)</f>
        <v>573.68167500000004</v>
      </c>
      <c r="J60" s="10">
        <f t="shared" ref="J60" si="226">SUM(J56:J59)</f>
        <v>590.89212525000005</v>
      </c>
      <c r="K60" s="10">
        <f t="shared" ref="K60" si="227">SUM(K56:K59)</f>
        <v>608.61888900750012</v>
      </c>
      <c r="L60" s="10">
        <f t="shared" ref="L60" si="228">SUM(L56:L59)</f>
        <v>626.87745567772504</v>
      </c>
      <c r="M60" s="10">
        <f t="shared" ref="M60" si="229">SUM(M56:M59)</f>
        <v>645.68377934805687</v>
      </c>
      <c r="N60" s="10">
        <f t="shared" ref="N60" si="230">SUM(N56:N59)</f>
        <v>665.05429272849858</v>
      </c>
      <c r="O60" s="10">
        <f t="shared" ref="O60" si="231">SUM(O56:O59)</f>
        <v>685.00592151035346</v>
      </c>
      <c r="P60" s="10">
        <f t="shared" ref="P60" si="232">SUM(P56:P59)</f>
        <v>705.55609915566413</v>
      </c>
      <c r="Q60" s="10">
        <f t="shared" ref="Q60" si="233">SUM(Q56:Q59)</f>
        <v>726.72278213033405</v>
      </c>
      <c r="R60" s="10">
        <f t="shared" ref="R60" si="234">SUM(R56:R59)</f>
        <v>748.52446559424402</v>
      </c>
      <c r="S60" s="10">
        <f t="shared" ref="S60" si="235">SUM(S56:S59)</f>
        <v>770.98019956207145</v>
      </c>
      <c r="T60" s="10">
        <f t="shared" ref="T60" si="236">SUM(T56:T59)</f>
        <v>794.10960554893359</v>
      </c>
      <c r="U60" s="10">
        <f t="shared" ref="U60" si="237">SUM(U56:U59)</f>
        <v>817.93289371540163</v>
      </c>
      <c r="V60" s="10">
        <f t="shared" ref="V60" si="238">SUM(V56:V59)</f>
        <v>842.47088052686365</v>
      </c>
      <c r="W60" s="10">
        <f t="shared" ref="W60" si="239">SUM(W56:W59)</f>
        <v>867.74500694266965</v>
      </c>
      <c r="X60" s="10">
        <f t="shared" ref="X60" si="240">SUM(X56:X59)</f>
        <v>893.7773571509498</v>
      </c>
      <c r="Y60" s="10">
        <f t="shared" ref="Y60" si="241">SUM(Y56:Y59)</f>
        <v>920.59067786547837</v>
      </c>
      <c r="Z60" s="10">
        <f t="shared" ref="Z60" si="242">SUM(Z56:Z59)</f>
        <v>948.20839820144272</v>
      </c>
      <c r="AA60" s="10">
        <f t="shared" ref="AA60" si="243">SUM(AA56:AA59)</f>
        <v>976.654650147486</v>
      </c>
      <c r="AB60" s="10">
        <f t="shared" ref="AB60" si="244">SUM(AB56:AB59)</f>
        <v>1005.9542896519106</v>
      </c>
    </row>
    <row r="61" spans="1:28" s="4" customFormat="1">
      <c r="A61" s="37" t="s">
        <v>19</v>
      </c>
      <c r="B61" s="50"/>
      <c r="C61" s="9"/>
      <c r="D61" s="9"/>
      <c r="E61" s="10">
        <f>IF(Assumption!$C$29&lt;='Coal Cost'!E5,'Coal Cost'!E55,E55+E60)</f>
        <v>0</v>
      </c>
      <c r="F61" s="10">
        <f>((F55*Assumption!$C$30)+('Coal Cost'!F60*(1-Assumption!$C$30)))</f>
        <v>438.06000000000006</v>
      </c>
      <c r="G61" s="10">
        <f>((G55*Assumption!$C$30)+('Coal Cost'!G60*(1-Assumption!$C$30)))</f>
        <v>451.20179999999999</v>
      </c>
      <c r="H61" s="10">
        <f>((H55*Assumption!$C$30)+('Coal Cost'!H60*(1-Assumption!$C$30)))</f>
        <v>464.73785400000003</v>
      </c>
      <c r="I61" s="10">
        <f>((I55*Assumption!$C$30)+('Coal Cost'!I60*(1-Assumption!$C$30)))</f>
        <v>478.67998962000001</v>
      </c>
      <c r="J61" s="10">
        <f>((J55*Assumption!$C$30)+('Coal Cost'!J60*(1-Assumption!$C$30)))</f>
        <v>493.04038930860008</v>
      </c>
      <c r="K61" s="10">
        <f>((K55*Assumption!$C$30)+('Coal Cost'!K60*(1-Assumption!$C$30)))</f>
        <v>507.83160098785811</v>
      </c>
      <c r="L61" s="10">
        <f>((L55*Assumption!$C$30)+('Coal Cost'!L60*(1-Assumption!$C$30)))</f>
        <v>523.0665490174938</v>
      </c>
      <c r="M61" s="10">
        <f>((M55*Assumption!$C$30)+('Coal Cost'!M60*(1-Assumption!$C$30)))</f>
        <v>538.75854548801863</v>
      </c>
      <c r="N61" s="10">
        <f>((N55*Assumption!$C$30)+('Coal Cost'!N60*(1-Assumption!$C$30)))</f>
        <v>554.92130185265921</v>
      </c>
      <c r="O61" s="10">
        <f>((O55*Assumption!$C$30)+('Coal Cost'!O60*(1-Assumption!$C$30)))</f>
        <v>571.56894090823891</v>
      </c>
      <c r="P61" s="10">
        <f>((P55*Assumption!$C$30)+('Coal Cost'!P60*(1-Assumption!$C$30)))</f>
        <v>588.71600913548616</v>
      </c>
      <c r="Q61" s="10">
        <f>((Q55*Assumption!$C$30)+('Coal Cost'!Q60*(1-Assumption!$C$30)))</f>
        <v>606.37748940955078</v>
      </c>
      <c r="R61" s="10">
        <f>((R55*Assumption!$C$30)+('Coal Cost'!R60*(1-Assumption!$C$30)))</f>
        <v>624.56881409183734</v>
      </c>
      <c r="S61" s="10">
        <f>((S55*Assumption!$C$30)+('Coal Cost'!S60*(1-Assumption!$C$30)))</f>
        <v>643.30587851459245</v>
      </c>
      <c r="T61" s="10">
        <f>((T55*Assumption!$C$30)+('Coal Cost'!T60*(1-Assumption!$C$30)))</f>
        <v>662.60505487003024</v>
      </c>
      <c r="U61" s="10">
        <f>((U55*Assumption!$C$30)+('Coal Cost'!U60*(1-Assumption!$C$30)))</f>
        <v>682.48320651613108</v>
      </c>
      <c r="V61" s="10">
        <f>((V55*Assumption!$C$30)+('Coal Cost'!V60*(1-Assumption!$C$30)))</f>
        <v>702.95770271161496</v>
      </c>
      <c r="W61" s="10">
        <f>((W55*Assumption!$C$30)+('Coal Cost'!W60*(1-Assumption!$C$30)))</f>
        <v>724.04643379296351</v>
      </c>
      <c r="X61" s="10">
        <f>((X55*Assumption!$C$30)+('Coal Cost'!X60*(1-Assumption!$C$30)))</f>
        <v>745.76782680675228</v>
      </c>
      <c r="Y61" s="10">
        <f>((Y55*Assumption!$C$30)+('Coal Cost'!Y60*(1-Assumption!$C$30)))</f>
        <v>768.14086161095508</v>
      </c>
      <c r="Z61" s="10">
        <f>((Z55*Assumption!$C$30)+('Coal Cost'!Z60*(1-Assumption!$C$30)))</f>
        <v>791.18508745928364</v>
      </c>
      <c r="AA61" s="10">
        <f>((AA55*Assumption!$C$30)+('Coal Cost'!AA60*(1-Assumption!$C$30)))</f>
        <v>814.92064008306215</v>
      </c>
      <c r="AB61" s="10">
        <f>((AB55*Assumption!$C$30)+('Coal Cost'!AB60*(1-Assumption!$C$30)))</f>
        <v>839.36825928555413</v>
      </c>
    </row>
    <row r="62" spans="1:28" s="4" customFormat="1">
      <c r="A62" s="37" t="s">
        <v>20</v>
      </c>
      <c r="B62" s="50"/>
      <c r="C62" s="27"/>
      <c r="D62" s="27"/>
      <c r="E62" s="28">
        <f>E61+E51</f>
        <v>0</v>
      </c>
      <c r="F62" s="28">
        <f>F61+F51</f>
        <v>2861.8888000000002</v>
      </c>
      <c r="G62" s="28">
        <f t="shared" ref="G62:AB62" si="245">G61+G51</f>
        <v>2928.5533839999998</v>
      </c>
      <c r="H62" s="28">
        <f t="shared" si="245"/>
        <v>2997.2179055199999</v>
      </c>
      <c r="I62" s="28">
        <f t="shared" si="245"/>
        <v>3067.9423626855996</v>
      </c>
      <c r="J62" s="28">
        <f t="shared" si="245"/>
        <v>3140.788553566168</v>
      </c>
      <c r="K62" s="28">
        <f t="shared" si="245"/>
        <v>3215.8201301731528</v>
      </c>
      <c r="L62" s="28">
        <f t="shared" si="245"/>
        <v>3293.1026540783473</v>
      </c>
      <c r="M62" s="28">
        <f t="shared" si="245"/>
        <v>3372.7036537006975</v>
      </c>
      <c r="N62" s="28">
        <f t="shared" si="245"/>
        <v>3454.6926833117191</v>
      </c>
      <c r="O62" s="28">
        <f t="shared" si="245"/>
        <v>3539.1413838110702</v>
      </c>
      <c r="P62" s="28">
        <f t="shared" si="245"/>
        <v>3626.123545325403</v>
      </c>
      <c r="Q62" s="28">
        <f t="shared" si="245"/>
        <v>3715.7151716851649</v>
      </c>
      <c r="R62" s="28">
        <f t="shared" si="245"/>
        <v>3807.9945468357196</v>
      </c>
      <c r="S62" s="28">
        <f t="shared" si="245"/>
        <v>3903.0423032407907</v>
      </c>
      <c r="T62" s="28">
        <f t="shared" si="245"/>
        <v>4000.9414923380145</v>
      </c>
      <c r="U62" s="28">
        <f t="shared" si="245"/>
        <v>4101.7776571081549</v>
      </c>
      <c r="V62" s="28">
        <f t="shared" si="245"/>
        <v>4205.6389068214003</v>
      </c>
      <c r="W62" s="28">
        <f t="shared" si="245"/>
        <v>4312.6159940260413</v>
      </c>
      <c r="X62" s="28">
        <f t="shared" si="245"/>
        <v>4422.8023938468232</v>
      </c>
      <c r="Y62" s="28">
        <f t="shared" si="245"/>
        <v>4536.2943856622287</v>
      </c>
      <c r="Z62" s="28">
        <f t="shared" si="245"/>
        <v>4653.1911372320947</v>
      </c>
      <c r="AA62" s="28">
        <f t="shared" si="245"/>
        <v>4773.5947913490581</v>
      </c>
      <c r="AB62" s="28">
        <f t="shared" si="245"/>
        <v>4897.61055508953</v>
      </c>
    </row>
    <row r="63" spans="1:28" s="2" customFormat="1">
      <c r="A63" s="13" t="s">
        <v>27</v>
      </c>
      <c r="B63" s="54">
        <f>Assumption!C25</f>
        <v>3600</v>
      </c>
      <c r="C63" s="34"/>
      <c r="D63" s="34"/>
      <c r="E63" s="24">
        <f>B63</f>
        <v>3600</v>
      </c>
      <c r="F63" s="24">
        <f>E63</f>
        <v>3600</v>
      </c>
      <c r="G63" s="24">
        <f t="shared" ref="G63:AB63" si="246">F63</f>
        <v>3600</v>
      </c>
      <c r="H63" s="24">
        <f t="shared" si="246"/>
        <v>3600</v>
      </c>
      <c r="I63" s="24">
        <f t="shared" si="246"/>
        <v>3600</v>
      </c>
      <c r="J63" s="24">
        <f t="shared" si="246"/>
        <v>3600</v>
      </c>
      <c r="K63" s="24">
        <f t="shared" si="246"/>
        <v>3600</v>
      </c>
      <c r="L63" s="24">
        <f t="shared" si="246"/>
        <v>3600</v>
      </c>
      <c r="M63" s="24">
        <f t="shared" si="246"/>
        <v>3600</v>
      </c>
      <c r="N63" s="24">
        <f t="shared" si="246"/>
        <v>3600</v>
      </c>
      <c r="O63" s="24">
        <f t="shared" si="246"/>
        <v>3600</v>
      </c>
      <c r="P63" s="24">
        <f t="shared" si="246"/>
        <v>3600</v>
      </c>
      <c r="Q63" s="24">
        <f t="shared" si="246"/>
        <v>3600</v>
      </c>
      <c r="R63" s="24">
        <f t="shared" si="246"/>
        <v>3600</v>
      </c>
      <c r="S63" s="24">
        <f t="shared" si="246"/>
        <v>3600</v>
      </c>
      <c r="T63" s="24">
        <f t="shared" si="246"/>
        <v>3600</v>
      </c>
      <c r="U63" s="24">
        <f t="shared" si="246"/>
        <v>3600</v>
      </c>
      <c r="V63" s="24">
        <f t="shared" si="246"/>
        <v>3600</v>
      </c>
      <c r="W63" s="24">
        <f t="shared" si="246"/>
        <v>3600</v>
      </c>
      <c r="X63" s="24">
        <f t="shared" si="246"/>
        <v>3600</v>
      </c>
      <c r="Y63" s="24">
        <f t="shared" si="246"/>
        <v>3600</v>
      </c>
      <c r="Z63" s="24">
        <f t="shared" si="246"/>
        <v>3600</v>
      </c>
      <c r="AA63" s="24">
        <f t="shared" si="246"/>
        <v>3600</v>
      </c>
      <c r="AB63" s="24">
        <f t="shared" si="246"/>
        <v>3600</v>
      </c>
    </row>
    <row r="64" spans="1:28" s="2" customFormat="1">
      <c r="A64" s="77" t="s">
        <v>28</v>
      </c>
      <c r="B64" s="48"/>
      <c r="C64" s="34"/>
      <c r="D64" s="34"/>
      <c r="E64" s="85">
        <f>E62/E63</f>
        <v>0</v>
      </c>
      <c r="F64" s="85">
        <f t="shared" ref="F64" si="247">F62/F63</f>
        <v>0.79496911111111113</v>
      </c>
      <c r="G64" s="85">
        <f t="shared" ref="G64" si="248">G62/G63</f>
        <v>0.81348705111111108</v>
      </c>
      <c r="H64" s="85">
        <f t="shared" ref="H64" si="249">H62/H63</f>
        <v>0.83256052931111113</v>
      </c>
      <c r="I64" s="85">
        <f t="shared" ref="I64" si="250">I62/I63</f>
        <v>0.85220621185711098</v>
      </c>
      <c r="J64" s="85">
        <f t="shared" ref="J64" si="251">J62/J63</f>
        <v>0.87244126487949114</v>
      </c>
      <c r="K64" s="85">
        <f t="shared" ref="K64" si="252">K62/K63</f>
        <v>0.8932833694925425</v>
      </c>
      <c r="L64" s="85">
        <f t="shared" ref="L64" si="253">L62/L63</f>
        <v>0.91475073724398537</v>
      </c>
      <c r="M64" s="85">
        <f t="shared" ref="M64" si="254">M62/M63</f>
        <v>0.93686212602797148</v>
      </c>
      <c r="N64" s="85">
        <f t="shared" ref="N64" si="255">N62/N63</f>
        <v>0.95963685647547747</v>
      </c>
      <c r="O64" s="85">
        <f t="shared" ref="O64" si="256">O62/O63</f>
        <v>0.98309482883640842</v>
      </c>
      <c r="P64" s="85">
        <f t="shared" ref="P64" si="257">P62/P63</f>
        <v>1.0072565403681675</v>
      </c>
      <c r="Q64" s="85">
        <f t="shared" ref="Q64" si="258">Q62/Q63</f>
        <v>1.0321431032458792</v>
      </c>
      <c r="R64" s="85">
        <f t="shared" ref="R64" si="259">R62/R63</f>
        <v>1.0577762630099221</v>
      </c>
      <c r="S64" s="85">
        <f t="shared" ref="S64" si="260">S62/S63</f>
        <v>1.0841784175668863</v>
      </c>
      <c r="T64" s="85">
        <f t="shared" ref="T64" si="261">T62/T63</f>
        <v>1.1113726367605596</v>
      </c>
      <c r="U64" s="85">
        <f t="shared" ref="U64" si="262">U62/U63</f>
        <v>1.139382682530043</v>
      </c>
      <c r="V64" s="85">
        <f t="shared" ref="V64" si="263">V62/V63</f>
        <v>1.1682330296726111</v>
      </c>
      <c r="W64" s="85">
        <f t="shared" ref="W64" si="264">W62/W63</f>
        <v>1.1979488872294559</v>
      </c>
      <c r="X64" s="85">
        <f t="shared" ref="X64" si="265">X62/X63</f>
        <v>1.2285562205130065</v>
      </c>
      <c r="Y64" s="85">
        <f t="shared" ref="Y64" si="266">Y62/Y63</f>
        <v>1.2600817737950636</v>
      </c>
      <c r="Z64" s="85">
        <f t="shared" ref="Z64" si="267">Z62/Z63</f>
        <v>1.2925530936755818</v>
      </c>
      <c r="AA64" s="85">
        <f t="shared" ref="AA64" si="268">AA62/AA63</f>
        <v>1.3259985531525162</v>
      </c>
      <c r="AB64" s="85">
        <f t="shared" ref="AB64" si="269">AB62/AB63</f>
        <v>1.3604473764137583</v>
      </c>
    </row>
    <row r="65" spans="1:28" s="2" customFormat="1">
      <c r="A65" s="81" t="s">
        <v>47</v>
      </c>
      <c r="B65" s="82">
        <f>Assumption!C8</f>
        <v>2325</v>
      </c>
      <c r="C65" s="34"/>
      <c r="D65" s="34"/>
      <c r="E65" s="86">
        <f>B65</f>
        <v>2325</v>
      </c>
      <c r="F65" s="86">
        <f>E65*(1+Assumption!$C$9)</f>
        <v>2325</v>
      </c>
      <c r="G65" s="86">
        <f>F65*(1+Assumption!$C$9)</f>
        <v>2325</v>
      </c>
      <c r="H65" s="86">
        <f>G65*(1+Assumption!$C$9)</f>
        <v>2325</v>
      </c>
      <c r="I65" s="86">
        <f>H65*(1+Assumption!$C$9)</f>
        <v>2325</v>
      </c>
      <c r="J65" s="86">
        <f>I65*(1+Assumption!$C$9)</f>
        <v>2325</v>
      </c>
      <c r="K65" s="86">
        <f>J65*(1+Assumption!$C$9)</f>
        <v>2325</v>
      </c>
      <c r="L65" s="86">
        <f>K65*(1+Assumption!$C$9)</f>
        <v>2325</v>
      </c>
      <c r="M65" s="86">
        <f>L65*(1+Assumption!$C$9)</f>
        <v>2325</v>
      </c>
      <c r="N65" s="86">
        <f>M65*(1+Assumption!$C$9)</f>
        <v>2325</v>
      </c>
      <c r="O65" s="86">
        <f>N65*(1+Assumption!$C$9)</f>
        <v>2325</v>
      </c>
      <c r="P65" s="86">
        <f>O65*(1+Assumption!$C$9)</f>
        <v>2325</v>
      </c>
      <c r="Q65" s="86">
        <f>P65*(1+Assumption!$C$9)</f>
        <v>2325</v>
      </c>
      <c r="R65" s="86">
        <f>Q65*(1+Assumption!$C$9)</f>
        <v>2325</v>
      </c>
      <c r="S65" s="86">
        <f>R65*(1+Assumption!$C$9)</f>
        <v>2325</v>
      </c>
      <c r="T65" s="86">
        <f>S65*(1+Assumption!$C$9)</f>
        <v>2325</v>
      </c>
      <c r="U65" s="86">
        <f>T65*(1+Assumption!$C$9)</f>
        <v>2325</v>
      </c>
      <c r="V65" s="86">
        <f>U65*(1+Assumption!$C$9)</f>
        <v>2325</v>
      </c>
      <c r="W65" s="86">
        <f>V65*(1+Assumption!$C$9)</f>
        <v>2325</v>
      </c>
      <c r="X65" s="86">
        <f>W65*(1+Assumption!$C$9)</f>
        <v>2325</v>
      </c>
      <c r="Y65" s="86">
        <f>X65*(1+Assumption!$C$9)</f>
        <v>2325</v>
      </c>
      <c r="Z65" s="86">
        <f>Y65*(1+Assumption!$C$9)</f>
        <v>2325</v>
      </c>
      <c r="AA65" s="86">
        <f>Z65*(1+Assumption!$C$9)</f>
        <v>2325</v>
      </c>
      <c r="AB65" s="86">
        <f>AA65*(1+Assumption!$C$9)</f>
        <v>2325</v>
      </c>
    </row>
    <row r="66" spans="1:28" s="2" customFormat="1">
      <c r="A66" s="77" t="s">
        <v>48</v>
      </c>
      <c r="B66" s="83">
        <f>Assumption!C10</f>
        <v>5.7500000000000002E-2</v>
      </c>
      <c r="C66" s="34"/>
      <c r="D66" s="34"/>
      <c r="E66" s="87">
        <f>B66</f>
        <v>5.7500000000000002E-2</v>
      </c>
      <c r="F66" s="87">
        <f>E66</f>
        <v>5.7500000000000002E-2</v>
      </c>
      <c r="G66" s="87">
        <f t="shared" ref="G66:AB66" si="270">F66</f>
        <v>5.7500000000000002E-2</v>
      </c>
      <c r="H66" s="87">
        <f t="shared" si="270"/>
        <v>5.7500000000000002E-2</v>
      </c>
      <c r="I66" s="87">
        <f t="shared" si="270"/>
        <v>5.7500000000000002E-2</v>
      </c>
      <c r="J66" s="87">
        <f t="shared" si="270"/>
        <v>5.7500000000000002E-2</v>
      </c>
      <c r="K66" s="87">
        <f t="shared" si="270"/>
        <v>5.7500000000000002E-2</v>
      </c>
      <c r="L66" s="87">
        <f t="shared" si="270"/>
        <v>5.7500000000000002E-2</v>
      </c>
      <c r="M66" s="87">
        <f t="shared" si="270"/>
        <v>5.7500000000000002E-2</v>
      </c>
      <c r="N66" s="87">
        <f t="shared" si="270"/>
        <v>5.7500000000000002E-2</v>
      </c>
      <c r="O66" s="87">
        <f t="shared" si="270"/>
        <v>5.7500000000000002E-2</v>
      </c>
      <c r="P66" s="87">
        <f t="shared" si="270"/>
        <v>5.7500000000000002E-2</v>
      </c>
      <c r="Q66" s="87">
        <f t="shared" si="270"/>
        <v>5.7500000000000002E-2</v>
      </c>
      <c r="R66" s="87">
        <f t="shared" si="270"/>
        <v>5.7500000000000002E-2</v>
      </c>
      <c r="S66" s="87">
        <f t="shared" si="270"/>
        <v>5.7500000000000002E-2</v>
      </c>
      <c r="T66" s="87">
        <f t="shared" si="270"/>
        <v>5.7500000000000002E-2</v>
      </c>
      <c r="U66" s="87">
        <f t="shared" si="270"/>
        <v>5.7500000000000002E-2</v>
      </c>
      <c r="V66" s="87">
        <f t="shared" si="270"/>
        <v>5.7500000000000002E-2</v>
      </c>
      <c r="W66" s="87">
        <f t="shared" si="270"/>
        <v>5.7500000000000002E-2</v>
      </c>
      <c r="X66" s="87">
        <f t="shared" si="270"/>
        <v>5.7500000000000002E-2</v>
      </c>
      <c r="Y66" s="87">
        <f t="shared" si="270"/>
        <v>5.7500000000000002E-2</v>
      </c>
      <c r="Z66" s="87">
        <f t="shared" si="270"/>
        <v>5.7500000000000002E-2</v>
      </c>
      <c r="AA66" s="87">
        <f t="shared" si="270"/>
        <v>5.7500000000000002E-2</v>
      </c>
      <c r="AB66" s="87">
        <f t="shared" si="270"/>
        <v>5.7500000000000002E-2</v>
      </c>
    </row>
    <row r="67" spans="1:28" s="2" customFormat="1" ht="15.75" thickBot="1">
      <c r="A67" s="42" t="s">
        <v>49</v>
      </c>
      <c r="B67" s="55"/>
      <c r="C67" s="89"/>
      <c r="D67" s="89"/>
      <c r="E67" s="88">
        <f>(E64*E65/1000)/(1-E66)</f>
        <v>0</v>
      </c>
      <c r="F67" s="88">
        <f t="shared" ref="F67" si="271">(F64*F65/1000)/(1-F66)</f>
        <v>1.961064385499558</v>
      </c>
      <c r="G67" s="88">
        <f t="shared" ref="G67" si="272">(G64*G65/1000)/(1-G66)</f>
        <v>2.0067452454465076</v>
      </c>
      <c r="H67" s="88">
        <f t="shared" ref="H67" si="273">(H64*H65/1000)/(1-H66)</f>
        <v>2.0537965311918653</v>
      </c>
      <c r="I67" s="88">
        <f t="shared" ref="I67" si="274">(I64*I65/1000)/(1-I66)</f>
        <v>2.1022593555095841</v>
      </c>
      <c r="J67" s="88">
        <f t="shared" ref="J67" si="275">(J64*J65/1000)/(1-J66)</f>
        <v>2.1521760645568353</v>
      </c>
      <c r="K67" s="88">
        <f t="shared" ref="K67" si="276">(K64*K65/1000)/(1-K66)</f>
        <v>2.203590274875503</v>
      </c>
      <c r="L67" s="88">
        <f t="shared" ref="L67" si="277">(L64*L65/1000)/(1-L66)</f>
        <v>2.2565469115037304</v>
      </c>
      <c r="M67" s="88">
        <f t="shared" ref="M67" si="278">(M64*M65/1000)/(1-M66)</f>
        <v>2.3110922472308046</v>
      </c>
      <c r="N67" s="88">
        <f t="shared" ref="N67" si="279">(N64*N65/1000)/(1-N66)</f>
        <v>2.3672739430296925</v>
      </c>
      <c r="O67" s="88">
        <f t="shared" ref="O67" si="280">(O64*O65/1000)/(1-O66)</f>
        <v>2.4251410897025458</v>
      </c>
      <c r="P67" s="88">
        <f t="shared" ref="P67" si="281">(P64*P65/1000)/(1-P66)</f>
        <v>2.4847442507755853</v>
      </c>
      <c r="Q67" s="88">
        <f t="shared" ref="Q67" si="282">(Q64*Q65/1000)/(1-Q66)</f>
        <v>2.546135506680816</v>
      </c>
      <c r="R67" s="88">
        <f t="shared" ref="R67" si="283">(R64*R65/1000)/(1-R66)</f>
        <v>2.6093685002632032</v>
      </c>
      <c r="S67" s="88">
        <f t="shared" ref="S67" si="284">(S64*S65/1000)/(1-S66)</f>
        <v>2.6744984836530619</v>
      </c>
      <c r="T67" s="88">
        <f t="shared" ref="T67" si="285">(T64*T65/1000)/(1-T66)</f>
        <v>2.7415823665446166</v>
      </c>
      <c r="U67" s="88">
        <f t="shared" ref="U67" si="286">(U64*U65/1000)/(1-U66)</f>
        <v>2.8106787659229182</v>
      </c>
      <c r="V67" s="88">
        <f t="shared" ref="V67" si="287">(V64*V65/1000)/(1-V66)</f>
        <v>2.8818480572825687</v>
      </c>
      <c r="W67" s="88">
        <f t="shared" ref="W67" si="288">(W64*W65/1000)/(1-W66)</f>
        <v>2.9551524273830077</v>
      </c>
      <c r="X67" s="88">
        <f t="shared" ref="X67" si="289">(X64*X65/1000)/(1-X66)</f>
        <v>3.0306559285864614</v>
      </c>
      <c r="Y67" s="88">
        <f t="shared" ref="Y67" si="290">(Y64*Y65/1000)/(1-Y66)</f>
        <v>3.1084245348260189</v>
      </c>
      <c r="Z67" s="88">
        <f t="shared" ref="Z67" si="291">(Z64*Z65/1000)/(1-Z66)</f>
        <v>3.1885261992527614</v>
      </c>
      <c r="AA67" s="88">
        <f t="shared" ref="AA67" si="292">(AA64*AA65/1000)/(1-AA66)</f>
        <v>3.2710309136123081</v>
      </c>
      <c r="AB67" s="88">
        <f t="shared" ref="AB67" si="293">(AB64*AB65/1000)/(1-AB66)</f>
        <v>3.3560107694026402</v>
      </c>
    </row>
    <row r="68" spans="1:28" ht="15.75" thickTop="1">
      <c r="A68" s="63"/>
      <c r="B68" s="64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</row>
    <row r="69" spans="1:28">
      <c r="A69" s="63"/>
      <c r="B69" s="64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</row>
    <row r="70" spans="1:28" ht="16.5" thickBot="1">
      <c r="A70" s="597" t="s">
        <v>23</v>
      </c>
      <c r="B70" s="55"/>
      <c r="C70" s="91"/>
      <c r="D70" s="91"/>
      <c r="E70" s="91"/>
      <c r="F70" s="91"/>
      <c r="G70" s="91"/>
      <c r="H70" s="91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</row>
    <row r="71" spans="1:28" ht="15.75" thickTop="1">
      <c r="A71" s="29" t="s">
        <v>1</v>
      </c>
      <c r="B71" s="47">
        <f>Assumption!C39</f>
        <v>0</v>
      </c>
      <c r="C71" s="30"/>
      <c r="D71" s="30"/>
      <c r="E71" s="35"/>
      <c r="F71" s="35">
        <f>Assumption!C32</f>
        <v>955</v>
      </c>
      <c r="G71" s="35">
        <f>F71*(1+$B$71)</f>
        <v>955</v>
      </c>
      <c r="H71" s="35">
        <f t="shared" ref="H71:AB71" si="294">G71*(1+$B$71)</f>
        <v>955</v>
      </c>
      <c r="I71" s="35">
        <f t="shared" si="294"/>
        <v>955</v>
      </c>
      <c r="J71" s="35">
        <f t="shared" si="294"/>
        <v>955</v>
      </c>
      <c r="K71" s="35">
        <f t="shared" si="294"/>
        <v>955</v>
      </c>
      <c r="L71" s="35">
        <f t="shared" si="294"/>
        <v>955</v>
      </c>
      <c r="M71" s="35">
        <f t="shared" si="294"/>
        <v>955</v>
      </c>
      <c r="N71" s="35">
        <f t="shared" si="294"/>
        <v>955</v>
      </c>
      <c r="O71" s="35">
        <f t="shared" si="294"/>
        <v>955</v>
      </c>
      <c r="P71" s="35">
        <f t="shared" si="294"/>
        <v>955</v>
      </c>
      <c r="Q71" s="35">
        <f t="shared" si="294"/>
        <v>955</v>
      </c>
      <c r="R71" s="35">
        <f t="shared" si="294"/>
        <v>955</v>
      </c>
      <c r="S71" s="35">
        <f t="shared" si="294"/>
        <v>955</v>
      </c>
      <c r="T71" s="35">
        <f t="shared" si="294"/>
        <v>955</v>
      </c>
      <c r="U71" s="35">
        <f t="shared" si="294"/>
        <v>955</v>
      </c>
      <c r="V71" s="35">
        <f t="shared" si="294"/>
        <v>955</v>
      </c>
      <c r="W71" s="35">
        <f t="shared" si="294"/>
        <v>955</v>
      </c>
      <c r="X71" s="35">
        <f t="shared" si="294"/>
        <v>955</v>
      </c>
      <c r="Y71" s="35">
        <f t="shared" si="294"/>
        <v>955</v>
      </c>
      <c r="Z71" s="35">
        <f t="shared" si="294"/>
        <v>955</v>
      </c>
      <c r="AA71" s="35">
        <f t="shared" si="294"/>
        <v>955</v>
      </c>
      <c r="AB71" s="35">
        <f t="shared" si="294"/>
        <v>955</v>
      </c>
    </row>
    <row r="72" spans="1:28">
      <c r="A72" s="29" t="s">
        <v>24</v>
      </c>
      <c r="B72" s="47">
        <f>Assumption!C39</f>
        <v>0</v>
      </c>
      <c r="C72" s="30"/>
      <c r="D72" s="30"/>
      <c r="E72" s="35"/>
      <c r="F72" s="35">
        <f>F71*Assumption!C33</f>
        <v>0</v>
      </c>
      <c r="G72" s="35">
        <f>F72*(1+$B$72)</f>
        <v>0</v>
      </c>
      <c r="H72" s="35">
        <f t="shared" ref="H72:AB72" si="295">G72*(1+$B$72)</f>
        <v>0</v>
      </c>
      <c r="I72" s="35">
        <f t="shared" si="295"/>
        <v>0</v>
      </c>
      <c r="J72" s="35">
        <f t="shared" si="295"/>
        <v>0</v>
      </c>
      <c r="K72" s="35">
        <f t="shared" si="295"/>
        <v>0</v>
      </c>
      <c r="L72" s="35">
        <f t="shared" si="295"/>
        <v>0</v>
      </c>
      <c r="M72" s="35">
        <f t="shared" si="295"/>
        <v>0</v>
      </c>
      <c r="N72" s="35">
        <f t="shared" si="295"/>
        <v>0</v>
      </c>
      <c r="O72" s="35">
        <f t="shared" si="295"/>
        <v>0</v>
      </c>
      <c r="P72" s="35">
        <f t="shared" si="295"/>
        <v>0</v>
      </c>
      <c r="Q72" s="35">
        <f t="shared" si="295"/>
        <v>0</v>
      </c>
      <c r="R72" s="35">
        <f t="shared" si="295"/>
        <v>0</v>
      </c>
      <c r="S72" s="35">
        <f t="shared" si="295"/>
        <v>0</v>
      </c>
      <c r="T72" s="35">
        <f t="shared" si="295"/>
        <v>0</v>
      </c>
      <c r="U72" s="35">
        <f t="shared" si="295"/>
        <v>0</v>
      </c>
      <c r="V72" s="35">
        <f t="shared" si="295"/>
        <v>0</v>
      </c>
      <c r="W72" s="35">
        <f t="shared" si="295"/>
        <v>0</v>
      </c>
      <c r="X72" s="35">
        <f t="shared" si="295"/>
        <v>0</v>
      </c>
      <c r="Y72" s="35">
        <f t="shared" si="295"/>
        <v>0</v>
      </c>
      <c r="Z72" s="35">
        <f t="shared" si="295"/>
        <v>0</v>
      </c>
      <c r="AA72" s="35">
        <f t="shared" si="295"/>
        <v>0</v>
      </c>
      <c r="AB72" s="35">
        <f t="shared" si="295"/>
        <v>0</v>
      </c>
    </row>
    <row r="73" spans="1:28">
      <c r="A73" s="29" t="s">
        <v>2</v>
      </c>
      <c r="B73" s="47">
        <f>B9</f>
        <v>0.18479999999999999</v>
      </c>
      <c r="C73" s="31"/>
      <c r="D73" s="31"/>
      <c r="E73" s="36"/>
      <c r="F73" s="36">
        <f t="shared" ref="F73:AB73" si="296">(F71+F72)*$B$73</f>
        <v>176.48399999999998</v>
      </c>
      <c r="G73" s="36">
        <f t="shared" si="296"/>
        <v>176.48399999999998</v>
      </c>
      <c r="H73" s="36">
        <f t="shared" si="296"/>
        <v>176.48399999999998</v>
      </c>
      <c r="I73" s="36">
        <f t="shared" si="296"/>
        <v>176.48399999999998</v>
      </c>
      <c r="J73" s="36">
        <f t="shared" si="296"/>
        <v>176.48399999999998</v>
      </c>
      <c r="K73" s="36">
        <f t="shared" si="296"/>
        <v>176.48399999999998</v>
      </c>
      <c r="L73" s="36">
        <f t="shared" si="296"/>
        <v>176.48399999999998</v>
      </c>
      <c r="M73" s="36">
        <f t="shared" si="296"/>
        <v>176.48399999999998</v>
      </c>
      <c r="N73" s="36">
        <f t="shared" si="296"/>
        <v>176.48399999999998</v>
      </c>
      <c r="O73" s="36">
        <f t="shared" si="296"/>
        <v>176.48399999999998</v>
      </c>
      <c r="P73" s="36">
        <f t="shared" si="296"/>
        <v>176.48399999999998</v>
      </c>
      <c r="Q73" s="36">
        <f t="shared" si="296"/>
        <v>176.48399999999998</v>
      </c>
      <c r="R73" s="36">
        <f t="shared" si="296"/>
        <v>176.48399999999998</v>
      </c>
      <c r="S73" s="36">
        <f t="shared" si="296"/>
        <v>176.48399999999998</v>
      </c>
      <c r="T73" s="36">
        <f t="shared" si="296"/>
        <v>176.48399999999998</v>
      </c>
      <c r="U73" s="36">
        <f t="shared" si="296"/>
        <v>176.48399999999998</v>
      </c>
      <c r="V73" s="36">
        <f t="shared" si="296"/>
        <v>176.48399999999998</v>
      </c>
      <c r="W73" s="36">
        <f t="shared" si="296"/>
        <v>176.48399999999998</v>
      </c>
      <c r="X73" s="36">
        <f t="shared" si="296"/>
        <v>176.48399999999998</v>
      </c>
      <c r="Y73" s="36">
        <f t="shared" si="296"/>
        <v>176.48399999999998</v>
      </c>
      <c r="Z73" s="36">
        <f t="shared" si="296"/>
        <v>176.48399999999998</v>
      </c>
      <c r="AA73" s="36">
        <f t="shared" si="296"/>
        <v>176.48399999999998</v>
      </c>
      <c r="AB73" s="36">
        <f t="shared" si="296"/>
        <v>176.48399999999998</v>
      </c>
    </row>
    <row r="74" spans="1:28">
      <c r="A74" s="29" t="s">
        <v>3</v>
      </c>
      <c r="B74" s="48"/>
      <c r="C74" s="31"/>
      <c r="D74" s="31"/>
      <c r="E74" s="36"/>
      <c r="F74" s="36">
        <v>50</v>
      </c>
      <c r="G74" s="36">
        <v>50</v>
      </c>
      <c r="H74" s="36">
        <v>50</v>
      </c>
      <c r="I74" s="36">
        <v>50</v>
      </c>
      <c r="J74" s="36">
        <v>50</v>
      </c>
      <c r="K74" s="36">
        <v>50</v>
      </c>
      <c r="L74" s="36">
        <v>50</v>
      </c>
      <c r="M74" s="36">
        <v>50</v>
      </c>
      <c r="N74" s="36">
        <v>50</v>
      </c>
      <c r="O74" s="36">
        <v>50</v>
      </c>
      <c r="P74" s="36">
        <v>50</v>
      </c>
      <c r="Q74" s="36">
        <v>50</v>
      </c>
      <c r="R74" s="36">
        <v>50</v>
      </c>
      <c r="S74" s="36">
        <v>50</v>
      </c>
      <c r="T74" s="36">
        <v>50</v>
      </c>
      <c r="U74" s="36">
        <v>50</v>
      </c>
      <c r="V74" s="36">
        <v>50</v>
      </c>
      <c r="W74" s="36">
        <v>50</v>
      </c>
      <c r="X74" s="36">
        <v>50</v>
      </c>
      <c r="Y74" s="36">
        <v>50</v>
      </c>
      <c r="Z74" s="36">
        <v>50</v>
      </c>
      <c r="AA74" s="36">
        <v>50</v>
      </c>
      <c r="AB74" s="36">
        <v>50</v>
      </c>
    </row>
    <row r="75" spans="1:28">
      <c r="A75" s="29" t="s">
        <v>4</v>
      </c>
      <c r="B75" s="48"/>
      <c r="C75" s="31"/>
      <c r="D75" s="31"/>
      <c r="E75" s="36"/>
      <c r="F75" s="36">
        <f>(51+79+100)/3</f>
        <v>76.666666666666671</v>
      </c>
      <c r="G75" s="36">
        <f>(51+79+100)/3</f>
        <v>76.666666666666671</v>
      </c>
      <c r="H75" s="36">
        <f t="shared" ref="H75:AB75" si="297">(51+79+100)/3</f>
        <v>76.666666666666671</v>
      </c>
      <c r="I75" s="36">
        <f t="shared" si="297"/>
        <v>76.666666666666671</v>
      </c>
      <c r="J75" s="36">
        <f t="shared" si="297"/>
        <v>76.666666666666671</v>
      </c>
      <c r="K75" s="36">
        <f t="shared" si="297"/>
        <v>76.666666666666671</v>
      </c>
      <c r="L75" s="36">
        <f t="shared" si="297"/>
        <v>76.666666666666671</v>
      </c>
      <c r="M75" s="36">
        <f t="shared" si="297"/>
        <v>76.666666666666671</v>
      </c>
      <c r="N75" s="36">
        <f t="shared" si="297"/>
        <v>76.666666666666671</v>
      </c>
      <c r="O75" s="36">
        <f t="shared" si="297"/>
        <v>76.666666666666671</v>
      </c>
      <c r="P75" s="36">
        <f t="shared" si="297"/>
        <v>76.666666666666671</v>
      </c>
      <c r="Q75" s="36">
        <f t="shared" si="297"/>
        <v>76.666666666666671</v>
      </c>
      <c r="R75" s="36">
        <f t="shared" si="297"/>
        <v>76.666666666666671</v>
      </c>
      <c r="S75" s="36">
        <f t="shared" si="297"/>
        <v>76.666666666666671</v>
      </c>
      <c r="T75" s="36">
        <f t="shared" si="297"/>
        <v>76.666666666666671</v>
      </c>
      <c r="U75" s="36">
        <f t="shared" si="297"/>
        <v>76.666666666666671</v>
      </c>
      <c r="V75" s="36">
        <f t="shared" si="297"/>
        <v>76.666666666666671</v>
      </c>
      <c r="W75" s="36">
        <f t="shared" si="297"/>
        <v>76.666666666666671</v>
      </c>
      <c r="X75" s="36">
        <f t="shared" si="297"/>
        <v>76.666666666666671</v>
      </c>
      <c r="Y75" s="36">
        <f t="shared" si="297"/>
        <v>76.666666666666671</v>
      </c>
      <c r="Z75" s="36">
        <f t="shared" si="297"/>
        <v>76.666666666666671</v>
      </c>
      <c r="AA75" s="36">
        <f t="shared" si="297"/>
        <v>76.666666666666671</v>
      </c>
      <c r="AB75" s="36">
        <f t="shared" si="297"/>
        <v>76.666666666666671</v>
      </c>
    </row>
    <row r="76" spans="1:28">
      <c r="A76" s="29" t="s">
        <v>5</v>
      </c>
      <c r="B76" s="48"/>
      <c r="C76" s="31"/>
      <c r="D76" s="31"/>
      <c r="E76" s="36"/>
      <c r="F76" s="36">
        <f>(57+116)/2</f>
        <v>86.5</v>
      </c>
      <c r="G76" s="36">
        <f>(57+116)/2</f>
        <v>86.5</v>
      </c>
      <c r="H76" s="36">
        <f t="shared" ref="H76:AB76" si="298">(57+116)/2</f>
        <v>86.5</v>
      </c>
      <c r="I76" s="36">
        <f t="shared" si="298"/>
        <v>86.5</v>
      </c>
      <c r="J76" s="36">
        <f t="shared" si="298"/>
        <v>86.5</v>
      </c>
      <c r="K76" s="36">
        <f t="shared" si="298"/>
        <v>86.5</v>
      </c>
      <c r="L76" s="36">
        <f t="shared" si="298"/>
        <v>86.5</v>
      </c>
      <c r="M76" s="36">
        <f t="shared" si="298"/>
        <v>86.5</v>
      </c>
      <c r="N76" s="36">
        <f t="shared" si="298"/>
        <v>86.5</v>
      </c>
      <c r="O76" s="36">
        <f t="shared" si="298"/>
        <v>86.5</v>
      </c>
      <c r="P76" s="36">
        <f t="shared" si="298"/>
        <v>86.5</v>
      </c>
      <c r="Q76" s="36">
        <f t="shared" si="298"/>
        <v>86.5</v>
      </c>
      <c r="R76" s="36">
        <f t="shared" si="298"/>
        <v>86.5</v>
      </c>
      <c r="S76" s="36">
        <f t="shared" si="298"/>
        <v>86.5</v>
      </c>
      <c r="T76" s="36">
        <f t="shared" si="298"/>
        <v>86.5</v>
      </c>
      <c r="U76" s="36">
        <f t="shared" si="298"/>
        <v>86.5</v>
      </c>
      <c r="V76" s="36">
        <f t="shared" si="298"/>
        <v>86.5</v>
      </c>
      <c r="W76" s="36">
        <f t="shared" si="298"/>
        <v>86.5</v>
      </c>
      <c r="X76" s="36">
        <f t="shared" si="298"/>
        <v>86.5</v>
      </c>
      <c r="Y76" s="36">
        <f t="shared" si="298"/>
        <v>86.5</v>
      </c>
      <c r="Z76" s="36">
        <f t="shared" si="298"/>
        <v>86.5</v>
      </c>
      <c r="AA76" s="36">
        <f t="shared" si="298"/>
        <v>86.5</v>
      </c>
      <c r="AB76" s="36">
        <f t="shared" si="298"/>
        <v>86.5</v>
      </c>
    </row>
    <row r="77" spans="1:28">
      <c r="A77" s="29" t="s">
        <v>6</v>
      </c>
      <c r="B77" s="48"/>
      <c r="C77" s="31"/>
      <c r="D77" s="31"/>
      <c r="E77" s="36"/>
      <c r="F77" s="36">
        <f>(F71+F75)*0.2%</f>
        <v>2.0633333333333335</v>
      </c>
      <c r="G77" s="36">
        <f>(G71+G75)*0.2%</f>
        <v>2.0633333333333335</v>
      </c>
      <c r="H77" s="36">
        <f t="shared" ref="H77:AB77" si="299">(H71+H75)*0.2%</f>
        <v>2.0633333333333335</v>
      </c>
      <c r="I77" s="36">
        <f t="shared" si="299"/>
        <v>2.0633333333333335</v>
      </c>
      <c r="J77" s="36">
        <f t="shared" si="299"/>
        <v>2.0633333333333335</v>
      </c>
      <c r="K77" s="36">
        <f t="shared" si="299"/>
        <v>2.0633333333333335</v>
      </c>
      <c r="L77" s="36">
        <f t="shared" si="299"/>
        <v>2.0633333333333335</v>
      </c>
      <c r="M77" s="36">
        <f t="shared" si="299"/>
        <v>2.0633333333333335</v>
      </c>
      <c r="N77" s="36">
        <f t="shared" si="299"/>
        <v>2.0633333333333335</v>
      </c>
      <c r="O77" s="36">
        <f t="shared" si="299"/>
        <v>2.0633333333333335</v>
      </c>
      <c r="P77" s="36">
        <f t="shared" si="299"/>
        <v>2.0633333333333335</v>
      </c>
      <c r="Q77" s="36">
        <f t="shared" si="299"/>
        <v>2.0633333333333335</v>
      </c>
      <c r="R77" s="36">
        <f t="shared" si="299"/>
        <v>2.0633333333333335</v>
      </c>
      <c r="S77" s="36">
        <f t="shared" si="299"/>
        <v>2.0633333333333335</v>
      </c>
      <c r="T77" s="36">
        <f t="shared" si="299"/>
        <v>2.0633333333333335</v>
      </c>
      <c r="U77" s="36">
        <f t="shared" si="299"/>
        <v>2.0633333333333335</v>
      </c>
      <c r="V77" s="36">
        <f t="shared" si="299"/>
        <v>2.0633333333333335</v>
      </c>
      <c r="W77" s="36">
        <f t="shared" si="299"/>
        <v>2.0633333333333335</v>
      </c>
      <c r="X77" s="36">
        <f t="shared" si="299"/>
        <v>2.0633333333333335</v>
      </c>
      <c r="Y77" s="36">
        <f t="shared" si="299"/>
        <v>2.0633333333333335</v>
      </c>
      <c r="Z77" s="36">
        <f t="shared" si="299"/>
        <v>2.0633333333333335</v>
      </c>
      <c r="AA77" s="36">
        <f t="shared" si="299"/>
        <v>2.0633333333333335</v>
      </c>
      <c r="AB77" s="36">
        <f t="shared" si="299"/>
        <v>2.0633333333333335</v>
      </c>
    </row>
    <row r="78" spans="1:28">
      <c r="A78" s="29" t="s">
        <v>7</v>
      </c>
      <c r="B78" s="48"/>
      <c r="C78" s="31"/>
      <c r="D78" s="31"/>
      <c r="E78" s="35"/>
      <c r="F78" s="35">
        <v>7.5</v>
      </c>
      <c r="G78" s="35">
        <v>7.5</v>
      </c>
      <c r="H78" s="35">
        <v>7.5</v>
      </c>
      <c r="I78" s="35">
        <v>7.5</v>
      </c>
      <c r="J78" s="35">
        <v>7.5</v>
      </c>
      <c r="K78" s="35">
        <v>7.5</v>
      </c>
      <c r="L78" s="35">
        <v>7.5</v>
      </c>
      <c r="M78" s="35">
        <v>7.5</v>
      </c>
      <c r="N78" s="35">
        <v>7.5</v>
      </c>
      <c r="O78" s="35">
        <v>7.5</v>
      </c>
      <c r="P78" s="35">
        <v>7.5</v>
      </c>
      <c r="Q78" s="35">
        <v>7.5</v>
      </c>
      <c r="R78" s="35">
        <v>7.5</v>
      </c>
      <c r="S78" s="35">
        <v>7.5</v>
      </c>
      <c r="T78" s="35">
        <v>7.5</v>
      </c>
      <c r="U78" s="35">
        <v>7.5</v>
      </c>
      <c r="V78" s="35">
        <v>7.5</v>
      </c>
      <c r="W78" s="35">
        <v>7.5</v>
      </c>
      <c r="X78" s="35">
        <v>7.5</v>
      </c>
      <c r="Y78" s="35">
        <v>7.5</v>
      </c>
      <c r="Z78" s="35">
        <v>7.5</v>
      </c>
      <c r="AA78" s="35">
        <v>7.5</v>
      </c>
      <c r="AB78" s="35">
        <v>7.5</v>
      </c>
    </row>
    <row r="79" spans="1:28">
      <c r="A79" s="29" t="s">
        <v>8</v>
      </c>
      <c r="B79" s="48"/>
      <c r="C79" s="31"/>
      <c r="D79" s="31"/>
      <c r="E79" s="35"/>
      <c r="F79" s="35">
        <v>7.5</v>
      </c>
      <c r="G79" s="35">
        <v>7.5</v>
      </c>
      <c r="H79" s="35">
        <v>7.5</v>
      </c>
      <c r="I79" s="35">
        <v>7.5</v>
      </c>
      <c r="J79" s="35">
        <v>7.5</v>
      </c>
      <c r="K79" s="35">
        <v>7.5</v>
      </c>
      <c r="L79" s="35">
        <v>7.5</v>
      </c>
      <c r="M79" s="35">
        <v>7.5</v>
      </c>
      <c r="N79" s="35">
        <v>7.5</v>
      </c>
      <c r="O79" s="35">
        <v>7.5</v>
      </c>
      <c r="P79" s="35">
        <v>7.5</v>
      </c>
      <c r="Q79" s="35">
        <v>7.5</v>
      </c>
      <c r="R79" s="35">
        <v>7.5</v>
      </c>
      <c r="S79" s="35">
        <v>7.5</v>
      </c>
      <c r="T79" s="35">
        <v>7.5</v>
      </c>
      <c r="U79" s="35">
        <v>7.5</v>
      </c>
      <c r="V79" s="35">
        <v>7.5</v>
      </c>
      <c r="W79" s="35">
        <v>7.5</v>
      </c>
      <c r="X79" s="35">
        <v>7.5</v>
      </c>
      <c r="Y79" s="35">
        <v>7.5</v>
      </c>
      <c r="Z79" s="35">
        <v>7.5</v>
      </c>
      <c r="AA79" s="35">
        <v>7.5</v>
      </c>
      <c r="AB79" s="35">
        <v>7.5</v>
      </c>
    </row>
    <row r="80" spans="1:28" s="4" customFormat="1">
      <c r="A80" s="37" t="s">
        <v>9</v>
      </c>
      <c r="B80" s="50"/>
      <c r="C80" s="9"/>
      <c r="D80" s="9"/>
      <c r="E80" s="10"/>
      <c r="F80" s="10">
        <f>SUM(F71:F79)</f>
        <v>1361.7139999999999</v>
      </c>
      <c r="G80" s="10">
        <f>SUM(G71:G79)</f>
        <v>1361.7139999999999</v>
      </c>
      <c r="H80" s="10">
        <f t="shared" ref="H80" si="300">SUM(H71:H79)</f>
        <v>1361.7139999999999</v>
      </c>
      <c r="I80" s="10">
        <f t="shared" ref="I80" si="301">SUM(I71:I79)</f>
        <v>1361.7139999999999</v>
      </c>
      <c r="J80" s="10">
        <f t="shared" ref="J80" si="302">SUM(J71:J79)</f>
        <v>1361.7139999999999</v>
      </c>
      <c r="K80" s="10">
        <f t="shared" ref="K80" si="303">SUM(K71:K79)</f>
        <v>1361.7139999999999</v>
      </c>
      <c r="L80" s="10">
        <f t="shared" ref="L80" si="304">SUM(L71:L79)</f>
        <v>1361.7139999999999</v>
      </c>
      <c r="M80" s="10">
        <f t="shared" ref="M80" si="305">SUM(M71:M79)</f>
        <v>1361.7139999999999</v>
      </c>
      <c r="N80" s="10">
        <f t="shared" ref="N80" si="306">SUM(N71:N79)</f>
        <v>1361.7139999999999</v>
      </c>
      <c r="O80" s="10">
        <f t="shared" ref="O80" si="307">SUM(O71:O79)</f>
        <v>1361.7139999999999</v>
      </c>
      <c r="P80" s="10">
        <f t="shared" ref="P80" si="308">SUM(P71:P79)</f>
        <v>1361.7139999999999</v>
      </c>
      <c r="Q80" s="10">
        <f t="shared" ref="Q80" si="309">SUM(Q71:Q79)</f>
        <v>1361.7139999999999</v>
      </c>
      <c r="R80" s="10">
        <f t="shared" ref="R80" si="310">SUM(R71:R79)</f>
        <v>1361.7139999999999</v>
      </c>
      <c r="S80" s="10">
        <f t="shared" ref="S80" si="311">SUM(S71:S79)</f>
        <v>1361.7139999999999</v>
      </c>
      <c r="T80" s="10">
        <f t="shared" ref="T80" si="312">SUM(T71:T79)</f>
        <v>1361.7139999999999</v>
      </c>
      <c r="U80" s="10">
        <f t="shared" ref="U80" si="313">SUM(U71:U79)</f>
        <v>1361.7139999999999</v>
      </c>
      <c r="V80" s="10">
        <f t="shared" ref="V80" si="314">SUM(V71:V79)</f>
        <v>1361.7139999999999</v>
      </c>
      <c r="W80" s="10">
        <f t="shared" ref="W80" si="315">SUM(W71:W79)</f>
        <v>1361.7139999999999</v>
      </c>
      <c r="X80" s="10">
        <f t="shared" ref="X80" si="316">SUM(X71:X79)</f>
        <v>1361.7139999999999</v>
      </c>
      <c r="Y80" s="10">
        <f t="shared" ref="Y80" si="317">SUM(Y71:Y79)</f>
        <v>1361.7139999999999</v>
      </c>
      <c r="Z80" s="10">
        <f t="shared" ref="Z80" si="318">SUM(Z71:Z79)</f>
        <v>1361.7139999999999</v>
      </c>
      <c r="AA80" s="10">
        <f t="shared" ref="AA80" si="319">SUM(AA71:AA79)</f>
        <v>1361.7139999999999</v>
      </c>
      <c r="AB80" s="10">
        <f t="shared" ref="AB80" si="320">SUM(AB71:AB79)</f>
        <v>1361.7139999999999</v>
      </c>
    </row>
    <row r="81" spans="1:28">
      <c r="A81" s="29" t="s">
        <v>10</v>
      </c>
      <c r="B81" s="48"/>
      <c r="C81" s="31"/>
      <c r="D81" s="31"/>
      <c r="E81" s="35"/>
      <c r="F81" s="35">
        <f>F80*5%</f>
        <v>68.085700000000003</v>
      </c>
      <c r="G81" s="35">
        <f>G80*5%</f>
        <v>68.085700000000003</v>
      </c>
      <c r="H81" s="35">
        <f t="shared" ref="H81" si="321">H80*5%</f>
        <v>68.085700000000003</v>
      </c>
      <c r="I81" s="35">
        <f t="shared" ref="I81" si="322">I80*5%</f>
        <v>68.085700000000003</v>
      </c>
      <c r="J81" s="35">
        <f t="shared" ref="J81" si="323">J80*5%</f>
        <v>68.085700000000003</v>
      </c>
      <c r="K81" s="35">
        <f t="shared" ref="K81" si="324">K80*5%</f>
        <v>68.085700000000003</v>
      </c>
      <c r="L81" s="35">
        <f t="shared" ref="L81" si="325">L80*5%</f>
        <v>68.085700000000003</v>
      </c>
      <c r="M81" s="35">
        <f t="shared" ref="M81" si="326">M80*5%</f>
        <v>68.085700000000003</v>
      </c>
      <c r="N81" s="35">
        <f t="shared" ref="N81" si="327">N80*5%</f>
        <v>68.085700000000003</v>
      </c>
      <c r="O81" s="35">
        <f t="shared" ref="O81" si="328">O80*5%</f>
        <v>68.085700000000003</v>
      </c>
      <c r="P81" s="35">
        <f t="shared" ref="P81" si="329">P80*5%</f>
        <v>68.085700000000003</v>
      </c>
      <c r="Q81" s="35">
        <f t="shared" ref="Q81" si="330">Q80*5%</f>
        <v>68.085700000000003</v>
      </c>
      <c r="R81" s="35">
        <f t="shared" ref="R81" si="331">R80*5%</f>
        <v>68.085700000000003</v>
      </c>
      <c r="S81" s="35">
        <f t="shared" ref="S81" si="332">S80*5%</f>
        <v>68.085700000000003</v>
      </c>
      <c r="T81" s="35">
        <f t="shared" ref="T81" si="333">T80*5%</f>
        <v>68.085700000000003</v>
      </c>
      <c r="U81" s="35">
        <f t="shared" ref="U81" si="334">U80*5%</f>
        <v>68.085700000000003</v>
      </c>
      <c r="V81" s="35">
        <f t="shared" ref="V81" si="335">V80*5%</f>
        <v>68.085700000000003</v>
      </c>
      <c r="W81" s="35">
        <f t="shared" ref="W81" si="336">W80*5%</f>
        <v>68.085700000000003</v>
      </c>
      <c r="X81" s="35">
        <f t="shared" ref="X81" si="337">X80*5%</f>
        <v>68.085700000000003</v>
      </c>
      <c r="Y81" s="35">
        <f t="shared" ref="Y81" si="338">Y80*5%</f>
        <v>68.085700000000003</v>
      </c>
      <c r="Z81" s="35">
        <f t="shared" ref="Z81" si="339">Z80*5%</f>
        <v>68.085700000000003</v>
      </c>
      <c r="AA81" s="35">
        <f t="shared" ref="AA81" si="340">AA80*5%</f>
        <v>68.085700000000003</v>
      </c>
      <c r="AB81" s="35">
        <f t="shared" ref="AB81" si="341">AB80*5%</f>
        <v>68.085700000000003</v>
      </c>
    </row>
    <row r="82" spans="1:28">
      <c r="A82" s="29" t="s">
        <v>11</v>
      </c>
      <c r="B82" s="48"/>
      <c r="C82" s="31"/>
      <c r="D82" s="31"/>
      <c r="E82" s="35"/>
      <c r="F82" s="35">
        <v>400</v>
      </c>
      <c r="G82" s="35">
        <v>400</v>
      </c>
      <c r="H82" s="35">
        <v>400</v>
      </c>
      <c r="I82" s="35">
        <v>400</v>
      </c>
      <c r="J82" s="35">
        <v>400</v>
      </c>
      <c r="K82" s="35">
        <v>400</v>
      </c>
      <c r="L82" s="35">
        <v>400</v>
      </c>
      <c r="M82" s="35">
        <v>400</v>
      </c>
      <c r="N82" s="35">
        <v>400</v>
      </c>
      <c r="O82" s="35">
        <v>400</v>
      </c>
      <c r="P82" s="35">
        <v>400</v>
      </c>
      <c r="Q82" s="35">
        <v>400</v>
      </c>
      <c r="R82" s="35">
        <v>400</v>
      </c>
      <c r="S82" s="35">
        <v>400</v>
      </c>
      <c r="T82" s="35">
        <v>400</v>
      </c>
      <c r="U82" s="35">
        <v>400</v>
      </c>
      <c r="V82" s="35">
        <v>400</v>
      </c>
      <c r="W82" s="35">
        <v>400</v>
      </c>
      <c r="X82" s="35">
        <v>400</v>
      </c>
      <c r="Y82" s="35">
        <v>400</v>
      </c>
      <c r="Z82" s="35">
        <v>400</v>
      </c>
      <c r="AA82" s="35">
        <v>400</v>
      </c>
      <c r="AB82" s="35">
        <v>400</v>
      </c>
    </row>
    <row r="83" spans="1:28" s="4" customFormat="1">
      <c r="A83" s="37" t="s">
        <v>12</v>
      </c>
      <c r="B83" s="50"/>
      <c r="C83" s="9"/>
      <c r="D83" s="9"/>
      <c r="E83" s="10"/>
      <c r="F83" s="10">
        <f>SUM(F80:F82)</f>
        <v>1829.7997</v>
      </c>
      <c r="G83" s="10">
        <f>SUM(G80:G82)</f>
        <v>1829.7997</v>
      </c>
      <c r="H83" s="10">
        <f t="shared" ref="H83" si="342">SUM(H80:H82)</f>
        <v>1829.7997</v>
      </c>
      <c r="I83" s="10">
        <f t="shared" ref="I83" si="343">SUM(I80:I82)</f>
        <v>1829.7997</v>
      </c>
      <c r="J83" s="10">
        <f t="shared" ref="J83" si="344">SUM(J80:J82)</f>
        <v>1829.7997</v>
      </c>
      <c r="K83" s="10">
        <f t="shared" ref="K83" si="345">SUM(K80:K82)</f>
        <v>1829.7997</v>
      </c>
      <c r="L83" s="10">
        <f t="shared" ref="L83" si="346">SUM(L80:L82)</f>
        <v>1829.7997</v>
      </c>
      <c r="M83" s="10">
        <f t="shared" ref="M83" si="347">SUM(M80:M82)</f>
        <v>1829.7997</v>
      </c>
      <c r="N83" s="10">
        <f t="shared" ref="N83" si="348">SUM(N80:N82)</f>
        <v>1829.7997</v>
      </c>
      <c r="O83" s="10">
        <f t="shared" ref="O83" si="349">SUM(O80:O82)</f>
        <v>1829.7997</v>
      </c>
      <c r="P83" s="10">
        <f t="shared" ref="P83" si="350">SUM(P80:P82)</f>
        <v>1829.7997</v>
      </c>
      <c r="Q83" s="10">
        <f t="shared" ref="Q83" si="351">SUM(Q80:Q82)</f>
        <v>1829.7997</v>
      </c>
      <c r="R83" s="10">
        <f t="shared" ref="R83" si="352">SUM(R80:R82)</f>
        <v>1829.7997</v>
      </c>
      <c r="S83" s="10">
        <f t="shared" ref="S83" si="353">SUM(S80:S82)</f>
        <v>1829.7997</v>
      </c>
      <c r="T83" s="10">
        <f t="shared" ref="T83" si="354">SUM(T80:T82)</f>
        <v>1829.7997</v>
      </c>
      <c r="U83" s="10">
        <f t="shared" ref="U83" si="355">SUM(U80:U82)</f>
        <v>1829.7997</v>
      </c>
      <c r="V83" s="10">
        <f t="shared" ref="V83" si="356">SUM(V80:V82)</f>
        <v>1829.7997</v>
      </c>
      <c r="W83" s="10">
        <f t="shared" ref="W83" si="357">SUM(W80:W82)</f>
        <v>1829.7997</v>
      </c>
      <c r="X83" s="10">
        <f t="shared" ref="X83" si="358">SUM(X80:X82)</f>
        <v>1829.7997</v>
      </c>
      <c r="Y83" s="10">
        <f t="shared" ref="Y83" si="359">SUM(Y80:Y82)</f>
        <v>1829.7997</v>
      </c>
      <c r="Z83" s="10">
        <f t="shared" ref="Z83" si="360">SUM(Z80:Z82)</f>
        <v>1829.7997</v>
      </c>
      <c r="AA83" s="10">
        <f t="shared" ref="AA83" si="361">SUM(AA80:AA82)</f>
        <v>1829.7997</v>
      </c>
      <c r="AB83" s="10">
        <f t="shared" ref="AB83" si="362">SUM(AB80:AB82)</f>
        <v>1829.7997</v>
      </c>
    </row>
    <row r="84" spans="1:28">
      <c r="A84" s="38" t="s">
        <v>13</v>
      </c>
      <c r="B84" s="51"/>
      <c r="C84" s="32"/>
      <c r="D84" s="32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spans="1:28">
      <c r="A85" s="39" t="s">
        <v>14</v>
      </c>
      <c r="B85" s="47">
        <f>Assumption!C39</f>
        <v>0</v>
      </c>
      <c r="C85" s="33"/>
      <c r="D85" s="33"/>
      <c r="E85" s="36">
        <f>E53</f>
        <v>0</v>
      </c>
      <c r="F85" s="36">
        <f>F53</f>
        <v>389.6</v>
      </c>
      <c r="G85" s="36">
        <f>F85*(1+$B$85)</f>
        <v>389.6</v>
      </c>
      <c r="H85" s="36">
        <f t="shared" ref="H85:AB85" si="363">G85*(1+$B$85)</f>
        <v>389.6</v>
      </c>
      <c r="I85" s="36">
        <f t="shared" si="363"/>
        <v>389.6</v>
      </c>
      <c r="J85" s="36">
        <f t="shared" si="363"/>
        <v>389.6</v>
      </c>
      <c r="K85" s="36">
        <f t="shared" si="363"/>
        <v>389.6</v>
      </c>
      <c r="L85" s="36">
        <f t="shared" si="363"/>
        <v>389.6</v>
      </c>
      <c r="M85" s="36">
        <f t="shared" si="363"/>
        <v>389.6</v>
      </c>
      <c r="N85" s="36">
        <f t="shared" si="363"/>
        <v>389.6</v>
      </c>
      <c r="O85" s="36">
        <f t="shared" si="363"/>
        <v>389.6</v>
      </c>
      <c r="P85" s="36">
        <f t="shared" si="363"/>
        <v>389.6</v>
      </c>
      <c r="Q85" s="36">
        <f t="shared" si="363"/>
        <v>389.6</v>
      </c>
      <c r="R85" s="36">
        <f t="shared" si="363"/>
        <v>389.6</v>
      </c>
      <c r="S85" s="36">
        <f t="shared" si="363"/>
        <v>389.6</v>
      </c>
      <c r="T85" s="36">
        <f t="shared" si="363"/>
        <v>389.6</v>
      </c>
      <c r="U85" s="36">
        <f t="shared" si="363"/>
        <v>389.6</v>
      </c>
      <c r="V85" s="36">
        <f t="shared" si="363"/>
        <v>389.6</v>
      </c>
      <c r="W85" s="36">
        <f t="shared" si="363"/>
        <v>389.6</v>
      </c>
      <c r="X85" s="36">
        <f t="shared" si="363"/>
        <v>389.6</v>
      </c>
      <c r="Y85" s="36">
        <f t="shared" si="363"/>
        <v>389.6</v>
      </c>
      <c r="Z85" s="36">
        <f t="shared" si="363"/>
        <v>389.6</v>
      </c>
      <c r="AA85" s="36">
        <f t="shared" si="363"/>
        <v>389.6</v>
      </c>
      <c r="AB85" s="36">
        <f t="shared" si="363"/>
        <v>389.6</v>
      </c>
    </row>
    <row r="86" spans="1:28">
      <c r="A86" s="39" t="s">
        <v>10</v>
      </c>
      <c r="B86" s="48"/>
      <c r="C86" s="34"/>
      <c r="D86" s="34"/>
      <c r="E86" s="36">
        <f>SUM(E85:E85)*5%</f>
        <v>0</v>
      </c>
      <c r="F86" s="36">
        <f>SUM(F85:F85)*5%</f>
        <v>19.480000000000004</v>
      </c>
      <c r="G86" s="36">
        <f>SUM(G85:G85)*5%</f>
        <v>19.480000000000004</v>
      </c>
      <c r="H86" s="36">
        <f t="shared" ref="H86" si="364">SUM(H85:H85)*5%</f>
        <v>19.480000000000004</v>
      </c>
      <c r="I86" s="36">
        <f t="shared" ref="I86" si="365">SUM(I85:I85)*5%</f>
        <v>19.480000000000004</v>
      </c>
      <c r="J86" s="36">
        <f t="shared" ref="J86" si="366">SUM(J85:J85)*5%</f>
        <v>19.480000000000004</v>
      </c>
      <c r="K86" s="36">
        <f t="shared" ref="K86" si="367">SUM(K85:K85)*5%</f>
        <v>19.480000000000004</v>
      </c>
      <c r="L86" s="36">
        <f t="shared" ref="L86" si="368">SUM(L85:L85)*5%</f>
        <v>19.480000000000004</v>
      </c>
      <c r="M86" s="36">
        <f t="shared" ref="M86" si="369">SUM(M85:M85)*5%</f>
        <v>19.480000000000004</v>
      </c>
      <c r="N86" s="36">
        <f t="shared" ref="N86" si="370">SUM(N85:N85)*5%</f>
        <v>19.480000000000004</v>
      </c>
      <c r="O86" s="36">
        <f t="shared" ref="O86" si="371">SUM(O85:O85)*5%</f>
        <v>19.480000000000004</v>
      </c>
      <c r="P86" s="36">
        <f t="shared" ref="P86" si="372">SUM(P85:P85)*5%</f>
        <v>19.480000000000004</v>
      </c>
      <c r="Q86" s="36">
        <f t="shared" ref="Q86" si="373">SUM(Q85:Q85)*5%</f>
        <v>19.480000000000004</v>
      </c>
      <c r="R86" s="36">
        <f t="shared" ref="R86" si="374">SUM(R85:R85)*5%</f>
        <v>19.480000000000004</v>
      </c>
      <c r="S86" s="36">
        <f t="shared" ref="S86" si="375">SUM(S85:S85)*5%</f>
        <v>19.480000000000004</v>
      </c>
      <c r="T86" s="36">
        <f t="shared" ref="T86" si="376">SUM(T85:T85)*5%</f>
        <v>19.480000000000004</v>
      </c>
      <c r="U86" s="36">
        <f t="shared" ref="U86" si="377">SUM(U85:U85)*5%</f>
        <v>19.480000000000004</v>
      </c>
      <c r="V86" s="36">
        <f t="shared" ref="V86" si="378">SUM(V85:V85)*5%</f>
        <v>19.480000000000004</v>
      </c>
      <c r="W86" s="36">
        <f t="shared" ref="W86" si="379">SUM(W85:W85)*5%</f>
        <v>19.480000000000004</v>
      </c>
      <c r="X86" s="36">
        <f t="shared" ref="X86" si="380">SUM(X85:X85)*5%</f>
        <v>19.480000000000004</v>
      </c>
      <c r="Y86" s="36">
        <f t="shared" ref="Y86" si="381">SUM(Y85:Y85)*5%</f>
        <v>19.480000000000004</v>
      </c>
      <c r="Z86" s="36">
        <f t="shared" ref="Z86" si="382">SUM(Z85:Z85)*5%</f>
        <v>19.480000000000004</v>
      </c>
      <c r="AA86" s="36">
        <f t="shared" ref="AA86" si="383">SUM(AA85:AA85)*5%</f>
        <v>19.480000000000004</v>
      </c>
      <c r="AB86" s="36">
        <f t="shared" ref="AB86" si="384">SUM(AB85:AB85)*5%</f>
        <v>19.480000000000004</v>
      </c>
    </row>
    <row r="87" spans="1:28" s="4" customFormat="1">
      <c r="A87" s="37" t="s">
        <v>15</v>
      </c>
      <c r="B87" s="50"/>
      <c r="C87" s="9"/>
      <c r="D87" s="9"/>
      <c r="E87" s="10">
        <f>SUM(E85:E86)</f>
        <v>0</v>
      </c>
      <c r="F87" s="10">
        <f>SUM(F85:F86)</f>
        <v>409.08000000000004</v>
      </c>
      <c r="G87" s="10">
        <f>SUM(G85:G86)</f>
        <v>409.08000000000004</v>
      </c>
      <c r="H87" s="10">
        <f t="shared" ref="H87" si="385">SUM(H85:H86)</f>
        <v>409.08000000000004</v>
      </c>
      <c r="I87" s="10">
        <f t="shared" ref="I87" si="386">SUM(I85:I86)</f>
        <v>409.08000000000004</v>
      </c>
      <c r="J87" s="10">
        <f t="shared" ref="J87" si="387">SUM(J85:J86)</f>
        <v>409.08000000000004</v>
      </c>
      <c r="K87" s="10">
        <f t="shared" ref="K87" si="388">SUM(K85:K86)</f>
        <v>409.08000000000004</v>
      </c>
      <c r="L87" s="10">
        <f t="shared" ref="L87" si="389">SUM(L85:L86)</f>
        <v>409.08000000000004</v>
      </c>
      <c r="M87" s="10">
        <f t="shared" ref="M87" si="390">SUM(M85:M86)</f>
        <v>409.08000000000004</v>
      </c>
      <c r="N87" s="10">
        <f t="shared" ref="N87" si="391">SUM(N85:N86)</f>
        <v>409.08000000000004</v>
      </c>
      <c r="O87" s="10">
        <f t="shared" ref="O87" si="392">SUM(O85:O86)</f>
        <v>409.08000000000004</v>
      </c>
      <c r="P87" s="10">
        <f t="shared" ref="P87" si="393">SUM(P85:P86)</f>
        <v>409.08000000000004</v>
      </c>
      <c r="Q87" s="10">
        <f t="shared" ref="Q87" si="394">SUM(Q85:Q86)</f>
        <v>409.08000000000004</v>
      </c>
      <c r="R87" s="10">
        <f t="shared" ref="R87" si="395">SUM(R85:R86)</f>
        <v>409.08000000000004</v>
      </c>
      <c r="S87" s="10">
        <f t="shared" ref="S87" si="396">SUM(S85:S86)</f>
        <v>409.08000000000004</v>
      </c>
      <c r="T87" s="10">
        <f t="shared" ref="T87" si="397">SUM(T85:T86)</f>
        <v>409.08000000000004</v>
      </c>
      <c r="U87" s="10">
        <f t="shared" ref="U87" si="398">SUM(U85:U86)</f>
        <v>409.08000000000004</v>
      </c>
      <c r="V87" s="10">
        <f t="shared" ref="V87" si="399">SUM(V85:V86)</f>
        <v>409.08000000000004</v>
      </c>
      <c r="W87" s="10">
        <f t="shared" ref="W87" si="400">SUM(W85:W86)</f>
        <v>409.08000000000004</v>
      </c>
      <c r="X87" s="10">
        <f t="shared" ref="X87" si="401">SUM(X85:X86)</f>
        <v>409.08000000000004</v>
      </c>
      <c r="Y87" s="10">
        <f t="shared" ref="Y87" si="402">SUM(Y85:Y86)</f>
        <v>409.08000000000004</v>
      </c>
      <c r="Z87" s="10">
        <f t="shared" ref="Z87" si="403">SUM(Z85:Z86)</f>
        <v>409.08000000000004</v>
      </c>
      <c r="AA87" s="10">
        <f t="shared" ref="AA87" si="404">SUM(AA85:AA86)</f>
        <v>409.08000000000004</v>
      </c>
      <c r="AB87" s="10">
        <f t="shared" ref="AB87" si="405">SUM(AB85:AB86)</f>
        <v>409.08000000000004</v>
      </c>
    </row>
    <row r="88" spans="1:28" hidden="1">
      <c r="A88" s="39" t="s">
        <v>16</v>
      </c>
      <c r="B88" s="47">
        <f>Assumption!C28</f>
        <v>0.03</v>
      </c>
      <c r="C88" s="33"/>
      <c r="D88" s="33"/>
      <c r="E88" s="36">
        <f>E56</f>
        <v>0</v>
      </c>
      <c r="F88" s="36">
        <f>E88*(1+$B$24)</f>
        <v>0</v>
      </c>
      <c r="G88" s="36">
        <f>F88*(1+$B$24)</f>
        <v>0</v>
      </c>
      <c r="H88" s="36">
        <f t="shared" ref="H88:AB88" si="406">G88*(1+$B$24)</f>
        <v>0</v>
      </c>
      <c r="I88" s="36">
        <f t="shared" si="406"/>
        <v>0</v>
      </c>
      <c r="J88" s="36">
        <f t="shared" si="406"/>
        <v>0</v>
      </c>
      <c r="K88" s="36">
        <f t="shared" si="406"/>
        <v>0</v>
      </c>
      <c r="L88" s="36">
        <f t="shared" si="406"/>
        <v>0</v>
      </c>
      <c r="M88" s="36">
        <f t="shared" si="406"/>
        <v>0</v>
      </c>
      <c r="N88" s="36">
        <f t="shared" si="406"/>
        <v>0</v>
      </c>
      <c r="O88" s="36">
        <f t="shared" si="406"/>
        <v>0</v>
      </c>
      <c r="P88" s="36">
        <f t="shared" si="406"/>
        <v>0</v>
      </c>
      <c r="Q88" s="36">
        <f t="shared" si="406"/>
        <v>0</v>
      </c>
      <c r="R88" s="36">
        <f t="shared" si="406"/>
        <v>0</v>
      </c>
      <c r="S88" s="36">
        <f t="shared" si="406"/>
        <v>0</v>
      </c>
      <c r="T88" s="36">
        <f t="shared" si="406"/>
        <v>0</v>
      </c>
      <c r="U88" s="36">
        <f t="shared" si="406"/>
        <v>0</v>
      </c>
      <c r="V88" s="36">
        <f t="shared" si="406"/>
        <v>0</v>
      </c>
      <c r="W88" s="36">
        <f t="shared" si="406"/>
        <v>0</v>
      </c>
      <c r="X88" s="36">
        <f t="shared" si="406"/>
        <v>0</v>
      </c>
      <c r="Y88" s="36">
        <f t="shared" si="406"/>
        <v>0</v>
      </c>
      <c r="Z88" s="36">
        <f t="shared" si="406"/>
        <v>0</v>
      </c>
      <c r="AA88" s="36">
        <f t="shared" si="406"/>
        <v>0</v>
      </c>
      <c r="AB88" s="36">
        <f t="shared" si="406"/>
        <v>0</v>
      </c>
    </row>
    <row r="89" spans="1:28" hidden="1">
      <c r="A89" s="39" t="s">
        <v>10</v>
      </c>
      <c r="B89" s="48"/>
      <c r="C89" s="34"/>
      <c r="D89" s="34"/>
      <c r="E89" s="36">
        <f>E88*18%</f>
        <v>0</v>
      </c>
      <c r="F89" s="36">
        <f>F88*18%</f>
        <v>0</v>
      </c>
      <c r="G89" s="36">
        <f>G88*18%</f>
        <v>0</v>
      </c>
      <c r="H89" s="36">
        <f t="shared" ref="H89" si="407">H88*18%</f>
        <v>0</v>
      </c>
      <c r="I89" s="36">
        <f t="shared" ref="I89" si="408">I88*18%</f>
        <v>0</v>
      </c>
      <c r="J89" s="36">
        <f t="shared" ref="J89" si="409">J88*18%</f>
        <v>0</v>
      </c>
      <c r="K89" s="36">
        <f t="shared" ref="K89" si="410">K88*18%</f>
        <v>0</v>
      </c>
      <c r="L89" s="36">
        <f t="shared" ref="L89" si="411">L88*18%</f>
        <v>0</v>
      </c>
      <c r="M89" s="36">
        <f t="shared" ref="M89" si="412">M88*18%</f>
        <v>0</v>
      </c>
      <c r="N89" s="36">
        <f t="shared" ref="N89" si="413">N88*18%</f>
        <v>0</v>
      </c>
      <c r="O89" s="36">
        <f t="shared" ref="O89" si="414">O88*18%</f>
        <v>0</v>
      </c>
      <c r="P89" s="36">
        <f t="shared" ref="P89" si="415">P88*18%</f>
        <v>0</v>
      </c>
      <c r="Q89" s="36">
        <f t="shared" ref="Q89" si="416">Q88*18%</f>
        <v>0</v>
      </c>
      <c r="R89" s="36">
        <f t="shared" ref="R89" si="417">R88*18%</f>
        <v>0</v>
      </c>
      <c r="S89" s="36">
        <f t="shared" ref="S89" si="418">S88*18%</f>
        <v>0</v>
      </c>
      <c r="T89" s="36">
        <f t="shared" ref="T89" si="419">T88*18%</f>
        <v>0</v>
      </c>
      <c r="U89" s="36">
        <f t="shared" ref="U89" si="420">U88*18%</f>
        <v>0</v>
      </c>
      <c r="V89" s="36">
        <f t="shared" ref="V89" si="421">V88*18%</f>
        <v>0</v>
      </c>
      <c r="W89" s="36">
        <f t="shared" ref="W89" si="422">W88*18%</f>
        <v>0</v>
      </c>
      <c r="X89" s="36">
        <f t="shared" ref="X89" si="423">X88*18%</f>
        <v>0</v>
      </c>
      <c r="Y89" s="36">
        <f t="shared" ref="Y89" si="424">Y88*18%</f>
        <v>0</v>
      </c>
      <c r="Z89" s="36">
        <f t="shared" ref="Z89" si="425">Z88*18%</f>
        <v>0</v>
      </c>
      <c r="AA89" s="36">
        <f t="shared" ref="AA89" si="426">AA88*18%</f>
        <v>0</v>
      </c>
      <c r="AB89" s="36">
        <f t="shared" ref="AB89" si="427">AB88*18%</f>
        <v>0</v>
      </c>
    </row>
    <row r="90" spans="1:28">
      <c r="A90" s="39" t="s">
        <v>17</v>
      </c>
      <c r="B90" s="47">
        <f>Assumption!C39</f>
        <v>0</v>
      </c>
      <c r="C90" s="33"/>
      <c r="D90" s="33"/>
      <c r="E90" s="36">
        <f>E58</f>
        <v>0</v>
      </c>
      <c r="F90" s="36">
        <f>F58</f>
        <v>500</v>
      </c>
      <c r="G90" s="36">
        <f>F90*(1+$B$90)</f>
        <v>500</v>
      </c>
      <c r="H90" s="36">
        <f t="shared" ref="H90:AB90" si="428">G90*(1+$B$90)</f>
        <v>500</v>
      </c>
      <c r="I90" s="36">
        <f t="shared" si="428"/>
        <v>500</v>
      </c>
      <c r="J90" s="36">
        <f t="shared" si="428"/>
        <v>500</v>
      </c>
      <c r="K90" s="36">
        <f t="shared" si="428"/>
        <v>500</v>
      </c>
      <c r="L90" s="36">
        <f t="shared" si="428"/>
        <v>500</v>
      </c>
      <c r="M90" s="36">
        <f t="shared" si="428"/>
        <v>500</v>
      </c>
      <c r="N90" s="36">
        <f t="shared" si="428"/>
        <v>500</v>
      </c>
      <c r="O90" s="36">
        <f t="shared" si="428"/>
        <v>500</v>
      </c>
      <c r="P90" s="36">
        <f t="shared" si="428"/>
        <v>500</v>
      </c>
      <c r="Q90" s="36">
        <f t="shared" si="428"/>
        <v>500</v>
      </c>
      <c r="R90" s="36">
        <f t="shared" si="428"/>
        <v>500</v>
      </c>
      <c r="S90" s="36">
        <f t="shared" si="428"/>
        <v>500</v>
      </c>
      <c r="T90" s="36">
        <f t="shared" si="428"/>
        <v>500</v>
      </c>
      <c r="U90" s="36">
        <f t="shared" si="428"/>
        <v>500</v>
      </c>
      <c r="V90" s="36">
        <f t="shared" si="428"/>
        <v>500</v>
      </c>
      <c r="W90" s="36">
        <f t="shared" si="428"/>
        <v>500</v>
      </c>
      <c r="X90" s="36">
        <f t="shared" si="428"/>
        <v>500</v>
      </c>
      <c r="Y90" s="36">
        <f t="shared" si="428"/>
        <v>500</v>
      </c>
      <c r="Z90" s="36">
        <f t="shared" si="428"/>
        <v>500</v>
      </c>
      <c r="AA90" s="36">
        <f t="shared" si="428"/>
        <v>500</v>
      </c>
      <c r="AB90" s="36">
        <f t="shared" si="428"/>
        <v>500</v>
      </c>
    </row>
    <row r="91" spans="1:28">
      <c r="A91" s="39" t="s">
        <v>10</v>
      </c>
      <c r="B91" s="48"/>
      <c r="C91" s="34"/>
      <c r="D91" s="34"/>
      <c r="E91" s="36">
        <f>E90*5%</f>
        <v>0</v>
      </c>
      <c r="F91" s="36">
        <f>F90*5%</f>
        <v>25</v>
      </c>
      <c r="G91" s="36">
        <f>G90*5%</f>
        <v>25</v>
      </c>
      <c r="H91" s="36">
        <f t="shared" ref="H91" si="429">H90*5%</f>
        <v>25</v>
      </c>
      <c r="I91" s="36">
        <f t="shared" ref="I91" si="430">I90*5%</f>
        <v>25</v>
      </c>
      <c r="J91" s="36">
        <f t="shared" ref="J91" si="431">J90*5%</f>
        <v>25</v>
      </c>
      <c r="K91" s="36">
        <f t="shared" ref="K91" si="432">K90*5%</f>
        <v>25</v>
      </c>
      <c r="L91" s="36">
        <f t="shared" ref="L91" si="433">L90*5%</f>
        <v>25</v>
      </c>
      <c r="M91" s="36">
        <f t="shared" ref="M91" si="434">M90*5%</f>
        <v>25</v>
      </c>
      <c r="N91" s="36">
        <f t="shared" ref="N91" si="435">N90*5%</f>
        <v>25</v>
      </c>
      <c r="O91" s="36">
        <f t="shared" ref="O91" si="436">O90*5%</f>
        <v>25</v>
      </c>
      <c r="P91" s="36">
        <f t="shared" ref="P91" si="437">P90*5%</f>
        <v>25</v>
      </c>
      <c r="Q91" s="36">
        <f t="shared" ref="Q91" si="438">Q90*5%</f>
        <v>25</v>
      </c>
      <c r="R91" s="36">
        <f t="shared" ref="R91" si="439">R90*5%</f>
        <v>25</v>
      </c>
      <c r="S91" s="36">
        <f t="shared" ref="S91" si="440">S90*5%</f>
        <v>25</v>
      </c>
      <c r="T91" s="36">
        <f t="shared" ref="T91" si="441">T90*5%</f>
        <v>25</v>
      </c>
      <c r="U91" s="36">
        <f t="shared" ref="U91" si="442">U90*5%</f>
        <v>25</v>
      </c>
      <c r="V91" s="36">
        <f t="shared" ref="V91" si="443">V90*5%</f>
        <v>25</v>
      </c>
      <c r="W91" s="36">
        <f t="shared" ref="W91" si="444">W90*5%</f>
        <v>25</v>
      </c>
      <c r="X91" s="36">
        <f t="shared" ref="X91" si="445">X90*5%</f>
        <v>25</v>
      </c>
      <c r="Y91" s="36">
        <f t="shared" ref="Y91" si="446">Y90*5%</f>
        <v>25</v>
      </c>
      <c r="Z91" s="36">
        <f t="shared" ref="Z91" si="447">Z90*5%</f>
        <v>25</v>
      </c>
      <c r="AA91" s="36">
        <f t="shared" ref="AA91" si="448">AA90*5%</f>
        <v>25</v>
      </c>
      <c r="AB91" s="36">
        <f t="shared" ref="AB91" si="449">AB90*5%</f>
        <v>25</v>
      </c>
    </row>
    <row r="92" spans="1:28" s="4" customFormat="1">
      <c r="A92" s="37" t="s">
        <v>18</v>
      </c>
      <c r="B92" s="50"/>
      <c r="C92" s="9"/>
      <c r="D92" s="9"/>
      <c r="E92" s="10">
        <f>SUM(E88:E91)</f>
        <v>0</v>
      </c>
      <c r="F92" s="10">
        <f>SUM(F88:F91)</f>
        <v>525</v>
      </c>
      <c r="G92" s="10">
        <f>SUM(G88:G91)</f>
        <v>525</v>
      </c>
      <c r="H92" s="10">
        <f t="shared" ref="H92" si="450">SUM(H88:H91)</f>
        <v>525</v>
      </c>
      <c r="I92" s="10">
        <f t="shared" ref="I92" si="451">SUM(I88:I91)</f>
        <v>525</v>
      </c>
      <c r="J92" s="10">
        <f t="shared" ref="J92" si="452">SUM(J88:J91)</f>
        <v>525</v>
      </c>
      <c r="K92" s="10">
        <f t="shared" ref="K92" si="453">SUM(K88:K91)</f>
        <v>525</v>
      </c>
      <c r="L92" s="10">
        <f t="shared" ref="L92" si="454">SUM(L88:L91)</f>
        <v>525</v>
      </c>
      <c r="M92" s="10">
        <f t="shared" ref="M92" si="455">SUM(M88:M91)</f>
        <v>525</v>
      </c>
      <c r="N92" s="10">
        <f t="shared" ref="N92" si="456">SUM(N88:N91)</f>
        <v>525</v>
      </c>
      <c r="O92" s="10">
        <f t="shared" ref="O92" si="457">SUM(O88:O91)</f>
        <v>525</v>
      </c>
      <c r="P92" s="10">
        <f t="shared" ref="P92" si="458">SUM(P88:P91)</f>
        <v>525</v>
      </c>
      <c r="Q92" s="10">
        <f t="shared" ref="Q92" si="459">SUM(Q88:Q91)</f>
        <v>525</v>
      </c>
      <c r="R92" s="10">
        <f t="shared" ref="R92" si="460">SUM(R88:R91)</f>
        <v>525</v>
      </c>
      <c r="S92" s="10">
        <f t="shared" ref="S92" si="461">SUM(S88:S91)</f>
        <v>525</v>
      </c>
      <c r="T92" s="10">
        <f t="shared" ref="T92" si="462">SUM(T88:T91)</f>
        <v>525</v>
      </c>
      <c r="U92" s="10">
        <f t="shared" ref="U92" si="463">SUM(U88:U91)</f>
        <v>525</v>
      </c>
      <c r="V92" s="10">
        <f t="shared" ref="V92" si="464">SUM(V88:V91)</f>
        <v>525</v>
      </c>
      <c r="W92" s="10">
        <f t="shared" ref="W92" si="465">SUM(W88:W91)</f>
        <v>525</v>
      </c>
      <c r="X92" s="10">
        <f t="shared" ref="X92" si="466">SUM(X88:X91)</f>
        <v>525</v>
      </c>
      <c r="Y92" s="10">
        <f t="shared" ref="Y92" si="467">SUM(Y88:Y91)</f>
        <v>525</v>
      </c>
      <c r="Z92" s="10">
        <f t="shared" ref="Z92" si="468">SUM(Z88:Z91)</f>
        <v>525</v>
      </c>
      <c r="AA92" s="10">
        <f t="shared" ref="AA92" si="469">SUM(AA88:AA91)</f>
        <v>525</v>
      </c>
      <c r="AB92" s="10">
        <f t="shared" ref="AB92" si="470">SUM(AB88:AB91)</f>
        <v>525</v>
      </c>
    </row>
    <row r="93" spans="1:28" s="4" customFormat="1">
      <c r="A93" s="37" t="s">
        <v>19</v>
      </c>
      <c r="B93" s="50"/>
      <c r="C93" s="9"/>
      <c r="D93" s="9"/>
      <c r="E93" s="10">
        <f>E87+E92</f>
        <v>0</v>
      </c>
      <c r="F93" s="10">
        <f>((F87*Assumption!$C$40)+('Coal Cost'!F92*(1-Assumption!$C$40)))</f>
        <v>467.04</v>
      </c>
      <c r="G93" s="10">
        <f>((G87*Assumption!$C$40)+('Coal Cost'!G92*(1-Assumption!$C$40)))</f>
        <v>467.04</v>
      </c>
      <c r="H93" s="10">
        <f>((H87*Assumption!$C$40)+('Coal Cost'!H92*(1-Assumption!$C$40)))</f>
        <v>467.04</v>
      </c>
      <c r="I93" s="10">
        <f>((I87*Assumption!$C$40)+('Coal Cost'!I92*(1-Assumption!$C$40)))</f>
        <v>467.04</v>
      </c>
      <c r="J93" s="10">
        <f>((J87*Assumption!$C$40)+('Coal Cost'!J92*(1-Assumption!$C$40)))</f>
        <v>467.04</v>
      </c>
      <c r="K93" s="10">
        <f>((K87*Assumption!$C$40)+('Coal Cost'!K92*(1-Assumption!$C$40)))</f>
        <v>467.04</v>
      </c>
      <c r="L93" s="10">
        <f>((L87*Assumption!$C$40)+('Coal Cost'!L92*(1-Assumption!$C$40)))</f>
        <v>467.04</v>
      </c>
      <c r="M93" s="10">
        <f>((M87*Assumption!$C$40)+('Coal Cost'!M92*(1-Assumption!$C$40)))</f>
        <v>467.04</v>
      </c>
      <c r="N93" s="10">
        <f>((N87*Assumption!$C$40)+('Coal Cost'!N92*(1-Assumption!$C$40)))</f>
        <v>467.04</v>
      </c>
      <c r="O93" s="10">
        <f>((O87*Assumption!$C$40)+('Coal Cost'!O92*(1-Assumption!$C$40)))</f>
        <v>467.04</v>
      </c>
      <c r="P93" s="10">
        <f>((P87*Assumption!$C$40)+('Coal Cost'!P92*(1-Assumption!$C$40)))</f>
        <v>467.04</v>
      </c>
      <c r="Q93" s="10">
        <f>((Q87*Assumption!$C$40)+('Coal Cost'!Q92*(1-Assumption!$C$40)))</f>
        <v>467.04</v>
      </c>
      <c r="R93" s="10">
        <f>((R87*Assumption!$C$40)+('Coal Cost'!R92*(1-Assumption!$C$40)))</f>
        <v>467.04</v>
      </c>
      <c r="S93" s="10">
        <f>((S87*Assumption!$C$40)+('Coal Cost'!S92*(1-Assumption!$C$40)))</f>
        <v>467.04</v>
      </c>
      <c r="T93" s="10">
        <f>((T87*Assumption!$C$40)+('Coal Cost'!T92*(1-Assumption!$C$40)))</f>
        <v>467.04</v>
      </c>
      <c r="U93" s="10">
        <f>((U87*Assumption!$C$40)+('Coal Cost'!U92*(1-Assumption!$C$40)))</f>
        <v>467.04</v>
      </c>
      <c r="V93" s="10">
        <f>((V87*Assumption!$C$40)+('Coal Cost'!V92*(1-Assumption!$C$40)))</f>
        <v>467.04</v>
      </c>
      <c r="W93" s="10">
        <f>((W87*Assumption!$C$40)+('Coal Cost'!W92*(1-Assumption!$C$40)))</f>
        <v>467.04</v>
      </c>
      <c r="X93" s="10">
        <f>((X87*Assumption!$C$40)+('Coal Cost'!X92*(1-Assumption!$C$40)))</f>
        <v>467.04</v>
      </c>
      <c r="Y93" s="10">
        <f>((Y87*Assumption!$C$40)+('Coal Cost'!Y92*(1-Assumption!$C$40)))</f>
        <v>467.04</v>
      </c>
      <c r="Z93" s="10">
        <f>((Z87*Assumption!$C$40)+('Coal Cost'!Z92*(1-Assumption!$C$40)))</f>
        <v>467.04</v>
      </c>
      <c r="AA93" s="10">
        <f>((AA87*Assumption!$C$40)+('Coal Cost'!AA92*(1-Assumption!$C$40)))</f>
        <v>467.04</v>
      </c>
      <c r="AB93" s="10">
        <f>((AB87*Assumption!$C$40)+('Coal Cost'!AB92*(1-Assumption!$C$40)))</f>
        <v>467.04</v>
      </c>
    </row>
    <row r="94" spans="1:28" s="4" customFormat="1">
      <c r="A94" s="37" t="s">
        <v>20</v>
      </c>
      <c r="B94" s="50"/>
      <c r="C94" s="27"/>
      <c r="D94" s="27"/>
      <c r="E94" s="28">
        <f>E93+E83</f>
        <v>0</v>
      </c>
      <c r="F94" s="28">
        <f t="shared" ref="F94:AB94" si="471">F93+F83</f>
        <v>2296.8397</v>
      </c>
      <c r="G94" s="28">
        <f t="shared" si="471"/>
        <v>2296.8397</v>
      </c>
      <c r="H94" s="28">
        <f t="shared" si="471"/>
        <v>2296.8397</v>
      </c>
      <c r="I94" s="28">
        <f t="shared" si="471"/>
        <v>2296.8397</v>
      </c>
      <c r="J94" s="28">
        <f t="shared" si="471"/>
        <v>2296.8397</v>
      </c>
      <c r="K94" s="28">
        <f t="shared" si="471"/>
        <v>2296.8397</v>
      </c>
      <c r="L94" s="28">
        <f t="shared" si="471"/>
        <v>2296.8397</v>
      </c>
      <c r="M94" s="28">
        <f t="shared" si="471"/>
        <v>2296.8397</v>
      </c>
      <c r="N94" s="28">
        <f t="shared" si="471"/>
        <v>2296.8397</v>
      </c>
      <c r="O94" s="28">
        <f t="shared" si="471"/>
        <v>2296.8397</v>
      </c>
      <c r="P94" s="28">
        <f t="shared" si="471"/>
        <v>2296.8397</v>
      </c>
      <c r="Q94" s="28">
        <f t="shared" si="471"/>
        <v>2296.8397</v>
      </c>
      <c r="R94" s="28">
        <f t="shared" si="471"/>
        <v>2296.8397</v>
      </c>
      <c r="S94" s="28">
        <f t="shared" si="471"/>
        <v>2296.8397</v>
      </c>
      <c r="T94" s="28">
        <f t="shared" si="471"/>
        <v>2296.8397</v>
      </c>
      <c r="U94" s="28">
        <f t="shared" si="471"/>
        <v>2296.8397</v>
      </c>
      <c r="V94" s="28">
        <f t="shared" si="471"/>
        <v>2296.8397</v>
      </c>
      <c r="W94" s="28">
        <f t="shared" si="471"/>
        <v>2296.8397</v>
      </c>
      <c r="X94" s="28">
        <f t="shared" si="471"/>
        <v>2296.8397</v>
      </c>
      <c r="Y94" s="28">
        <f t="shared" si="471"/>
        <v>2296.8397</v>
      </c>
      <c r="Z94" s="28">
        <f t="shared" si="471"/>
        <v>2296.8397</v>
      </c>
      <c r="AA94" s="28">
        <f t="shared" si="471"/>
        <v>2296.8397</v>
      </c>
      <c r="AB94" s="28">
        <f t="shared" si="471"/>
        <v>2296.8397</v>
      </c>
    </row>
    <row r="95" spans="1:28" s="2" customFormat="1">
      <c r="A95" s="13" t="s">
        <v>27</v>
      </c>
      <c r="B95" s="54">
        <f>Assumption!C35</f>
        <v>3200</v>
      </c>
      <c r="C95" s="34"/>
      <c r="D95" s="34"/>
      <c r="E95" s="24">
        <f>B95</f>
        <v>3200</v>
      </c>
      <c r="F95" s="24">
        <f>E95</f>
        <v>3200</v>
      </c>
      <c r="G95" s="24">
        <f t="shared" ref="G95:AB95" si="472">F95</f>
        <v>3200</v>
      </c>
      <c r="H95" s="24">
        <f t="shared" si="472"/>
        <v>3200</v>
      </c>
      <c r="I95" s="24">
        <f t="shared" si="472"/>
        <v>3200</v>
      </c>
      <c r="J95" s="24">
        <f t="shared" si="472"/>
        <v>3200</v>
      </c>
      <c r="K95" s="24">
        <f t="shared" si="472"/>
        <v>3200</v>
      </c>
      <c r="L95" s="24">
        <f t="shared" si="472"/>
        <v>3200</v>
      </c>
      <c r="M95" s="24">
        <f t="shared" si="472"/>
        <v>3200</v>
      </c>
      <c r="N95" s="24">
        <f t="shared" si="472"/>
        <v>3200</v>
      </c>
      <c r="O95" s="24">
        <f t="shared" si="472"/>
        <v>3200</v>
      </c>
      <c r="P95" s="24">
        <f t="shared" si="472"/>
        <v>3200</v>
      </c>
      <c r="Q95" s="24">
        <f t="shared" si="472"/>
        <v>3200</v>
      </c>
      <c r="R95" s="24">
        <f t="shared" si="472"/>
        <v>3200</v>
      </c>
      <c r="S95" s="24">
        <f t="shared" si="472"/>
        <v>3200</v>
      </c>
      <c r="T95" s="24">
        <f t="shared" si="472"/>
        <v>3200</v>
      </c>
      <c r="U95" s="24">
        <f t="shared" si="472"/>
        <v>3200</v>
      </c>
      <c r="V95" s="24">
        <f t="shared" si="472"/>
        <v>3200</v>
      </c>
      <c r="W95" s="24">
        <f t="shared" si="472"/>
        <v>3200</v>
      </c>
      <c r="X95" s="24">
        <f t="shared" si="472"/>
        <v>3200</v>
      </c>
      <c r="Y95" s="24">
        <f t="shared" si="472"/>
        <v>3200</v>
      </c>
      <c r="Z95" s="24">
        <f t="shared" si="472"/>
        <v>3200</v>
      </c>
      <c r="AA95" s="24">
        <f t="shared" si="472"/>
        <v>3200</v>
      </c>
      <c r="AB95" s="24">
        <f t="shared" si="472"/>
        <v>3200</v>
      </c>
    </row>
    <row r="96" spans="1:28" s="2" customFormat="1">
      <c r="A96" s="77" t="s">
        <v>28</v>
      </c>
      <c r="B96" s="48"/>
      <c r="C96" s="34"/>
      <c r="D96" s="34"/>
      <c r="E96" s="85">
        <f>E94/E95</f>
        <v>0</v>
      </c>
      <c r="F96" s="85">
        <f t="shared" ref="F96" si="473">F94/F95</f>
        <v>0.71776240624999998</v>
      </c>
      <c r="G96" s="85">
        <f t="shared" ref="G96" si="474">G94/G95</f>
        <v>0.71776240624999998</v>
      </c>
      <c r="H96" s="85">
        <f t="shared" ref="H96" si="475">H94/H95</f>
        <v>0.71776240624999998</v>
      </c>
      <c r="I96" s="85">
        <f t="shared" ref="I96" si="476">I94/I95</f>
        <v>0.71776240624999998</v>
      </c>
      <c r="J96" s="85">
        <f t="shared" ref="J96" si="477">J94/J95</f>
        <v>0.71776240624999998</v>
      </c>
      <c r="K96" s="85">
        <f t="shared" ref="K96" si="478">K94/K95</f>
        <v>0.71776240624999998</v>
      </c>
      <c r="L96" s="85">
        <f t="shared" ref="L96" si="479">L94/L95</f>
        <v>0.71776240624999998</v>
      </c>
      <c r="M96" s="85">
        <f t="shared" ref="M96" si="480">M94/M95</f>
        <v>0.71776240624999998</v>
      </c>
      <c r="N96" s="85">
        <f t="shared" ref="N96" si="481">N94/N95</f>
        <v>0.71776240624999998</v>
      </c>
      <c r="O96" s="85">
        <f t="shared" ref="O96" si="482">O94/O95</f>
        <v>0.71776240624999998</v>
      </c>
      <c r="P96" s="85">
        <f t="shared" ref="P96" si="483">P94/P95</f>
        <v>0.71776240624999998</v>
      </c>
      <c r="Q96" s="85">
        <f t="shared" ref="Q96" si="484">Q94/Q95</f>
        <v>0.71776240624999998</v>
      </c>
      <c r="R96" s="85">
        <f t="shared" ref="R96" si="485">R94/R95</f>
        <v>0.71776240624999998</v>
      </c>
      <c r="S96" s="85">
        <f t="shared" ref="S96" si="486">S94/S95</f>
        <v>0.71776240624999998</v>
      </c>
      <c r="T96" s="85">
        <f t="shared" ref="T96" si="487">T94/T95</f>
        <v>0.71776240624999998</v>
      </c>
      <c r="U96" s="85">
        <f t="shared" ref="U96" si="488">U94/U95</f>
        <v>0.71776240624999998</v>
      </c>
      <c r="V96" s="85">
        <f t="shared" ref="V96" si="489">V94/V95</f>
        <v>0.71776240624999998</v>
      </c>
      <c r="W96" s="85">
        <f t="shared" ref="W96" si="490">W94/W95</f>
        <v>0.71776240624999998</v>
      </c>
      <c r="X96" s="85">
        <f t="shared" ref="X96" si="491">X94/X95</f>
        <v>0.71776240624999998</v>
      </c>
      <c r="Y96" s="85">
        <f t="shared" ref="Y96" si="492">Y94/Y95</f>
        <v>0.71776240624999998</v>
      </c>
      <c r="Z96" s="85">
        <f t="shared" ref="Z96" si="493">Z94/Z95</f>
        <v>0.71776240624999998</v>
      </c>
      <c r="AA96" s="85">
        <f t="shared" ref="AA96" si="494">AA94/AA95</f>
        <v>0.71776240624999998</v>
      </c>
      <c r="AB96" s="85">
        <f t="shared" ref="AB96" si="495">AB94/AB95</f>
        <v>0.71776240624999998</v>
      </c>
    </row>
    <row r="97" spans="1:28" s="2" customFormat="1">
      <c r="A97" s="81" t="s">
        <v>47</v>
      </c>
      <c r="B97" s="82">
        <f>Assumption!C8</f>
        <v>2325</v>
      </c>
      <c r="C97" s="34"/>
      <c r="D97" s="34"/>
      <c r="E97" s="86">
        <f>B97</f>
        <v>2325</v>
      </c>
      <c r="F97" s="86">
        <f>E97*(1+Assumption!$C$9)</f>
        <v>2325</v>
      </c>
      <c r="G97" s="86">
        <f>F97*(1+Assumption!$C$9)</f>
        <v>2325</v>
      </c>
      <c r="H97" s="86">
        <f>G97*(1+Assumption!$C$9)</f>
        <v>2325</v>
      </c>
      <c r="I97" s="86">
        <f>H97*(1+Assumption!$C$9)</f>
        <v>2325</v>
      </c>
      <c r="J97" s="86">
        <f>I97*(1+Assumption!$C$9)</f>
        <v>2325</v>
      </c>
      <c r="K97" s="86">
        <f>J97*(1+Assumption!$C$9)</f>
        <v>2325</v>
      </c>
      <c r="L97" s="86">
        <f>K97*(1+Assumption!$C$9)</f>
        <v>2325</v>
      </c>
      <c r="M97" s="86">
        <f>L97*(1+Assumption!$C$9)</f>
        <v>2325</v>
      </c>
      <c r="N97" s="86">
        <f>M97*(1+Assumption!$C$9)</f>
        <v>2325</v>
      </c>
      <c r="O97" s="86">
        <f>N97*(1+Assumption!$C$9)</f>
        <v>2325</v>
      </c>
      <c r="P97" s="86">
        <f>O97*(1+Assumption!$C$9)</f>
        <v>2325</v>
      </c>
      <c r="Q97" s="86">
        <f>P97*(1+Assumption!$C$9)</f>
        <v>2325</v>
      </c>
      <c r="R97" s="86">
        <f>Q97*(1+Assumption!$C$9)</f>
        <v>2325</v>
      </c>
      <c r="S97" s="86">
        <f>R97*(1+Assumption!$C$9)</f>
        <v>2325</v>
      </c>
      <c r="T97" s="86">
        <f>S97*(1+Assumption!$C$9)</f>
        <v>2325</v>
      </c>
      <c r="U97" s="86">
        <f>T97*(1+Assumption!$C$9)</f>
        <v>2325</v>
      </c>
      <c r="V97" s="86">
        <f>U97*(1+Assumption!$C$9)</f>
        <v>2325</v>
      </c>
      <c r="W97" s="86">
        <f>V97*(1+Assumption!$C$9)</f>
        <v>2325</v>
      </c>
      <c r="X97" s="86">
        <f>W97*(1+Assumption!$C$9)</f>
        <v>2325</v>
      </c>
      <c r="Y97" s="86">
        <f>X97*(1+Assumption!$C$9)</f>
        <v>2325</v>
      </c>
      <c r="Z97" s="86">
        <f>Y97*(1+Assumption!$C$9)</f>
        <v>2325</v>
      </c>
      <c r="AA97" s="86">
        <f>Z97*(1+Assumption!$C$9)</f>
        <v>2325</v>
      </c>
      <c r="AB97" s="86">
        <f>AA97*(1+Assumption!$C$9)</f>
        <v>2325</v>
      </c>
    </row>
    <row r="98" spans="1:28" s="2" customFormat="1">
      <c r="A98" s="77" t="s">
        <v>48</v>
      </c>
      <c r="B98" s="83">
        <f>Assumption!C10</f>
        <v>5.7500000000000002E-2</v>
      </c>
      <c r="C98" s="34"/>
      <c r="D98" s="34"/>
      <c r="E98" s="87">
        <f>B98</f>
        <v>5.7500000000000002E-2</v>
      </c>
      <c r="F98" s="87">
        <f>E98</f>
        <v>5.7500000000000002E-2</v>
      </c>
      <c r="G98" s="87">
        <f t="shared" ref="G98:AB98" si="496">F98</f>
        <v>5.7500000000000002E-2</v>
      </c>
      <c r="H98" s="87">
        <f t="shared" si="496"/>
        <v>5.7500000000000002E-2</v>
      </c>
      <c r="I98" s="87">
        <f t="shared" si="496"/>
        <v>5.7500000000000002E-2</v>
      </c>
      <c r="J98" s="87">
        <f t="shared" si="496"/>
        <v>5.7500000000000002E-2</v>
      </c>
      <c r="K98" s="87">
        <f t="shared" si="496"/>
        <v>5.7500000000000002E-2</v>
      </c>
      <c r="L98" s="87">
        <f t="shared" si="496"/>
        <v>5.7500000000000002E-2</v>
      </c>
      <c r="M98" s="87">
        <f t="shared" si="496"/>
        <v>5.7500000000000002E-2</v>
      </c>
      <c r="N98" s="87">
        <f t="shared" si="496"/>
        <v>5.7500000000000002E-2</v>
      </c>
      <c r="O98" s="87">
        <f t="shared" si="496"/>
        <v>5.7500000000000002E-2</v>
      </c>
      <c r="P98" s="87">
        <f t="shared" si="496"/>
        <v>5.7500000000000002E-2</v>
      </c>
      <c r="Q98" s="87">
        <f t="shared" si="496"/>
        <v>5.7500000000000002E-2</v>
      </c>
      <c r="R98" s="87">
        <f t="shared" si="496"/>
        <v>5.7500000000000002E-2</v>
      </c>
      <c r="S98" s="87">
        <f t="shared" si="496"/>
        <v>5.7500000000000002E-2</v>
      </c>
      <c r="T98" s="87">
        <f t="shared" si="496"/>
        <v>5.7500000000000002E-2</v>
      </c>
      <c r="U98" s="87">
        <f t="shared" si="496"/>
        <v>5.7500000000000002E-2</v>
      </c>
      <c r="V98" s="87">
        <f t="shared" si="496"/>
        <v>5.7500000000000002E-2</v>
      </c>
      <c r="W98" s="87">
        <f t="shared" si="496"/>
        <v>5.7500000000000002E-2</v>
      </c>
      <c r="X98" s="87">
        <f t="shared" si="496"/>
        <v>5.7500000000000002E-2</v>
      </c>
      <c r="Y98" s="87">
        <f t="shared" si="496"/>
        <v>5.7500000000000002E-2</v>
      </c>
      <c r="Z98" s="87">
        <f t="shared" si="496"/>
        <v>5.7500000000000002E-2</v>
      </c>
      <c r="AA98" s="87">
        <f t="shared" si="496"/>
        <v>5.7500000000000002E-2</v>
      </c>
      <c r="AB98" s="87">
        <f t="shared" si="496"/>
        <v>5.7500000000000002E-2</v>
      </c>
    </row>
    <row r="99" spans="1:28" s="2" customFormat="1" ht="15.75" thickBot="1">
      <c r="A99" s="42" t="s">
        <v>49</v>
      </c>
      <c r="B99" s="55"/>
      <c r="C99" s="89"/>
      <c r="D99" s="89"/>
      <c r="E99" s="88">
        <f>(E96*E97/1000)/(1-E98)</f>
        <v>0</v>
      </c>
      <c r="F99" s="88">
        <f t="shared" ref="F99" si="497">(F96*F97/1000)/(1-F98)</f>
        <v>1.7706075273541115</v>
      </c>
      <c r="G99" s="88">
        <f t="shared" ref="G99" si="498">(G96*G97/1000)/(1-G98)</f>
        <v>1.7706075273541115</v>
      </c>
      <c r="H99" s="88">
        <f t="shared" ref="H99" si="499">(H96*H97/1000)/(1-H98)</f>
        <v>1.7706075273541115</v>
      </c>
      <c r="I99" s="88">
        <f t="shared" ref="I99" si="500">(I96*I97/1000)/(1-I98)</f>
        <v>1.7706075273541115</v>
      </c>
      <c r="J99" s="88">
        <f t="shared" ref="J99" si="501">(J96*J97/1000)/(1-J98)</f>
        <v>1.7706075273541115</v>
      </c>
      <c r="K99" s="88">
        <f t="shared" ref="K99" si="502">(K96*K97/1000)/(1-K98)</f>
        <v>1.7706075273541115</v>
      </c>
      <c r="L99" s="88">
        <f t="shared" ref="L99" si="503">(L96*L97/1000)/(1-L98)</f>
        <v>1.7706075273541115</v>
      </c>
      <c r="M99" s="88">
        <f t="shared" ref="M99" si="504">(M96*M97/1000)/(1-M98)</f>
        <v>1.7706075273541115</v>
      </c>
      <c r="N99" s="88">
        <f t="shared" ref="N99" si="505">(N96*N97/1000)/(1-N98)</f>
        <v>1.7706075273541115</v>
      </c>
      <c r="O99" s="88">
        <f t="shared" ref="O99" si="506">(O96*O97/1000)/(1-O98)</f>
        <v>1.7706075273541115</v>
      </c>
      <c r="P99" s="88">
        <f t="shared" ref="P99" si="507">(P96*P97/1000)/(1-P98)</f>
        <v>1.7706075273541115</v>
      </c>
      <c r="Q99" s="88">
        <f t="shared" ref="Q99" si="508">(Q96*Q97/1000)/(1-Q98)</f>
        <v>1.7706075273541115</v>
      </c>
      <c r="R99" s="88">
        <f t="shared" ref="R99" si="509">(R96*R97/1000)/(1-R98)</f>
        <v>1.7706075273541115</v>
      </c>
      <c r="S99" s="88">
        <f t="shared" ref="S99" si="510">(S96*S97/1000)/(1-S98)</f>
        <v>1.7706075273541115</v>
      </c>
      <c r="T99" s="88">
        <f t="shared" ref="T99" si="511">(T96*T97/1000)/(1-T98)</f>
        <v>1.7706075273541115</v>
      </c>
      <c r="U99" s="88">
        <f t="shared" ref="U99" si="512">(U96*U97/1000)/(1-U98)</f>
        <v>1.7706075273541115</v>
      </c>
      <c r="V99" s="88">
        <f t="shared" ref="V99" si="513">(V96*V97/1000)/(1-V98)</f>
        <v>1.7706075273541115</v>
      </c>
      <c r="W99" s="88">
        <f t="shared" ref="W99" si="514">(W96*W97/1000)/(1-W98)</f>
        <v>1.7706075273541115</v>
      </c>
      <c r="X99" s="88">
        <f t="shared" ref="X99" si="515">(X96*X97/1000)/(1-X98)</f>
        <v>1.7706075273541115</v>
      </c>
      <c r="Y99" s="88">
        <f t="shared" ref="Y99" si="516">(Y96*Y97/1000)/(1-Y98)</f>
        <v>1.7706075273541115</v>
      </c>
      <c r="Z99" s="88">
        <f t="shared" ref="Z99" si="517">(Z96*Z97/1000)/(1-Z98)</f>
        <v>1.7706075273541115</v>
      </c>
      <c r="AA99" s="88">
        <f t="shared" ref="AA99" si="518">(AA96*AA97/1000)/(1-AA98)</f>
        <v>1.7706075273541115</v>
      </c>
      <c r="AB99" s="88">
        <f t="shared" ref="AB99" si="519">(AB96*AB97/1000)/(1-AB98)</f>
        <v>1.7706075273541115</v>
      </c>
    </row>
    <row r="100" spans="1:28" s="2" customFormat="1" ht="15.75" thickTop="1">
      <c r="A100" s="77"/>
      <c r="B100" s="48"/>
      <c r="C100" s="63"/>
      <c r="D100" s="63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>
      <c r="A101" s="63"/>
      <c r="B101" s="64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</row>
    <row r="102" spans="1:28" ht="16.5" thickBot="1">
      <c r="A102" s="90" t="s">
        <v>25</v>
      </c>
      <c r="B102" s="55"/>
      <c r="C102" s="91"/>
      <c r="D102" s="91"/>
      <c r="E102" s="91"/>
      <c r="F102" s="91"/>
      <c r="G102" s="91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</row>
    <row r="103" spans="1:28" ht="15.75" thickTop="1">
      <c r="A103" s="29" t="s">
        <v>1</v>
      </c>
      <c r="B103" s="47">
        <f>Assumption!C39</f>
        <v>0</v>
      </c>
      <c r="C103" s="30"/>
      <c r="D103" s="30"/>
      <c r="E103" s="35"/>
      <c r="F103" s="35">
        <f>Assumption!C32</f>
        <v>955</v>
      </c>
      <c r="G103" s="35">
        <f>F103*(1+$B$103)</f>
        <v>955</v>
      </c>
      <c r="H103" s="35">
        <f t="shared" ref="H103:AB103" si="520">G103*(1+$B$103)</f>
        <v>955</v>
      </c>
      <c r="I103" s="35">
        <f t="shared" si="520"/>
        <v>955</v>
      </c>
      <c r="J103" s="35">
        <f t="shared" si="520"/>
        <v>955</v>
      </c>
      <c r="K103" s="35">
        <f t="shared" si="520"/>
        <v>955</v>
      </c>
      <c r="L103" s="35">
        <f t="shared" si="520"/>
        <v>955</v>
      </c>
      <c r="M103" s="35">
        <f t="shared" si="520"/>
        <v>955</v>
      </c>
      <c r="N103" s="35">
        <f t="shared" si="520"/>
        <v>955</v>
      </c>
      <c r="O103" s="35">
        <f t="shared" si="520"/>
        <v>955</v>
      </c>
      <c r="P103" s="35">
        <f t="shared" si="520"/>
        <v>955</v>
      </c>
      <c r="Q103" s="35">
        <f t="shared" si="520"/>
        <v>955</v>
      </c>
      <c r="R103" s="35">
        <f t="shared" si="520"/>
        <v>955</v>
      </c>
      <c r="S103" s="35">
        <f t="shared" si="520"/>
        <v>955</v>
      </c>
      <c r="T103" s="35">
        <f t="shared" si="520"/>
        <v>955</v>
      </c>
      <c r="U103" s="35">
        <f t="shared" si="520"/>
        <v>955</v>
      </c>
      <c r="V103" s="35">
        <f t="shared" si="520"/>
        <v>955</v>
      </c>
      <c r="W103" s="35">
        <f t="shared" si="520"/>
        <v>955</v>
      </c>
      <c r="X103" s="35">
        <f t="shared" si="520"/>
        <v>955</v>
      </c>
      <c r="Y103" s="35">
        <f t="shared" si="520"/>
        <v>955</v>
      </c>
      <c r="Z103" s="35">
        <f t="shared" si="520"/>
        <v>955</v>
      </c>
      <c r="AA103" s="35">
        <f t="shared" si="520"/>
        <v>955</v>
      </c>
      <c r="AB103" s="35">
        <f t="shared" si="520"/>
        <v>955</v>
      </c>
    </row>
    <row r="104" spans="1:28">
      <c r="A104" s="29" t="s">
        <v>26</v>
      </c>
      <c r="B104" s="47">
        <f>Assumption!C39</f>
        <v>0</v>
      </c>
      <c r="C104" s="30"/>
      <c r="D104" s="30"/>
      <c r="E104" s="35"/>
      <c r="F104" s="35">
        <f>F103*Assumption!C34</f>
        <v>0</v>
      </c>
      <c r="G104" s="35">
        <f>F104*(1+$B$104)</f>
        <v>0</v>
      </c>
      <c r="H104" s="35">
        <f t="shared" ref="H104:AB104" si="521">G104*(1+$B$104)</f>
        <v>0</v>
      </c>
      <c r="I104" s="35">
        <f t="shared" si="521"/>
        <v>0</v>
      </c>
      <c r="J104" s="35">
        <f t="shared" si="521"/>
        <v>0</v>
      </c>
      <c r="K104" s="35">
        <f t="shared" si="521"/>
        <v>0</v>
      </c>
      <c r="L104" s="35">
        <f t="shared" si="521"/>
        <v>0</v>
      </c>
      <c r="M104" s="35">
        <f t="shared" si="521"/>
        <v>0</v>
      </c>
      <c r="N104" s="35">
        <f t="shared" si="521"/>
        <v>0</v>
      </c>
      <c r="O104" s="35">
        <f t="shared" si="521"/>
        <v>0</v>
      </c>
      <c r="P104" s="35">
        <f t="shared" si="521"/>
        <v>0</v>
      </c>
      <c r="Q104" s="35">
        <f t="shared" si="521"/>
        <v>0</v>
      </c>
      <c r="R104" s="35">
        <f t="shared" si="521"/>
        <v>0</v>
      </c>
      <c r="S104" s="35">
        <f t="shared" si="521"/>
        <v>0</v>
      </c>
      <c r="T104" s="35">
        <f t="shared" si="521"/>
        <v>0</v>
      </c>
      <c r="U104" s="35">
        <f t="shared" si="521"/>
        <v>0</v>
      </c>
      <c r="V104" s="35">
        <f t="shared" si="521"/>
        <v>0</v>
      </c>
      <c r="W104" s="35">
        <f t="shared" si="521"/>
        <v>0</v>
      </c>
      <c r="X104" s="35">
        <f t="shared" si="521"/>
        <v>0</v>
      </c>
      <c r="Y104" s="35">
        <f t="shared" si="521"/>
        <v>0</v>
      </c>
      <c r="Z104" s="35">
        <f t="shared" si="521"/>
        <v>0</v>
      </c>
      <c r="AA104" s="35">
        <f t="shared" si="521"/>
        <v>0</v>
      </c>
      <c r="AB104" s="35">
        <f t="shared" si="521"/>
        <v>0</v>
      </c>
    </row>
    <row r="105" spans="1:28">
      <c r="A105" s="29" t="s">
        <v>2</v>
      </c>
      <c r="B105" s="47">
        <f>B9</f>
        <v>0.18479999999999999</v>
      </c>
      <c r="C105" s="31"/>
      <c r="D105" s="31"/>
      <c r="E105" s="36"/>
      <c r="F105" s="36">
        <f t="shared" ref="F105:AB105" si="522">(F103+F104)*$B$105</f>
        <v>176.48399999999998</v>
      </c>
      <c r="G105" s="36">
        <f t="shared" si="522"/>
        <v>176.48399999999998</v>
      </c>
      <c r="H105" s="36">
        <f t="shared" si="522"/>
        <v>176.48399999999998</v>
      </c>
      <c r="I105" s="36">
        <f t="shared" si="522"/>
        <v>176.48399999999998</v>
      </c>
      <c r="J105" s="36">
        <f t="shared" si="522"/>
        <v>176.48399999999998</v>
      </c>
      <c r="K105" s="36">
        <f t="shared" si="522"/>
        <v>176.48399999999998</v>
      </c>
      <c r="L105" s="36">
        <f t="shared" si="522"/>
        <v>176.48399999999998</v>
      </c>
      <c r="M105" s="36">
        <f t="shared" si="522"/>
        <v>176.48399999999998</v>
      </c>
      <c r="N105" s="36">
        <f t="shared" si="522"/>
        <v>176.48399999999998</v>
      </c>
      <c r="O105" s="36">
        <f t="shared" si="522"/>
        <v>176.48399999999998</v>
      </c>
      <c r="P105" s="36">
        <f t="shared" si="522"/>
        <v>176.48399999999998</v>
      </c>
      <c r="Q105" s="36">
        <f t="shared" si="522"/>
        <v>176.48399999999998</v>
      </c>
      <c r="R105" s="36">
        <f t="shared" si="522"/>
        <v>176.48399999999998</v>
      </c>
      <c r="S105" s="36">
        <f t="shared" si="522"/>
        <v>176.48399999999998</v>
      </c>
      <c r="T105" s="36">
        <f t="shared" si="522"/>
        <v>176.48399999999998</v>
      </c>
      <c r="U105" s="36">
        <f t="shared" si="522"/>
        <v>176.48399999999998</v>
      </c>
      <c r="V105" s="36">
        <f t="shared" si="522"/>
        <v>176.48399999999998</v>
      </c>
      <c r="W105" s="36">
        <f t="shared" si="522"/>
        <v>176.48399999999998</v>
      </c>
      <c r="X105" s="36">
        <f t="shared" si="522"/>
        <v>176.48399999999998</v>
      </c>
      <c r="Y105" s="36">
        <f t="shared" si="522"/>
        <v>176.48399999999998</v>
      </c>
      <c r="Z105" s="36">
        <f t="shared" si="522"/>
        <v>176.48399999999998</v>
      </c>
      <c r="AA105" s="36">
        <f t="shared" si="522"/>
        <v>176.48399999999998</v>
      </c>
      <c r="AB105" s="36">
        <f t="shared" si="522"/>
        <v>176.48399999999998</v>
      </c>
    </row>
    <row r="106" spans="1:28">
      <c r="A106" s="29" t="s">
        <v>3</v>
      </c>
      <c r="B106" s="48"/>
      <c r="C106" s="31"/>
      <c r="D106" s="31"/>
      <c r="E106" s="36"/>
      <c r="F106" s="36">
        <v>50</v>
      </c>
      <c r="G106" s="36">
        <v>50</v>
      </c>
      <c r="H106" s="36">
        <v>50</v>
      </c>
      <c r="I106" s="36">
        <v>50</v>
      </c>
      <c r="J106" s="36">
        <v>50</v>
      </c>
      <c r="K106" s="36">
        <v>50</v>
      </c>
      <c r="L106" s="36">
        <v>50</v>
      </c>
      <c r="M106" s="36">
        <v>50</v>
      </c>
      <c r="N106" s="36">
        <v>50</v>
      </c>
      <c r="O106" s="36">
        <v>50</v>
      </c>
      <c r="P106" s="36">
        <v>50</v>
      </c>
      <c r="Q106" s="36">
        <v>50</v>
      </c>
      <c r="R106" s="36">
        <v>50</v>
      </c>
      <c r="S106" s="36">
        <v>50</v>
      </c>
      <c r="T106" s="36">
        <v>50</v>
      </c>
      <c r="U106" s="36">
        <v>50</v>
      </c>
      <c r="V106" s="36">
        <v>50</v>
      </c>
      <c r="W106" s="36">
        <v>50</v>
      </c>
      <c r="X106" s="36">
        <v>50</v>
      </c>
      <c r="Y106" s="36">
        <v>50</v>
      </c>
      <c r="Z106" s="36">
        <v>50</v>
      </c>
      <c r="AA106" s="36">
        <v>50</v>
      </c>
      <c r="AB106" s="36">
        <v>50</v>
      </c>
    </row>
    <row r="107" spans="1:28">
      <c r="A107" s="29" t="s">
        <v>4</v>
      </c>
      <c r="B107" s="48"/>
      <c r="C107" s="31"/>
      <c r="D107" s="31"/>
      <c r="E107" s="36"/>
      <c r="F107" s="36">
        <f>(51+79+100)/3</f>
        <v>76.666666666666671</v>
      </c>
      <c r="G107" s="36">
        <f>(51+79+100)/3</f>
        <v>76.666666666666671</v>
      </c>
      <c r="H107" s="36">
        <f t="shared" ref="H107:AB107" si="523">(51+79+100)/3</f>
        <v>76.666666666666671</v>
      </c>
      <c r="I107" s="36">
        <f t="shared" si="523"/>
        <v>76.666666666666671</v>
      </c>
      <c r="J107" s="36">
        <f t="shared" si="523"/>
        <v>76.666666666666671</v>
      </c>
      <c r="K107" s="36">
        <f t="shared" si="523"/>
        <v>76.666666666666671</v>
      </c>
      <c r="L107" s="36">
        <f t="shared" si="523"/>
        <v>76.666666666666671</v>
      </c>
      <c r="M107" s="36">
        <f t="shared" si="523"/>
        <v>76.666666666666671</v>
      </c>
      <c r="N107" s="36">
        <f t="shared" si="523"/>
        <v>76.666666666666671</v>
      </c>
      <c r="O107" s="36">
        <f t="shared" si="523"/>
        <v>76.666666666666671</v>
      </c>
      <c r="P107" s="36">
        <f t="shared" si="523"/>
        <v>76.666666666666671</v>
      </c>
      <c r="Q107" s="36">
        <f t="shared" si="523"/>
        <v>76.666666666666671</v>
      </c>
      <c r="R107" s="36">
        <f t="shared" si="523"/>
        <v>76.666666666666671</v>
      </c>
      <c r="S107" s="36">
        <f t="shared" si="523"/>
        <v>76.666666666666671</v>
      </c>
      <c r="T107" s="36">
        <f t="shared" si="523"/>
        <v>76.666666666666671</v>
      </c>
      <c r="U107" s="36">
        <f t="shared" si="523"/>
        <v>76.666666666666671</v>
      </c>
      <c r="V107" s="36">
        <f t="shared" si="523"/>
        <v>76.666666666666671</v>
      </c>
      <c r="W107" s="36">
        <f t="shared" si="523"/>
        <v>76.666666666666671</v>
      </c>
      <c r="X107" s="36">
        <f t="shared" si="523"/>
        <v>76.666666666666671</v>
      </c>
      <c r="Y107" s="36">
        <f t="shared" si="523"/>
        <v>76.666666666666671</v>
      </c>
      <c r="Z107" s="36">
        <f t="shared" si="523"/>
        <v>76.666666666666671</v>
      </c>
      <c r="AA107" s="36">
        <f t="shared" si="523"/>
        <v>76.666666666666671</v>
      </c>
      <c r="AB107" s="36">
        <f t="shared" si="523"/>
        <v>76.666666666666671</v>
      </c>
    </row>
    <row r="108" spans="1:28">
      <c r="A108" s="29" t="s">
        <v>5</v>
      </c>
      <c r="B108" s="48"/>
      <c r="C108" s="31"/>
      <c r="D108" s="31"/>
      <c r="E108" s="36"/>
      <c r="F108" s="36">
        <f>(57+116)/2</f>
        <v>86.5</v>
      </c>
      <c r="G108" s="36">
        <f>(57+116)/2</f>
        <v>86.5</v>
      </c>
      <c r="H108" s="36">
        <f t="shared" ref="H108:AB108" si="524">(57+116)/2</f>
        <v>86.5</v>
      </c>
      <c r="I108" s="36">
        <f t="shared" si="524"/>
        <v>86.5</v>
      </c>
      <c r="J108" s="36">
        <f t="shared" si="524"/>
        <v>86.5</v>
      </c>
      <c r="K108" s="36">
        <f t="shared" si="524"/>
        <v>86.5</v>
      </c>
      <c r="L108" s="36">
        <f t="shared" si="524"/>
        <v>86.5</v>
      </c>
      <c r="M108" s="36">
        <f t="shared" si="524"/>
        <v>86.5</v>
      </c>
      <c r="N108" s="36">
        <f t="shared" si="524"/>
        <v>86.5</v>
      </c>
      <c r="O108" s="36">
        <f t="shared" si="524"/>
        <v>86.5</v>
      </c>
      <c r="P108" s="36">
        <f t="shared" si="524"/>
        <v>86.5</v>
      </c>
      <c r="Q108" s="36">
        <f t="shared" si="524"/>
        <v>86.5</v>
      </c>
      <c r="R108" s="36">
        <f t="shared" si="524"/>
        <v>86.5</v>
      </c>
      <c r="S108" s="36">
        <f t="shared" si="524"/>
        <v>86.5</v>
      </c>
      <c r="T108" s="36">
        <f t="shared" si="524"/>
        <v>86.5</v>
      </c>
      <c r="U108" s="36">
        <f t="shared" si="524"/>
        <v>86.5</v>
      </c>
      <c r="V108" s="36">
        <f t="shared" si="524"/>
        <v>86.5</v>
      </c>
      <c r="W108" s="36">
        <f t="shared" si="524"/>
        <v>86.5</v>
      </c>
      <c r="X108" s="36">
        <f t="shared" si="524"/>
        <v>86.5</v>
      </c>
      <c r="Y108" s="36">
        <f t="shared" si="524"/>
        <v>86.5</v>
      </c>
      <c r="Z108" s="36">
        <f t="shared" si="524"/>
        <v>86.5</v>
      </c>
      <c r="AA108" s="36">
        <f t="shared" si="524"/>
        <v>86.5</v>
      </c>
      <c r="AB108" s="36">
        <f t="shared" si="524"/>
        <v>86.5</v>
      </c>
    </row>
    <row r="109" spans="1:28">
      <c r="A109" s="29" t="s">
        <v>6</v>
      </c>
      <c r="B109" s="48"/>
      <c r="C109" s="31"/>
      <c r="D109" s="31"/>
      <c r="E109" s="36"/>
      <c r="F109" s="36">
        <f>(F103+F107)*0.2%</f>
        <v>2.0633333333333335</v>
      </c>
      <c r="G109" s="36">
        <f>(G103+G107)*0.2%</f>
        <v>2.0633333333333335</v>
      </c>
      <c r="H109" s="36">
        <f t="shared" ref="H109:AB109" si="525">(H103+H107)*0.2%</f>
        <v>2.0633333333333335</v>
      </c>
      <c r="I109" s="36">
        <f t="shared" si="525"/>
        <v>2.0633333333333335</v>
      </c>
      <c r="J109" s="36">
        <f t="shared" si="525"/>
        <v>2.0633333333333335</v>
      </c>
      <c r="K109" s="36">
        <f t="shared" si="525"/>
        <v>2.0633333333333335</v>
      </c>
      <c r="L109" s="36">
        <f t="shared" si="525"/>
        <v>2.0633333333333335</v>
      </c>
      <c r="M109" s="36">
        <f t="shared" si="525"/>
        <v>2.0633333333333335</v>
      </c>
      <c r="N109" s="36">
        <f t="shared" si="525"/>
        <v>2.0633333333333335</v>
      </c>
      <c r="O109" s="36">
        <f t="shared" si="525"/>
        <v>2.0633333333333335</v>
      </c>
      <c r="P109" s="36">
        <f t="shared" si="525"/>
        <v>2.0633333333333335</v>
      </c>
      <c r="Q109" s="36">
        <f t="shared" si="525"/>
        <v>2.0633333333333335</v>
      </c>
      <c r="R109" s="36">
        <f t="shared" si="525"/>
        <v>2.0633333333333335</v>
      </c>
      <c r="S109" s="36">
        <f t="shared" si="525"/>
        <v>2.0633333333333335</v>
      </c>
      <c r="T109" s="36">
        <f t="shared" si="525"/>
        <v>2.0633333333333335</v>
      </c>
      <c r="U109" s="36">
        <f t="shared" si="525"/>
        <v>2.0633333333333335</v>
      </c>
      <c r="V109" s="36">
        <f t="shared" si="525"/>
        <v>2.0633333333333335</v>
      </c>
      <c r="W109" s="36">
        <f t="shared" si="525"/>
        <v>2.0633333333333335</v>
      </c>
      <c r="X109" s="36">
        <f t="shared" si="525"/>
        <v>2.0633333333333335</v>
      </c>
      <c r="Y109" s="36">
        <f t="shared" si="525"/>
        <v>2.0633333333333335</v>
      </c>
      <c r="Z109" s="36">
        <f t="shared" si="525"/>
        <v>2.0633333333333335</v>
      </c>
      <c r="AA109" s="36">
        <f t="shared" si="525"/>
        <v>2.0633333333333335</v>
      </c>
      <c r="AB109" s="36">
        <f t="shared" si="525"/>
        <v>2.0633333333333335</v>
      </c>
    </row>
    <row r="110" spans="1:28">
      <c r="A110" s="29" t="s">
        <v>7</v>
      </c>
      <c r="B110" s="48"/>
      <c r="C110" s="31"/>
      <c r="D110" s="31"/>
      <c r="E110" s="35"/>
      <c r="F110" s="35">
        <v>7.5</v>
      </c>
      <c r="G110" s="35">
        <v>7.5</v>
      </c>
      <c r="H110" s="35">
        <v>7.5</v>
      </c>
      <c r="I110" s="35">
        <v>7.5</v>
      </c>
      <c r="J110" s="35">
        <v>7.5</v>
      </c>
      <c r="K110" s="35">
        <v>7.5</v>
      </c>
      <c r="L110" s="35">
        <v>7.5</v>
      </c>
      <c r="M110" s="35">
        <v>7.5</v>
      </c>
      <c r="N110" s="35">
        <v>7.5</v>
      </c>
      <c r="O110" s="35">
        <v>7.5</v>
      </c>
      <c r="P110" s="35">
        <v>7.5</v>
      </c>
      <c r="Q110" s="35">
        <v>7.5</v>
      </c>
      <c r="R110" s="35">
        <v>7.5</v>
      </c>
      <c r="S110" s="35">
        <v>7.5</v>
      </c>
      <c r="T110" s="35">
        <v>7.5</v>
      </c>
      <c r="U110" s="35">
        <v>7.5</v>
      </c>
      <c r="V110" s="35">
        <v>7.5</v>
      </c>
      <c r="W110" s="35">
        <v>7.5</v>
      </c>
      <c r="X110" s="35">
        <v>7.5</v>
      </c>
      <c r="Y110" s="35">
        <v>7.5</v>
      </c>
      <c r="Z110" s="35">
        <v>7.5</v>
      </c>
      <c r="AA110" s="35">
        <v>7.5</v>
      </c>
      <c r="AB110" s="35">
        <v>7.5</v>
      </c>
    </row>
    <row r="111" spans="1:28">
      <c r="A111" s="29" t="s">
        <v>8</v>
      </c>
      <c r="B111" s="48"/>
      <c r="C111" s="31"/>
      <c r="D111" s="31"/>
      <c r="E111" s="35"/>
      <c r="F111" s="35">
        <v>7.5</v>
      </c>
      <c r="G111" s="35">
        <v>7.5</v>
      </c>
      <c r="H111" s="35">
        <v>7.5</v>
      </c>
      <c r="I111" s="35">
        <v>7.5</v>
      </c>
      <c r="J111" s="35">
        <v>7.5</v>
      </c>
      <c r="K111" s="35">
        <v>7.5</v>
      </c>
      <c r="L111" s="35">
        <v>7.5</v>
      </c>
      <c r="M111" s="35">
        <v>7.5</v>
      </c>
      <c r="N111" s="35">
        <v>7.5</v>
      </c>
      <c r="O111" s="35">
        <v>7.5</v>
      </c>
      <c r="P111" s="35">
        <v>7.5</v>
      </c>
      <c r="Q111" s="35">
        <v>7.5</v>
      </c>
      <c r="R111" s="35">
        <v>7.5</v>
      </c>
      <c r="S111" s="35">
        <v>7.5</v>
      </c>
      <c r="T111" s="35">
        <v>7.5</v>
      </c>
      <c r="U111" s="35">
        <v>7.5</v>
      </c>
      <c r="V111" s="35">
        <v>7.5</v>
      </c>
      <c r="W111" s="35">
        <v>7.5</v>
      </c>
      <c r="X111" s="35">
        <v>7.5</v>
      </c>
      <c r="Y111" s="35">
        <v>7.5</v>
      </c>
      <c r="Z111" s="35">
        <v>7.5</v>
      </c>
      <c r="AA111" s="35">
        <v>7.5</v>
      </c>
      <c r="AB111" s="35">
        <v>7.5</v>
      </c>
    </row>
    <row r="112" spans="1:28" s="4" customFormat="1">
      <c r="A112" s="37" t="s">
        <v>9</v>
      </c>
      <c r="B112" s="50"/>
      <c r="C112" s="9"/>
      <c r="D112" s="9"/>
      <c r="E112" s="10"/>
      <c r="F112" s="10">
        <f>SUM(F103:F111)</f>
        <v>1361.7139999999999</v>
      </c>
      <c r="G112" s="10">
        <f>SUM(G103:G111)</f>
        <v>1361.7139999999999</v>
      </c>
      <c r="H112" s="10">
        <f t="shared" ref="H112" si="526">SUM(H103:H111)</f>
        <v>1361.7139999999999</v>
      </c>
      <c r="I112" s="10">
        <f t="shared" ref="I112" si="527">SUM(I103:I111)</f>
        <v>1361.7139999999999</v>
      </c>
      <c r="J112" s="10">
        <f t="shared" ref="J112" si="528">SUM(J103:J111)</f>
        <v>1361.7139999999999</v>
      </c>
      <c r="K112" s="10">
        <f t="shared" ref="K112" si="529">SUM(K103:K111)</f>
        <v>1361.7139999999999</v>
      </c>
      <c r="L112" s="10">
        <f t="shared" ref="L112" si="530">SUM(L103:L111)</f>
        <v>1361.7139999999999</v>
      </c>
      <c r="M112" s="10">
        <f t="shared" ref="M112" si="531">SUM(M103:M111)</f>
        <v>1361.7139999999999</v>
      </c>
      <c r="N112" s="10">
        <f t="shared" ref="N112" si="532">SUM(N103:N111)</f>
        <v>1361.7139999999999</v>
      </c>
      <c r="O112" s="10">
        <f t="shared" ref="O112" si="533">SUM(O103:O111)</f>
        <v>1361.7139999999999</v>
      </c>
      <c r="P112" s="10">
        <f t="shared" ref="P112" si="534">SUM(P103:P111)</f>
        <v>1361.7139999999999</v>
      </c>
      <c r="Q112" s="10">
        <f t="shared" ref="Q112" si="535">SUM(Q103:Q111)</f>
        <v>1361.7139999999999</v>
      </c>
      <c r="R112" s="10">
        <f t="shared" ref="R112" si="536">SUM(R103:R111)</f>
        <v>1361.7139999999999</v>
      </c>
      <c r="S112" s="10">
        <f t="shared" ref="S112" si="537">SUM(S103:S111)</f>
        <v>1361.7139999999999</v>
      </c>
      <c r="T112" s="10">
        <f t="shared" ref="T112" si="538">SUM(T103:T111)</f>
        <v>1361.7139999999999</v>
      </c>
      <c r="U112" s="10">
        <f t="shared" ref="U112" si="539">SUM(U103:U111)</f>
        <v>1361.7139999999999</v>
      </c>
      <c r="V112" s="10">
        <f t="shared" ref="V112" si="540">SUM(V103:V111)</f>
        <v>1361.7139999999999</v>
      </c>
      <c r="W112" s="10">
        <f t="shared" ref="W112" si="541">SUM(W103:W111)</f>
        <v>1361.7139999999999</v>
      </c>
      <c r="X112" s="10">
        <f t="shared" ref="X112" si="542">SUM(X103:X111)</f>
        <v>1361.7139999999999</v>
      </c>
      <c r="Y112" s="10">
        <f t="shared" ref="Y112" si="543">SUM(Y103:Y111)</f>
        <v>1361.7139999999999</v>
      </c>
      <c r="Z112" s="10">
        <f t="shared" ref="Z112" si="544">SUM(Z103:Z111)</f>
        <v>1361.7139999999999</v>
      </c>
      <c r="AA112" s="10">
        <f t="shared" ref="AA112" si="545">SUM(AA103:AA111)</f>
        <v>1361.7139999999999</v>
      </c>
      <c r="AB112" s="10">
        <f t="shared" ref="AB112" si="546">SUM(AB103:AB111)</f>
        <v>1361.7139999999999</v>
      </c>
    </row>
    <row r="113" spans="1:28">
      <c r="A113" s="29" t="s">
        <v>10</v>
      </c>
      <c r="B113" s="48"/>
      <c r="C113" s="31"/>
      <c r="D113" s="31"/>
      <c r="E113" s="35"/>
      <c r="F113" s="35">
        <f>F112*5%</f>
        <v>68.085700000000003</v>
      </c>
      <c r="G113" s="35">
        <f>G112*5%</f>
        <v>68.085700000000003</v>
      </c>
      <c r="H113" s="35">
        <f t="shared" ref="H113" si="547">H112*5%</f>
        <v>68.085700000000003</v>
      </c>
      <c r="I113" s="35">
        <f t="shared" ref="I113" si="548">I112*5%</f>
        <v>68.085700000000003</v>
      </c>
      <c r="J113" s="35">
        <f t="shared" ref="J113" si="549">J112*5%</f>
        <v>68.085700000000003</v>
      </c>
      <c r="K113" s="35">
        <f t="shared" ref="K113" si="550">K112*5%</f>
        <v>68.085700000000003</v>
      </c>
      <c r="L113" s="35">
        <f t="shared" ref="L113" si="551">L112*5%</f>
        <v>68.085700000000003</v>
      </c>
      <c r="M113" s="35">
        <f t="shared" ref="M113" si="552">M112*5%</f>
        <v>68.085700000000003</v>
      </c>
      <c r="N113" s="35">
        <f t="shared" ref="N113" si="553">N112*5%</f>
        <v>68.085700000000003</v>
      </c>
      <c r="O113" s="35">
        <f t="shared" ref="O113" si="554">O112*5%</f>
        <v>68.085700000000003</v>
      </c>
      <c r="P113" s="35">
        <f t="shared" ref="P113" si="555">P112*5%</f>
        <v>68.085700000000003</v>
      </c>
      <c r="Q113" s="35">
        <f t="shared" ref="Q113" si="556">Q112*5%</f>
        <v>68.085700000000003</v>
      </c>
      <c r="R113" s="35">
        <f t="shared" ref="R113" si="557">R112*5%</f>
        <v>68.085700000000003</v>
      </c>
      <c r="S113" s="35">
        <f t="shared" ref="S113" si="558">S112*5%</f>
        <v>68.085700000000003</v>
      </c>
      <c r="T113" s="35">
        <f t="shared" ref="T113" si="559">T112*5%</f>
        <v>68.085700000000003</v>
      </c>
      <c r="U113" s="35">
        <f t="shared" ref="U113" si="560">U112*5%</f>
        <v>68.085700000000003</v>
      </c>
      <c r="V113" s="35">
        <f t="shared" ref="V113" si="561">V112*5%</f>
        <v>68.085700000000003</v>
      </c>
      <c r="W113" s="35">
        <f t="shared" ref="W113" si="562">W112*5%</f>
        <v>68.085700000000003</v>
      </c>
      <c r="X113" s="35">
        <f t="shared" ref="X113" si="563">X112*5%</f>
        <v>68.085700000000003</v>
      </c>
      <c r="Y113" s="35">
        <f t="shared" ref="Y113" si="564">Y112*5%</f>
        <v>68.085700000000003</v>
      </c>
      <c r="Z113" s="35">
        <f t="shared" ref="Z113" si="565">Z112*5%</f>
        <v>68.085700000000003</v>
      </c>
      <c r="AA113" s="35">
        <f t="shared" ref="AA113" si="566">AA112*5%</f>
        <v>68.085700000000003</v>
      </c>
      <c r="AB113" s="35">
        <f t="shared" ref="AB113" si="567">AB112*5%</f>
        <v>68.085700000000003</v>
      </c>
    </row>
    <row r="114" spans="1:28">
      <c r="A114" s="29" t="s">
        <v>11</v>
      </c>
      <c r="B114" s="48"/>
      <c r="C114" s="31"/>
      <c r="D114" s="31"/>
      <c r="E114" s="35"/>
      <c r="F114" s="35">
        <v>400</v>
      </c>
      <c r="G114" s="35">
        <v>400</v>
      </c>
      <c r="H114" s="35">
        <v>400</v>
      </c>
      <c r="I114" s="35">
        <v>400</v>
      </c>
      <c r="J114" s="35">
        <v>400</v>
      </c>
      <c r="K114" s="35">
        <v>400</v>
      </c>
      <c r="L114" s="35">
        <v>400</v>
      </c>
      <c r="M114" s="35">
        <v>400</v>
      </c>
      <c r="N114" s="35">
        <v>400</v>
      </c>
      <c r="O114" s="35">
        <v>400</v>
      </c>
      <c r="P114" s="35">
        <v>400</v>
      </c>
      <c r="Q114" s="35">
        <v>400</v>
      </c>
      <c r="R114" s="35">
        <v>400</v>
      </c>
      <c r="S114" s="35">
        <v>400</v>
      </c>
      <c r="T114" s="35">
        <v>400</v>
      </c>
      <c r="U114" s="35">
        <v>400</v>
      </c>
      <c r="V114" s="35">
        <v>400</v>
      </c>
      <c r="W114" s="35">
        <v>400</v>
      </c>
      <c r="X114" s="35">
        <v>400</v>
      </c>
      <c r="Y114" s="35">
        <v>400</v>
      </c>
      <c r="Z114" s="35">
        <v>400</v>
      </c>
      <c r="AA114" s="35">
        <v>400</v>
      </c>
      <c r="AB114" s="35">
        <v>400</v>
      </c>
    </row>
    <row r="115" spans="1:28" s="4" customFormat="1">
      <c r="A115" s="37" t="s">
        <v>12</v>
      </c>
      <c r="B115" s="50"/>
      <c r="C115" s="9"/>
      <c r="D115" s="9"/>
      <c r="E115" s="10"/>
      <c r="F115" s="10">
        <f>SUM(F112:F114)</f>
        <v>1829.7997</v>
      </c>
      <c r="G115" s="10">
        <f>SUM(G112:G114)</f>
        <v>1829.7997</v>
      </c>
      <c r="H115" s="10">
        <f t="shared" ref="H115" si="568">SUM(H112:H114)</f>
        <v>1829.7997</v>
      </c>
      <c r="I115" s="10">
        <f t="shared" ref="I115" si="569">SUM(I112:I114)</f>
        <v>1829.7997</v>
      </c>
      <c r="J115" s="10">
        <f t="shared" ref="J115" si="570">SUM(J112:J114)</f>
        <v>1829.7997</v>
      </c>
      <c r="K115" s="10">
        <f t="shared" ref="K115" si="571">SUM(K112:K114)</f>
        <v>1829.7997</v>
      </c>
      <c r="L115" s="10">
        <f t="shared" ref="L115" si="572">SUM(L112:L114)</f>
        <v>1829.7997</v>
      </c>
      <c r="M115" s="10">
        <f t="shared" ref="M115" si="573">SUM(M112:M114)</f>
        <v>1829.7997</v>
      </c>
      <c r="N115" s="10">
        <f t="shared" ref="N115" si="574">SUM(N112:N114)</f>
        <v>1829.7997</v>
      </c>
      <c r="O115" s="10">
        <f t="shared" ref="O115" si="575">SUM(O112:O114)</f>
        <v>1829.7997</v>
      </c>
      <c r="P115" s="10">
        <f t="shared" ref="P115" si="576">SUM(P112:P114)</f>
        <v>1829.7997</v>
      </c>
      <c r="Q115" s="10">
        <f t="shared" ref="Q115" si="577">SUM(Q112:Q114)</f>
        <v>1829.7997</v>
      </c>
      <c r="R115" s="10">
        <f t="shared" ref="R115" si="578">SUM(R112:R114)</f>
        <v>1829.7997</v>
      </c>
      <c r="S115" s="10">
        <f t="shared" ref="S115" si="579">SUM(S112:S114)</f>
        <v>1829.7997</v>
      </c>
      <c r="T115" s="10">
        <f t="shared" ref="T115" si="580">SUM(T112:T114)</f>
        <v>1829.7997</v>
      </c>
      <c r="U115" s="10">
        <f t="shared" ref="U115" si="581">SUM(U112:U114)</f>
        <v>1829.7997</v>
      </c>
      <c r="V115" s="10">
        <f t="shared" ref="V115" si="582">SUM(V112:V114)</f>
        <v>1829.7997</v>
      </c>
      <c r="W115" s="10">
        <f t="shared" ref="W115" si="583">SUM(W112:W114)</f>
        <v>1829.7997</v>
      </c>
      <c r="X115" s="10">
        <f t="shared" ref="X115" si="584">SUM(X112:X114)</f>
        <v>1829.7997</v>
      </c>
      <c r="Y115" s="10">
        <f t="shared" ref="Y115" si="585">SUM(Y112:Y114)</f>
        <v>1829.7997</v>
      </c>
      <c r="Z115" s="10">
        <f t="shared" ref="Z115" si="586">SUM(Z112:Z114)</f>
        <v>1829.7997</v>
      </c>
      <c r="AA115" s="10">
        <f t="shared" ref="AA115" si="587">SUM(AA112:AA114)</f>
        <v>1829.7997</v>
      </c>
      <c r="AB115" s="10">
        <f t="shared" ref="AB115" si="588">SUM(AB112:AB114)</f>
        <v>1829.7997</v>
      </c>
    </row>
    <row r="116" spans="1:28">
      <c r="A116" s="38" t="s">
        <v>13</v>
      </c>
      <c r="B116" s="51"/>
      <c r="C116" s="32"/>
      <c r="D116" s="32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  <row r="117" spans="1:28">
      <c r="A117" s="39" t="s">
        <v>14</v>
      </c>
      <c r="B117" s="47">
        <f>Assumption!C39</f>
        <v>0</v>
      </c>
      <c r="C117" s="33"/>
      <c r="D117" s="33"/>
      <c r="E117" s="36">
        <f>E85</f>
        <v>0</v>
      </c>
      <c r="F117" s="36">
        <f>F21</f>
        <v>389.6</v>
      </c>
      <c r="G117" s="36">
        <f>F117*(1+$B$117)</f>
        <v>389.6</v>
      </c>
      <c r="H117" s="36">
        <f t="shared" ref="H117:AB117" si="589">G117*(1+$B$117)</f>
        <v>389.6</v>
      </c>
      <c r="I117" s="36">
        <f t="shared" si="589"/>
        <v>389.6</v>
      </c>
      <c r="J117" s="36">
        <f t="shared" si="589"/>
        <v>389.6</v>
      </c>
      <c r="K117" s="36">
        <f t="shared" si="589"/>
        <v>389.6</v>
      </c>
      <c r="L117" s="36">
        <f t="shared" si="589"/>
        <v>389.6</v>
      </c>
      <c r="M117" s="36">
        <f t="shared" si="589"/>
        <v>389.6</v>
      </c>
      <c r="N117" s="36">
        <f t="shared" si="589"/>
        <v>389.6</v>
      </c>
      <c r="O117" s="36">
        <f t="shared" si="589"/>
        <v>389.6</v>
      </c>
      <c r="P117" s="36">
        <f t="shared" si="589"/>
        <v>389.6</v>
      </c>
      <c r="Q117" s="36">
        <f t="shared" si="589"/>
        <v>389.6</v>
      </c>
      <c r="R117" s="36">
        <f t="shared" si="589"/>
        <v>389.6</v>
      </c>
      <c r="S117" s="36">
        <f t="shared" si="589"/>
        <v>389.6</v>
      </c>
      <c r="T117" s="36">
        <f t="shared" si="589"/>
        <v>389.6</v>
      </c>
      <c r="U117" s="36">
        <f t="shared" si="589"/>
        <v>389.6</v>
      </c>
      <c r="V117" s="36">
        <f t="shared" si="589"/>
        <v>389.6</v>
      </c>
      <c r="W117" s="36">
        <f t="shared" si="589"/>
        <v>389.6</v>
      </c>
      <c r="X117" s="36">
        <f t="shared" si="589"/>
        <v>389.6</v>
      </c>
      <c r="Y117" s="36">
        <f t="shared" si="589"/>
        <v>389.6</v>
      </c>
      <c r="Z117" s="36">
        <f t="shared" si="589"/>
        <v>389.6</v>
      </c>
      <c r="AA117" s="36">
        <f t="shared" si="589"/>
        <v>389.6</v>
      </c>
      <c r="AB117" s="36">
        <f t="shared" si="589"/>
        <v>389.6</v>
      </c>
    </row>
    <row r="118" spans="1:28">
      <c r="A118" s="39" t="s">
        <v>10</v>
      </c>
      <c r="B118" s="48"/>
      <c r="C118" s="34"/>
      <c r="D118" s="34"/>
      <c r="E118" s="36">
        <f>SUM(E117:E117)*5%</f>
        <v>0</v>
      </c>
      <c r="F118" s="36">
        <f>SUM(F117:F117)*5%</f>
        <v>19.480000000000004</v>
      </c>
      <c r="G118" s="36">
        <f>SUM(G117:G117)*5%</f>
        <v>19.480000000000004</v>
      </c>
      <c r="H118" s="36">
        <f t="shared" ref="H118" si="590">SUM(H117:H117)*5%</f>
        <v>19.480000000000004</v>
      </c>
      <c r="I118" s="36">
        <f t="shared" ref="I118" si="591">SUM(I117:I117)*5%</f>
        <v>19.480000000000004</v>
      </c>
      <c r="J118" s="36">
        <f t="shared" ref="J118" si="592">SUM(J117:J117)*5%</f>
        <v>19.480000000000004</v>
      </c>
      <c r="K118" s="36">
        <f t="shared" ref="K118" si="593">SUM(K117:K117)*5%</f>
        <v>19.480000000000004</v>
      </c>
      <c r="L118" s="36">
        <f t="shared" ref="L118" si="594">SUM(L117:L117)*5%</f>
        <v>19.480000000000004</v>
      </c>
      <c r="M118" s="36">
        <f t="shared" ref="M118" si="595">SUM(M117:M117)*5%</f>
        <v>19.480000000000004</v>
      </c>
      <c r="N118" s="36">
        <f t="shared" ref="N118" si="596">SUM(N117:N117)*5%</f>
        <v>19.480000000000004</v>
      </c>
      <c r="O118" s="36">
        <f t="shared" ref="O118" si="597">SUM(O117:O117)*5%</f>
        <v>19.480000000000004</v>
      </c>
      <c r="P118" s="36">
        <f t="shared" ref="P118" si="598">SUM(P117:P117)*5%</f>
        <v>19.480000000000004</v>
      </c>
      <c r="Q118" s="36">
        <f t="shared" ref="Q118" si="599">SUM(Q117:Q117)*5%</f>
        <v>19.480000000000004</v>
      </c>
      <c r="R118" s="36">
        <f t="shared" ref="R118" si="600">SUM(R117:R117)*5%</f>
        <v>19.480000000000004</v>
      </c>
      <c r="S118" s="36">
        <f t="shared" ref="S118" si="601">SUM(S117:S117)*5%</f>
        <v>19.480000000000004</v>
      </c>
      <c r="T118" s="36">
        <f t="shared" ref="T118" si="602">SUM(T117:T117)*5%</f>
        <v>19.480000000000004</v>
      </c>
      <c r="U118" s="36">
        <f t="shared" ref="U118" si="603">SUM(U117:U117)*5%</f>
        <v>19.480000000000004</v>
      </c>
      <c r="V118" s="36">
        <f t="shared" ref="V118" si="604">SUM(V117:V117)*5%</f>
        <v>19.480000000000004</v>
      </c>
      <c r="W118" s="36">
        <f t="shared" ref="W118" si="605">SUM(W117:W117)*5%</f>
        <v>19.480000000000004</v>
      </c>
      <c r="X118" s="36">
        <f t="shared" ref="X118" si="606">SUM(X117:X117)*5%</f>
        <v>19.480000000000004</v>
      </c>
      <c r="Y118" s="36">
        <f t="shared" ref="Y118" si="607">SUM(Y117:Y117)*5%</f>
        <v>19.480000000000004</v>
      </c>
      <c r="Z118" s="36">
        <f t="shared" ref="Z118" si="608">SUM(Z117:Z117)*5%</f>
        <v>19.480000000000004</v>
      </c>
      <c r="AA118" s="36">
        <f t="shared" ref="AA118" si="609">SUM(AA117:AA117)*5%</f>
        <v>19.480000000000004</v>
      </c>
      <c r="AB118" s="36">
        <f t="shared" ref="AB118" si="610">SUM(AB117:AB117)*5%</f>
        <v>19.480000000000004</v>
      </c>
    </row>
    <row r="119" spans="1:28" s="4" customFormat="1">
      <c r="A119" s="37" t="s">
        <v>15</v>
      </c>
      <c r="B119" s="50"/>
      <c r="C119" s="9"/>
      <c r="D119" s="9"/>
      <c r="E119" s="10">
        <f>SUM(E117:E118)</f>
        <v>0</v>
      </c>
      <c r="F119" s="10">
        <f>SUM(F117:F118)</f>
        <v>409.08000000000004</v>
      </c>
      <c r="G119" s="10">
        <f>SUM(G117:G118)</f>
        <v>409.08000000000004</v>
      </c>
      <c r="H119" s="10">
        <f t="shared" ref="H119" si="611">SUM(H117:H118)</f>
        <v>409.08000000000004</v>
      </c>
      <c r="I119" s="10">
        <f t="shared" ref="I119" si="612">SUM(I117:I118)</f>
        <v>409.08000000000004</v>
      </c>
      <c r="J119" s="10">
        <f t="shared" ref="J119" si="613">SUM(J117:J118)</f>
        <v>409.08000000000004</v>
      </c>
      <c r="K119" s="10">
        <f t="shared" ref="K119" si="614">SUM(K117:K118)</f>
        <v>409.08000000000004</v>
      </c>
      <c r="L119" s="10">
        <f t="shared" ref="L119" si="615">SUM(L117:L118)</f>
        <v>409.08000000000004</v>
      </c>
      <c r="M119" s="10">
        <f t="shared" ref="M119" si="616">SUM(M117:M118)</f>
        <v>409.08000000000004</v>
      </c>
      <c r="N119" s="10">
        <f t="shared" ref="N119" si="617">SUM(N117:N118)</f>
        <v>409.08000000000004</v>
      </c>
      <c r="O119" s="10">
        <f t="shared" ref="O119" si="618">SUM(O117:O118)</f>
        <v>409.08000000000004</v>
      </c>
      <c r="P119" s="10">
        <f t="shared" ref="P119" si="619">SUM(P117:P118)</f>
        <v>409.08000000000004</v>
      </c>
      <c r="Q119" s="10">
        <f t="shared" ref="Q119" si="620">SUM(Q117:Q118)</f>
        <v>409.08000000000004</v>
      </c>
      <c r="R119" s="10">
        <f t="shared" ref="R119" si="621">SUM(R117:R118)</f>
        <v>409.08000000000004</v>
      </c>
      <c r="S119" s="10">
        <f t="shared" ref="S119" si="622">SUM(S117:S118)</f>
        <v>409.08000000000004</v>
      </c>
      <c r="T119" s="10">
        <f t="shared" ref="T119" si="623">SUM(T117:T118)</f>
        <v>409.08000000000004</v>
      </c>
      <c r="U119" s="10">
        <f t="shared" ref="U119" si="624">SUM(U117:U118)</f>
        <v>409.08000000000004</v>
      </c>
      <c r="V119" s="10">
        <f t="shared" ref="V119" si="625">SUM(V117:V118)</f>
        <v>409.08000000000004</v>
      </c>
      <c r="W119" s="10">
        <f t="shared" ref="W119" si="626">SUM(W117:W118)</f>
        <v>409.08000000000004</v>
      </c>
      <c r="X119" s="10">
        <f t="shared" ref="X119" si="627">SUM(X117:X118)</f>
        <v>409.08000000000004</v>
      </c>
      <c r="Y119" s="10">
        <f t="shared" ref="Y119" si="628">SUM(Y117:Y118)</f>
        <v>409.08000000000004</v>
      </c>
      <c r="Z119" s="10">
        <f t="shared" ref="Z119" si="629">SUM(Z117:Z118)</f>
        <v>409.08000000000004</v>
      </c>
      <c r="AA119" s="10">
        <f t="shared" ref="AA119" si="630">SUM(AA117:AA118)</f>
        <v>409.08000000000004</v>
      </c>
      <c r="AB119" s="10">
        <f t="shared" ref="AB119" si="631">SUM(AB117:AB118)</f>
        <v>409.08000000000004</v>
      </c>
    </row>
    <row r="120" spans="1:28" hidden="1">
      <c r="A120" s="39" t="s">
        <v>16</v>
      </c>
      <c r="B120" s="47">
        <f>Assumption!C39</f>
        <v>0</v>
      </c>
      <c r="C120" s="33"/>
      <c r="D120" s="33"/>
      <c r="E120" s="36">
        <f>E88</f>
        <v>0</v>
      </c>
      <c r="F120" s="36">
        <f>E120*(1+$B$24)</f>
        <v>0</v>
      </c>
      <c r="G120" s="36">
        <f>F120*(1+$B$24)</f>
        <v>0</v>
      </c>
      <c r="H120" s="36">
        <f t="shared" ref="H120:AB120" si="632">G120*(1+$B$24)</f>
        <v>0</v>
      </c>
      <c r="I120" s="36">
        <f t="shared" si="632"/>
        <v>0</v>
      </c>
      <c r="J120" s="36">
        <f t="shared" si="632"/>
        <v>0</v>
      </c>
      <c r="K120" s="36">
        <f t="shared" si="632"/>
        <v>0</v>
      </c>
      <c r="L120" s="36">
        <f t="shared" si="632"/>
        <v>0</v>
      </c>
      <c r="M120" s="36">
        <f t="shared" si="632"/>
        <v>0</v>
      </c>
      <c r="N120" s="36">
        <f t="shared" si="632"/>
        <v>0</v>
      </c>
      <c r="O120" s="36">
        <f t="shared" si="632"/>
        <v>0</v>
      </c>
      <c r="P120" s="36">
        <f t="shared" si="632"/>
        <v>0</v>
      </c>
      <c r="Q120" s="36">
        <f t="shared" si="632"/>
        <v>0</v>
      </c>
      <c r="R120" s="36">
        <f t="shared" si="632"/>
        <v>0</v>
      </c>
      <c r="S120" s="36">
        <f t="shared" si="632"/>
        <v>0</v>
      </c>
      <c r="T120" s="36">
        <f t="shared" si="632"/>
        <v>0</v>
      </c>
      <c r="U120" s="36">
        <f t="shared" si="632"/>
        <v>0</v>
      </c>
      <c r="V120" s="36">
        <f t="shared" si="632"/>
        <v>0</v>
      </c>
      <c r="W120" s="36">
        <f t="shared" si="632"/>
        <v>0</v>
      </c>
      <c r="X120" s="36">
        <f t="shared" si="632"/>
        <v>0</v>
      </c>
      <c r="Y120" s="36">
        <f t="shared" si="632"/>
        <v>0</v>
      </c>
      <c r="Z120" s="36">
        <f t="shared" si="632"/>
        <v>0</v>
      </c>
      <c r="AA120" s="36">
        <f t="shared" si="632"/>
        <v>0</v>
      </c>
      <c r="AB120" s="36">
        <f t="shared" si="632"/>
        <v>0</v>
      </c>
    </row>
    <row r="121" spans="1:28" hidden="1">
      <c r="A121" s="39" t="s">
        <v>10</v>
      </c>
      <c r="B121" s="48"/>
      <c r="C121" s="34"/>
      <c r="D121" s="34"/>
      <c r="E121" s="36">
        <f>E120*18%</f>
        <v>0</v>
      </c>
      <c r="F121" s="36">
        <f>F120*18%</f>
        <v>0</v>
      </c>
      <c r="G121" s="36">
        <f>G120*18%</f>
        <v>0</v>
      </c>
      <c r="H121" s="36">
        <f t="shared" ref="H121" si="633">H120*18%</f>
        <v>0</v>
      </c>
      <c r="I121" s="36">
        <f t="shared" ref="I121" si="634">I120*18%</f>
        <v>0</v>
      </c>
      <c r="J121" s="36">
        <f t="shared" ref="J121" si="635">J120*18%</f>
        <v>0</v>
      </c>
      <c r="K121" s="36">
        <f t="shared" ref="K121" si="636">K120*18%</f>
        <v>0</v>
      </c>
      <c r="L121" s="36">
        <f t="shared" ref="L121" si="637">L120*18%</f>
        <v>0</v>
      </c>
      <c r="M121" s="36">
        <f t="shared" ref="M121" si="638">M120*18%</f>
        <v>0</v>
      </c>
      <c r="N121" s="36">
        <f t="shared" ref="N121" si="639">N120*18%</f>
        <v>0</v>
      </c>
      <c r="O121" s="36">
        <f t="shared" ref="O121" si="640">O120*18%</f>
        <v>0</v>
      </c>
      <c r="P121" s="36">
        <f t="shared" ref="P121" si="641">P120*18%</f>
        <v>0</v>
      </c>
      <c r="Q121" s="36">
        <f t="shared" ref="Q121" si="642">Q120*18%</f>
        <v>0</v>
      </c>
      <c r="R121" s="36">
        <f t="shared" ref="R121" si="643">R120*18%</f>
        <v>0</v>
      </c>
      <c r="S121" s="36">
        <f t="shared" ref="S121" si="644">S120*18%</f>
        <v>0</v>
      </c>
      <c r="T121" s="36">
        <f t="shared" ref="T121" si="645">T120*18%</f>
        <v>0</v>
      </c>
      <c r="U121" s="36">
        <f t="shared" ref="U121" si="646">U120*18%</f>
        <v>0</v>
      </c>
      <c r="V121" s="36">
        <f t="shared" ref="V121" si="647">V120*18%</f>
        <v>0</v>
      </c>
      <c r="W121" s="36">
        <f t="shared" ref="W121" si="648">W120*18%</f>
        <v>0</v>
      </c>
      <c r="X121" s="36">
        <f t="shared" ref="X121" si="649">X120*18%</f>
        <v>0</v>
      </c>
      <c r="Y121" s="36">
        <f t="shared" ref="Y121" si="650">Y120*18%</f>
        <v>0</v>
      </c>
      <c r="Z121" s="36">
        <f t="shared" ref="Z121" si="651">Z120*18%</f>
        <v>0</v>
      </c>
      <c r="AA121" s="36">
        <f t="shared" ref="AA121" si="652">AA120*18%</f>
        <v>0</v>
      </c>
      <c r="AB121" s="36">
        <f t="shared" ref="AB121" si="653">AB120*18%</f>
        <v>0</v>
      </c>
    </row>
    <row r="122" spans="1:28">
      <c r="A122" s="39" t="s">
        <v>17</v>
      </c>
      <c r="B122" s="47">
        <f>Assumption!C39</f>
        <v>0</v>
      </c>
      <c r="C122" s="33"/>
      <c r="D122" s="33"/>
      <c r="E122" s="36">
        <f>E90</f>
        <v>0</v>
      </c>
      <c r="F122" s="36">
        <f>F26</f>
        <v>500</v>
      </c>
      <c r="G122" s="36">
        <f>F122*(1+$B$122)</f>
        <v>500</v>
      </c>
      <c r="H122" s="36">
        <f t="shared" ref="H122:AB122" si="654">G122*(1+$B$122)</f>
        <v>500</v>
      </c>
      <c r="I122" s="36">
        <f t="shared" si="654"/>
        <v>500</v>
      </c>
      <c r="J122" s="36">
        <f t="shared" si="654"/>
        <v>500</v>
      </c>
      <c r="K122" s="36">
        <f t="shared" si="654"/>
        <v>500</v>
      </c>
      <c r="L122" s="36">
        <f t="shared" si="654"/>
        <v>500</v>
      </c>
      <c r="M122" s="36">
        <f t="shared" si="654"/>
        <v>500</v>
      </c>
      <c r="N122" s="36">
        <f t="shared" si="654"/>
        <v>500</v>
      </c>
      <c r="O122" s="36">
        <f t="shared" si="654"/>
        <v>500</v>
      </c>
      <c r="P122" s="36">
        <f t="shared" si="654"/>
        <v>500</v>
      </c>
      <c r="Q122" s="36">
        <f t="shared" si="654"/>
        <v>500</v>
      </c>
      <c r="R122" s="36">
        <f t="shared" si="654"/>
        <v>500</v>
      </c>
      <c r="S122" s="36">
        <f t="shared" si="654"/>
        <v>500</v>
      </c>
      <c r="T122" s="36">
        <f t="shared" si="654"/>
        <v>500</v>
      </c>
      <c r="U122" s="36">
        <f t="shared" si="654"/>
        <v>500</v>
      </c>
      <c r="V122" s="36">
        <f t="shared" si="654"/>
        <v>500</v>
      </c>
      <c r="W122" s="36">
        <f t="shared" si="654"/>
        <v>500</v>
      </c>
      <c r="X122" s="36">
        <f t="shared" si="654"/>
        <v>500</v>
      </c>
      <c r="Y122" s="36">
        <f t="shared" si="654"/>
        <v>500</v>
      </c>
      <c r="Z122" s="36">
        <f t="shared" si="654"/>
        <v>500</v>
      </c>
      <c r="AA122" s="36">
        <f t="shared" si="654"/>
        <v>500</v>
      </c>
      <c r="AB122" s="36">
        <f t="shared" si="654"/>
        <v>500</v>
      </c>
    </row>
    <row r="123" spans="1:28">
      <c r="A123" s="39" t="s">
        <v>10</v>
      </c>
      <c r="B123" s="48"/>
      <c r="C123" s="34"/>
      <c r="D123" s="34"/>
      <c r="E123" s="36">
        <f>E122*5%</f>
        <v>0</v>
      </c>
      <c r="F123" s="36">
        <f>F122*5%</f>
        <v>25</v>
      </c>
      <c r="G123" s="36">
        <f>G122*5%</f>
        <v>25</v>
      </c>
      <c r="H123" s="36">
        <f t="shared" ref="H123" si="655">H122*5%</f>
        <v>25</v>
      </c>
      <c r="I123" s="36">
        <f t="shared" ref="I123" si="656">I122*5%</f>
        <v>25</v>
      </c>
      <c r="J123" s="36">
        <f t="shared" ref="J123" si="657">J122*5%</f>
        <v>25</v>
      </c>
      <c r="K123" s="36">
        <f t="shared" ref="K123" si="658">K122*5%</f>
        <v>25</v>
      </c>
      <c r="L123" s="36">
        <f t="shared" ref="L123" si="659">L122*5%</f>
        <v>25</v>
      </c>
      <c r="M123" s="36">
        <f t="shared" ref="M123" si="660">M122*5%</f>
        <v>25</v>
      </c>
      <c r="N123" s="36">
        <f t="shared" ref="N123" si="661">N122*5%</f>
        <v>25</v>
      </c>
      <c r="O123" s="36">
        <f t="shared" ref="O123" si="662">O122*5%</f>
        <v>25</v>
      </c>
      <c r="P123" s="36">
        <f t="shared" ref="P123" si="663">P122*5%</f>
        <v>25</v>
      </c>
      <c r="Q123" s="36">
        <f t="shared" ref="Q123" si="664">Q122*5%</f>
        <v>25</v>
      </c>
      <c r="R123" s="36">
        <f t="shared" ref="R123" si="665">R122*5%</f>
        <v>25</v>
      </c>
      <c r="S123" s="36">
        <f t="shared" ref="S123" si="666">S122*5%</f>
        <v>25</v>
      </c>
      <c r="T123" s="36">
        <f t="shared" ref="T123" si="667">T122*5%</f>
        <v>25</v>
      </c>
      <c r="U123" s="36">
        <f t="shared" ref="U123" si="668">U122*5%</f>
        <v>25</v>
      </c>
      <c r="V123" s="36">
        <f t="shared" ref="V123" si="669">V122*5%</f>
        <v>25</v>
      </c>
      <c r="W123" s="36">
        <f t="shared" ref="W123" si="670">W122*5%</f>
        <v>25</v>
      </c>
      <c r="X123" s="36">
        <f t="shared" ref="X123" si="671">X122*5%</f>
        <v>25</v>
      </c>
      <c r="Y123" s="36">
        <f t="shared" ref="Y123" si="672">Y122*5%</f>
        <v>25</v>
      </c>
      <c r="Z123" s="36">
        <f t="shared" ref="Z123" si="673">Z122*5%</f>
        <v>25</v>
      </c>
      <c r="AA123" s="36">
        <f t="shared" ref="AA123" si="674">AA122*5%</f>
        <v>25</v>
      </c>
      <c r="AB123" s="36">
        <f t="shared" ref="AB123" si="675">AB122*5%</f>
        <v>25</v>
      </c>
    </row>
    <row r="124" spans="1:28" s="4" customFormat="1">
      <c r="A124" s="37" t="s">
        <v>18</v>
      </c>
      <c r="B124" s="50"/>
      <c r="C124" s="9"/>
      <c r="D124" s="9"/>
      <c r="E124" s="10">
        <f>SUM(E120:E123)</f>
        <v>0</v>
      </c>
      <c r="F124" s="10">
        <f>SUM(F120:F123)</f>
        <v>525</v>
      </c>
      <c r="G124" s="10">
        <f>SUM(G120:G123)</f>
        <v>525</v>
      </c>
      <c r="H124" s="10">
        <f t="shared" ref="H124" si="676">SUM(H120:H123)</f>
        <v>525</v>
      </c>
      <c r="I124" s="10">
        <f t="shared" ref="I124" si="677">SUM(I120:I123)</f>
        <v>525</v>
      </c>
      <c r="J124" s="10">
        <f t="shared" ref="J124" si="678">SUM(J120:J123)</f>
        <v>525</v>
      </c>
      <c r="K124" s="10">
        <f t="shared" ref="K124" si="679">SUM(K120:K123)</f>
        <v>525</v>
      </c>
      <c r="L124" s="10">
        <f t="shared" ref="L124" si="680">SUM(L120:L123)</f>
        <v>525</v>
      </c>
      <c r="M124" s="10">
        <f t="shared" ref="M124" si="681">SUM(M120:M123)</f>
        <v>525</v>
      </c>
      <c r="N124" s="10">
        <f t="shared" ref="N124" si="682">SUM(N120:N123)</f>
        <v>525</v>
      </c>
      <c r="O124" s="10">
        <f t="shared" ref="O124" si="683">SUM(O120:O123)</f>
        <v>525</v>
      </c>
      <c r="P124" s="10">
        <f t="shared" ref="P124" si="684">SUM(P120:P123)</f>
        <v>525</v>
      </c>
      <c r="Q124" s="10">
        <f t="shared" ref="Q124" si="685">SUM(Q120:Q123)</f>
        <v>525</v>
      </c>
      <c r="R124" s="10">
        <f t="shared" ref="R124" si="686">SUM(R120:R123)</f>
        <v>525</v>
      </c>
      <c r="S124" s="10">
        <f t="shared" ref="S124" si="687">SUM(S120:S123)</f>
        <v>525</v>
      </c>
      <c r="T124" s="10">
        <f t="shared" ref="T124" si="688">SUM(T120:T123)</f>
        <v>525</v>
      </c>
      <c r="U124" s="10">
        <f t="shared" ref="U124" si="689">SUM(U120:U123)</f>
        <v>525</v>
      </c>
      <c r="V124" s="10">
        <f t="shared" ref="V124" si="690">SUM(V120:V123)</f>
        <v>525</v>
      </c>
      <c r="W124" s="10">
        <f t="shared" ref="W124" si="691">SUM(W120:W123)</f>
        <v>525</v>
      </c>
      <c r="X124" s="10">
        <f t="shared" ref="X124" si="692">SUM(X120:X123)</f>
        <v>525</v>
      </c>
      <c r="Y124" s="10">
        <f t="shared" ref="Y124" si="693">SUM(Y120:Y123)</f>
        <v>525</v>
      </c>
      <c r="Z124" s="10">
        <f t="shared" ref="Z124" si="694">SUM(Z120:Z123)</f>
        <v>525</v>
      </c>
      <c r="AA124" s="10">
        <f t="shared" ref="AA124" si="695">SUM(AA120:AA123)</f>
        <v>525</v>
      </c>
      <c r="AB124" s="10">
        <f t="shared" ref="AB124" si="696">SUM(AB120:AB123)</f>
        <v>525</v>
      </c>
    </row>
    <row r="125" spans="1:28" s="4" customFormat="1">
      <c r="A125" s="37" t="s">
        <v>19</v>
      </c>
      <c r="B125" s="50"/>
      <c r="C125" s="9"/>
      <c r="D125" s="9"/>
      <c r="E125" s="10">
        <f>E119+E124</f>
        <v>0</v>
      </c>
      <c r="F125" s="10">
        <f>((F119*Assumption!$C$40)+(F124*(1-Assumption!$C$40)))</f>
        <v>467.04</v>
      </c>
      <c r="G125" s="10">
        <f>((G119*Assumption!$C$40)+(G124*(1-Assumption!$C$40)))</f>
        <v>467.04</v>
      </c>
      <c r="H125" s="10">
        <f>((H119*Assumption!$C$40)+(H124*(1-Assumption!$C$40)))</f>
        <v>467.04</v>
      </c>
      <c r="I125" s="10">
        <f>((I119*Assumption!$C$40)+(I124*(1-Assumption!$C$40)))</f>
        <v>467.04</v>
      </c>
      <c r="J125" s="10">
        <f>((J119*Assumption!$C$40)+(J124*(1-Assumption!$C$40)))</f>
        <v>467.04</v>
      </c>
      <c r="K125" s="10">
        <f>((K119*Assumption!$C$40)+(K124*(1-Assumption!$C$40)))</f>
        <v>467.04</v>
      </c>
      <c r="L125" s="10">
        <f>((L119*Assumption!$C$40)+(L124*(1-Assumption!$C$40)))</f>
        <v>467.04</v>
      </c>
      <c r="M125" s="10">
        <f>((M119*Assumption!$C$40)+(M124*(1-Assumption!$C$40)))</f>
        <v>467.04</v>
      </c>
      <c r="N125" s="10">
        <f>((N119*Assumption!$C$40)+(N124*(1-Assumption!$C$40)))</f>
        <v>467.04</v>
      </c>
      <c r="O125" s="10">
        <f>((O119*Assumption!$C$40)+(O124*(1-Assumption!$C$40)))</f>
        <v>467.04</v>
      </c>
      <c r="P125" s="10">
        <f>((P119*Assumption!$C$40)+(P124*(1-Assumption!$C$40)))</f>
        <v>467.04</v>
      </c>
      <c r="Q125" s="10">
        <f>((Q119*Assumption!$C$40)+(Q124*(1-Assumption!$C$40)))</f>
        <v>467.04</v>
      </c>
      <c r="R125" s="10">
        <f>((R119*Assumption!$C$40)+(R124*(1-Assumption!$C$40)))</f>
        <v>467.04</v>
      </c>
      <c r="S125" s="10">
        <f>((S119*Assumption!$C$40)+(S124*(1-Assumption!$C$40)))</f>
        <v>467.04</v>
      </c>
      <c r="T125" s="10">
        <f>((T119*Assumption!$C$40)+(T124*(1-Assumption!$C$40)))</f>
        <v>467.04</v>
      </c>
      <c r="U125" s="10">
        <f>((U119*Assumption!$C$40)+(U124*(1-Assumption!$C$40)))</f>
        <v>467.04</v>
      </c>
      <c r="V125" s="10">
        <f>((V119*Assumption!$C$40)+(V124*(1-Assumption!$C$40)))</f>
        <v>467.04</v>
      </c>
      <c r="W125" s="10">
        <f>((W119*Assumption!$C$40)+(W124*(1-Assumption!$C$40)))</f>
        <v>467.04</v>
      </c>
      <c r="X125" s="10">
        <f>((X119*Assumption!$C$40)+(X124*(1-Assumption!$C$40)))</f>
        <v>467.04</v>
      </c>
      <c r="Y125" s="10">
        <f>((Y119*Assumption!$C$40)+(Y124*(1-Assumption!$C$40)))</f>
        <v>467.04</v>
      </c>
      <c r="Z125" s="10">
        <f>((Z119*Assumption!$C$40)+(Z124*(1-Assumption!$C$40)))</f>
        <v>467.04</v>
      </c>
      <c r="AA125" s="10">
        <f>((AA119*Assumption!$C$40)+(AA124*(1-Assumption!$C$40)))</f>
        <v>467.04</v>
      </c>
      <c r="AB125" s="10">
        <f>((AB119*Assumption!$C$40)+(AB124*(1-Assumption!$C$40)))</f>
        <v>467.04</v>
      </c>
    </row>
    <row r="126" spans="1:28" s="4" customFormat="1">
      <c r="A126" s="37" t="s">
        <v>20</v>
      </c>
      <c r="B126" s="50"/>
      <c r="C126" s="27"/>
      <c r="D126" s="27"/>
      <c r="E126" s="28">
        <f>E125+E115</f>
        <v>0</v>
      </c>
      <c r="F126" s="28">
        <f t="shared" ref="F126" si="697">F125+F115</f>
        <v>2296.8397</v>
      </c>
      <c r="G126" s="28">
        <f t="shared" ref="G126" si="698">G125+G115</f>
        <v>2296.8397</v>
      </c>
      <c r="H126" s="28">
        <f t="shared" ref="H126" si="699">H125+H115</f>
        <v>2296.8397</v>
      </c>
      <c r="I126" s="28">
        <f t="shared" ref="I126" si="700">I125+I115</f>
        <v>2296.8397</v>
      </c>
      <c r="J126" s="28">
        <f t="shared" ref="J126" si="701">J125+J115</f>
        <v>2296.8397</v>
      </c>
      <c r="K126" s="28">
        <f t="shared" ref="K126" si="702">K125+K115</f>
        <v>2296.8397</v>
      </c>
      <c r="L126" s="28">
        <f t="shared" ref="L126" si="703">L125+L115</f>
        <v>2296.8397</v>
      </c>
      <c r="M126" s="28">
        <f t="shared" ref="M126" si="704">M125+M115</f>
        <v>2296.8397</v>
      </c>
      <c r="N126" s="28">
        <f t="shared" ref="N126" si="705">N125+N115</f>
        <v>2296.8397</v>
      </c>
      <c r="O126" s="28">
        <f t="shared" ref="O126" si="706">O125+O115</f>
        <v>2296.8397</v>
      </c>
      <c r="P126" s="28">
        <f t="shared" ref="P126" si="707">P125+P115</f>
        <v>2296.8397</v>
      </c>
      <c r="Q126" s="28">
        <f t="shared" ref="Q126" si="708">Q125+Q115</f>
        <v>2296.8397</v>
      </c>
      <c r="R126" s="28">
        <f t="shared" ref="R126" si="709">R125+R115</f>
        <v>2296.8397</v>
      </c>
      <c r="S126" s="28">
        <f t="shared" ref="S126" si="710">S125+S115</f>
        <v>2296.8397</v>
      </c>
      <c r="T126" s="28">
        <f t="shared" ref="T126" si="711">T125+T115</f>
        <v>2296.8397</v>
      </c>
      <c r="U126" s="28">
        <f t="shared" ref="U126" si="712">U125+U115</f>
        <v>2296.8397</v>
      </c>
      <c r="V126" s="28">
        <f t="shared" ref="V126" si="713">V125+V115</f>
        <v>2296.8397</v>
      </c>
      <c r="W126" s="28">
        <f t="shared" ref="W126" si="714">W125+W115</f>
        <v>2296.8397</v>
      </c>
      <c r="X126" s="28">
        <f t="shared" ref="X126" si="715">X125+X115</f>
        <v>2296.8397</v>
      </c>
      <c r="Y126" s="28">
        <f t="shared" ref="Y126" si="716">Y125+Y115</f>
        <v>2296.8397</v>
      </c>
      <c r="Z126" s="28">
        <f t="shared" ref="Z126" si="717">Z125+Z115</f>
        <v>2296.8397</v>
      </c>
      <c r="AA126" s="28">
        <f t="shared" ref="AA126" si="718">AA125+AA115</f>
        <v>2296.8397</v>
      </c>
      <c r="AB126" s="28">
        <f t="shared" ref="AB126" si="719">AB125+AB115</f>
        <v>2296.8397</v>
      </c>
    </row>
    <row r="127" spans="1:28" s="2" customFormat="1">
      <c r="A127" s="13" t="s">
        <v>27</v>
      </c>
      <c r="B127" s="54">
        <f>Assumption!C35</f>
        <v>3200</v>
      </c>
      <c r="C127" s="34"/>
      <c r="D127" s="34"/>
      <c r="E127" s="24">
        <f>B127</f>
        <v>3200</v>
      </c>
      <c r="F127" s="24">
        <f>E127</f>
        <v>3200</v>
      </c>
      <c r="G127" s="24">
        <f t="shared" ref="G127:AB127" si="720">F127</f>
        <v>3200</v>
      </c>
      <c r="H127" s="24">
        <f t="shared" si="720"/>
        <v>3200</v>
      </c>
      <c r="I127" s="24">
        <f t="shared" si="720"/>
        <v>3200</v>
      </c>
      <c r="J127" s="24">
        <f t="shared" si="720"/>
        <v>3200</v>
      </c>
      <c r="K127" s="24">
        <f t="shared" si="720"/>
        <v>3200</v>
      </c>
      <c r="L127" s="24">
        <f t="shared" si="720"/>
        <v>3200</v>
      </c>
      <c r="M127" s="24">
        <f t="shared" si="720"/>
        <v>3200</v>
      </c>
      <c r="N127" s="24">
        <f t="shared" si="720"/>
        <v>3200</v>
      </c>
      <c r="O127" s="24">
        <f t="shared" si="720"/>
        <v>3200</v>
      </c>
      <c r="P127" s="24">
        <f t="shared" si="720"/>
        <v>3200</v>
      </c>
      <c r="Q127" s="24">
        <f t="shared" si="720"/>
        <v>3200</v>
      </c>
      <c r="R127" s="24">
        <f t="shared" si="720"/>
        <v>3200</v>
      </c>
      <c r="S127" s="24">
        <f t="shared" si="720"/>
        <v>3200</v>
      </c>
      <c r="T127" s="24">
        <f t="shared" si="720"/>
        <v>3200</v>
      </c>
      <c r="U127" s="24">
        <f t="shared" si="720"/>
        <v>3200</v>
      </c>
      <c r="V127" s="24">
        <f t="shared" si="720"/>
        <v>3200</v>
      </c>
      <c r="W127" s="24">
        <f t="shared" si="720"/>
        <v>3200</v>
      </c>
      <c r="X127" s="24">
        <f t="shared" si="720"/>
        <v>3200</v>
      </c>
      <c r="Y127" s="24">
        <f t="shared" si="720"/>
        <v>3200</v>
      </c>
      <c r="Z127" s="24">
        <f t="shared" si="720"/>
        <v>3200</v>
      </c>
      <c r="AA127" s="24">
        <f t="shared" si="720"/>
        <v>3200</v>
      </c>
      <c r="AB127" s="24">
        <f t="shared" si="720"/>
        <v>3200</v>
      </c>
    </row>
    <row r="128" spans="1:28" s="2" customFormat="1">
      <c r="A128" s="77" t="s">
        <v>28</v>
      </c>
      <c r="B128" s="48"/>
      <c r="C128" s="34"/>
      <c r="D128" s="34"/>
      <c r="E128" s="85">
        <f>E126/E127</f>
        <v>0</v>
      </c>
      <c r="F128" s="85">
        <f t="shared" ref="F128" si="721">F126/F127</f>
        <v>0.71776240624999998</v>
      </c>
      <c r="G128" s="85">
        <f t="shared" ref="G128" si="722">G126/G127</f>
        <v>0.71776240624999998</v>
      </c>
      <c r="H128" s="85">
        <f t="shared" ref="H128" si="723">H126/H127</f>
        <v>0.71776240624999998</v>
      </c>
      <c r="I128" s="85">
        <f t="shared" ref="I128" si="724">I126/I127</f>
        <v>0.71776240624999998</v>
      </c>
      <c r="J128" s="85">
        <f t="shared" ref="J128" si="725">J126/J127</f>
        <v>0.71776240624999998</v>
      </c>
      <c r="K128" s="85">
        <f t="shared" ref="K128" si="726">K126/K127</f>
        <v>0.71776240624999998</v>
      </c>
      <c r="L128" s="85">
        <f t="shared" ref="L128" si="727">L126/L127</f>
        <v>0.71776240624999998</v>
      </c>
      <c r="M128" s="85">
        <f t="shared" ref="M128" si="728">M126/M127</f>
        <v>0.71776240624999998</v>
      </c>
      <c r="N128" s="85">
        <f t="shared" ref="N128" si="729">N126/N127</f>
        <v>0.71776240624999998</v>
      </c>
      <c r="O128" s="85">
        <f t="shared" ref="O128" si="730">O126/O127</f>
        <v>0.71776240624999998</v>
      </c>
      <c r="P128" s="85">
        <f t="shared" ref="P128" si="731">P126/P127</f>
        <v>0.71776240624999998</v>
      </c>
      <c r="Q128" s="85">
        <f t="shared" ref="Q128" si="732">Q126/Q127</f>
        <v>0.71776240624999998</v>
      </c>
      <c r="R128" s="85">
        <f t="shared" ref="R128" si="733">R126/R127</f>
        <v>0.71776240624999998</v>
      </c>
      <c r="S128" s="85">
        <f t="shared" ref="S128" si="734">S126/S127</f>
        <v>0.71776240624999998</v>
      </c>
      <c r="T128" s="85">
        <f t="shared" ref="T128" si="735">T126/T127</f>
        <v>0.71776240624999998</v>
      </c>
      <c r="U128" s="85">
        <f t="shared" ref="U128" si="736">U126/U127</f>
        <v>0.71776240624999998</v>
      </c>
      <c r="V128" s="85">
        <f t="shared" ref="V128" si="737">V126/V127</f>
        <v>0.71776240624999998</v>
      </c>
      <c r="W128" s="85">
        <f t="shared" ref="W128" si="738">W126/W127</f>
        <v>0.71776240624999998</v>
      </c>
      <c r="X128" s="85">
        <f t="shared" ref="X128" si="739">X126/X127</f>
        <v>0.71776240624999998</v>
      </c>
      <c r="Y128" s="85">
        <f t="shared" ref="Y128" si="740">Y126/Y127</f>
        <v>0.71776240624999998</v>
      </c>
      <c r="Z128" s="85">
        <f t="shared" ref="Z128" si="741">Z126/Z127</f>
        <v>0.71776240624999998</v>
      </c>
      <c r="AA128" s="85">
        <f t="shared" ref="AA128" si="742">AA126/AA127</f>
        <v>0.71776240624999998</v>
      </c>
      <c r="AB128" s="85">
        <f t="shared" ref="AB128" si="743">AB126/AB127</f>
        <v>0.71776240624999998</v>
      </c>
    </row>
    <row r="129" spans="1:28" s="2" customFormat="1">
      <c r="A129" s="81" t="s">
        <v>47</v>
      </c>
      <c r="B129" s="82">
        <f>Assumption!C8</f>
        <v>2325</v>
      </c>
      <c r="C129" s="34"/>
      <c r="D129" s="34"/>
      <c r="E129" s="86">
        <f>B129</f>
        <v>2325</v>
      </c>
      <c r="F129" s="86">
        <f>E129*(1+Assumption!$C$9)</f>
        <v>2325</v>
      </c>
      <c r="G129" s="86">
        <f>F129*(1+Assumption!$C$9)</f>
        <v>2325</v>
      </c>
      <c r="H129" s="86">
        <f>G129*(1+Assumption!$C$9)</f>
        <v>2325</v>
      </c>
      <c r="I129" s="86">
        <f>H129*(1+Assumption!$C$9)</f>
        <v>2325</v>
      </c>
      <c r="J129" s="86">
        <f>I129*(1+Assumption!$C$9)</f>
        <v>2325</v>
      </c>
      <c r="K129" s="86">
        <f>J129*(1+Assumption!$C$9)</f>
        <v>2325</v>
      </c>
      <c r="L129" s="86">
        <f>K129*(1+Assumption!$C$9)</f>
        <v>2325</v>
      </c>
      <c r="M129" s="86">
        <f>L129*(1+Assumption!$C$9)</f>
        <v>2325</v>
      </c>
      <c r="N129" s="86">
        <f>M129*(1+Assumption!$C$9)</f>
        <v>2325</v>
      </c>
      <c r="O129" s="86">
        <f>N129*(1+Assumption!$C$9)</f>
        <v>2325</v>
      </c>
      <c r="P129" s="86">
        <f>O129*(1+Assumption!$C$9)</f>
        <v>2325</v>
      </c>
      <c r="Q129" s="86">
        <f>P129*(1+Assumption!$C$9)</f>
        <v>2325</v>
      </c>
      <c r="R129" s="86">
        <f>Q129*(1+Assumption!$C$9)</f>
        <v>2325</v>
      </c>
      <c r="S129" s="86">
        <f>R129*(1+Assumption!$C$9)</f>
        <v>2325</v>
      </c>
      <c r="T129" s="86">
        <f>S129*(1+Assumption!$C$9)</f>
        <v>2325</v>
      </c>
      <c r="U129" s="86">
        <f>T129*(1+Assumption!$C$9)</f>
        <v>2325</v>
      </c>
      <c r="V129" s="86">
        <f>U129*(1+Assumption!$C$9)</f>
        <v>2325</v>
      </c>
      <c r="W129" s="86">
        <f>V129*(1+Assumption!$C$9)</f>
        <v>2325</v>
      </c>
      <c r="X129" s="86">
        <f>W129*(1+Assumption!$C$9)</f>
        <v>2325</v>
      </c>
      <c r="Y129" s="86">
        <f>X129*(1+Assumption!$C$9)</f>
        <v>2325</v>
      </c>
      <c r="Z129" s="86">
        <f>Y129*(1+Assumption!$C$9)</f>
        <v>2325</v>
      </c>
      <c r="AA129" s="86">
        <f>Z129*(1+Assumption!$C$9)</f>
        <v>2325</v>
      </c>
      <c r="AB129" s="86">
        <f>AA129*(1+Assumption!$C$9)</f>
        <v>2325</v>
      </c>
    </row>
    <row r="130" spans="1:28" s="2" customFormat="1">
      <c r="A130" s="77" t="s">
        <v>48</v>
      </c>
      <c r="B130" s="83">
        <f>Assumption!C10</f>
        <v>5.7500000000000002E-2</v>
      </c>
      <c r="C130" s="34"/>
      <c r="D130" s="34"/>
      <c r="E130" s="87">
        <f>B130</f>
        <v>5.7500000000000002E-2</v>
      </c>
      <c r="F130" s="87">
        <f>E130</f>
        <v>5.7500000000000002E-2</v>
      </c>
      <c r="G130" s="87">
        <f t="shared" ref="G130:AB130" si="744">F130</f>
        <v>5.7500000000000002E-2</v>
      </c>
      <c r="H130" s="87">
        <f t="shared" si="744"/>
        <v>5.7500000000000002E-2</v>
      </c>
      <c r="I130" s="87">
        <f t="shared" si="744"/>
        <v>5.7500000000000002E-2</v>
      </c>
      <c r="J130" s="87">
        <f t="shared" si="744"/>
        <v>5.7500000000000002E-2</v>
      </c>
      <c r="K130" s="87">
        <f t="shared" si="744"/>
        <v>5.7500000000000002E-2</v>
      </c>
      <c r="L130" s="87">
        <f t="shared" si="744"/>
        <v>5.7500000000000002E-2</v>
      </c>
      <c r="M130" s="87">
        <f t="shared" si="744"/>
        <v>5.7500000000000002E-2</v>
      </c>
      <c r="N130" s="87">
        <f t="shared" si="744"/>
        <v>5.7500000000000002E-2</v>
      </c>
      <c r="O130" s="87">
        <f t="shared" si="744"/>
        <v>5.7500000000000002E-2</v>
      </c>
      <c r="P130" s="87">
        <f t="shared" si="744"/>
        <v>5.7500000000000002E-2</v>
      </c>
      <c r="Q130" s="87">
        <f t="shared" si="744"/>
        <v>5.7500000000000002E-2</v>
      </c>
      <c r="R130" s="87">
        <f t="shared" si="744"/>
        <v>5.7500000000000002E-2</v>
      </c>
      <c r="S130" s="87">
        <f t="shared" si="744"/>
        <v>5.7500000000000002E-2</v>
      </c>
      <c r="T130" s="87">
        <f t="shared" si="744"/>
        <v>5.7500000000000002E-2</v>
      </c>
      <c r="U130" s="87">
        <f t="shared" si="744"/>
        <v>5.7500000000000002E-2</v>
      </c>
      <c r="V130" s="87">
        <f t="shared" si="744"/>
        <v>5.7500000000000002E-2</v>
      </c>
      <c r="W130" s="87">
        <f t="shared" si="744"/>
        <v>5.7500000000000002E-2</v>
      </c>
      <c r="X130" s="87">
        <f t="shared" si="744"/>
        <v>5.7500000000000002E-2</v>
      </c>
      <c r="Y130" s="87">
        <f t="shared" si="744"/>
        <v>5.7500000000000002E-2</v>
      </c>
      <c r="Z130" s="87">
        <f t="shared" si="744"/>
        <v>5.7500000000000002E-2</v>
      </c>
      <c r="AA130" s="87">
        <f t="shared" si="744"/>
        <v>5.7500000000000002E-2</v>
      </c>
      <c r="AB130" s="87">
        <f t="shared" si="744"/>
        <v>5.7500000000000002E-2</v>
      </c>
    </row>
    <row r="131" spans="1:28" s="2" customFormat="1" ht="15.75" thickBot="1">
      <c r="A131" s="42" t="s">
        <v>49</v>
      </c>
      <c r="B131" s="55"/>
      <c r="C131" s="89"/>
      <c r="D131" s="89"/>
      <c r="E131" s="88">
        <f>(E128*E129/1000)/(1-E130)</f>
        <v>0</v>
      </c>
      <c r="F131" s="88">
        <f t="shared" ref="F131" si="745">(F128*F129/1000)/(1-F130)</f>
        <v>1.7706075273541115</v>
      </c>
      <c r="G131" s="88">
        <f t="shared" ref="G131" si="746">(G128*G129/1000)/(1-G130)</f>
        <v>1.7706075273541115</v>
      </c>
      <c r="H131" s="88">
        <f t="shared" ref="H131" si="747">(H128*H129/1000)/(1-H130)</f>
        <v>1.7706075273541115</v>
      </c>
      <c r="I131" s="88">
        <f t="shared" ref="I131" si="748">(I128*I129/1000)/(1-I130)</f>
        <v>1.7706075273541115</v>
      </c>
      <c r="J131" s="88">
        <f t="shared" ref="J131" si="749">(J128*J129/1000)/(1-J130)</f>
        <v>1.7706075273541115</v>
      </c>
      <c r="K131" s="88">
        <f t="shared" ref="K131" si="750">(K128*K129/1000)/(1-K130)</f>
        <v>1.7706075273541115</v>
      </c>
      <c r="L131" s="88">
        <f t="shared" ref="L131" si="751">(L128*L129/1000)/(1-L130)</f>
        <v>1.7706075273541115</v>
      </c>
      <c r="M131" s="88">
        <f t="shared" ref="M131" si="752">(M128*M129/1000)/(1-M130)</f>
        <v>1.7706075273541115</v>
      </c>
      <c r="N131" s="88">
        <f t="shared" ref="N131" si="753">(N128*N129/1000)/(1-N130)</f>
        <v>1.7706075273541115</v>
      </c>
      <c r="O131" s="88">
        <f t="shared" ref="O131" si="754">(O128*O129/1000)/(1-O130)</f>
        <v>1.7706075273541115</v>
      </c>
      <c r="P131" s="88">
        <f t="shared" ref="P131" si="755">(P128*P129/1000)/(1-P130)</f>
        <v>1.7706075273541115</v>
      </c>
      <c r="Q131" s="88">
        <f t="shared" ref="Q131" si="756">(Q128*Q129/1000)/(1-Q130)</f>
        <v>1.7706075273541115</v>
      </c>
      <c r="R131" s="88">
        <f t="shared" ref="R131" si="757">(R128*R129/1000)/(1-R130)</f>
        <v>1.7706075273541115</v>
      </c>
      <c r="S131" s="88">
        <f t="shared" ref="S131" si="758">(S128*S129/1000)/(1-S130)</f>
        <v>1.7706075273541115</v>
      </c>
      <c r="T131" s="88">
        <f t="shared" ref="T131" si="759">(T128*T129/1000)/(1-T130)</f>
        <v>1.7706075273541115</v>
      </c>
      <c r="U131" s="88">
        <f t="shared" ref="U131" si="760">(U128*U129/1000)/(1-U130)</f>
        <v>1.7706075273541115</v>
      </c>
      <c r="V131" s="88">
        <f t="shared" ref="V131" si="761">(V128*V129/1000)/(1-V130)</f>
        <v>1.7706075273541115</v>
      </c>
      <c r="W131" s="88">
        <f t="shared" ref="W131" si="762">(W128*W129/1000)/(1-W130)</f>
        <v>1.7706075273541115</v>
      </c>
      <c r="X131" s="88">
        <f t="shared" ref="X131" si="763">(X128*X129/1000)/(1-X130)</f>
        <v>1.7706075273541115</v>
      </c>
      <c r="Y131" s="88">
        <f t="shared" ref="Y131" si="764">(Y128*Y129/1000)/(1-Y130)</f>
        <v>1.7706075273541115</v>
      </c>
      <c r="Z131" s="88">
        <f t="shared" ref="Z131" si="765">(Z128*Z129/1000)/(1-Z130)</f>
        <v>1.7706075273541115</v>
      </c>
      <c r="AA131" s="88">
        <f t="shared" ref="AA131" si="766">(AA128*AA129/1000)/(1-AA130)</f>
        <v>1.7706075273541115</v>
      </c>
      <c r="AB131" s="88">
        <f t="shared" ref="AB131" si="767">(AB128*AB129/1000)/(1-AB130)</f>
        <v>1.7706075273541115</v>
      </c>
    </row>
    <row r="132" spans="1:28" ht="15.75" thickTop="1"/>
    <row r="133" spans="1:28">
      <c r="F133" s="252"/>
      <c r="G133" s="252"/>
      <c r="H133" s="252"/>
      <c r="I133" s="252"/>
      <c r="J133" s="252"/>
      <c r="K133" s="252"/>
    </row>
    <row r="134" spans="1:28">
      <c r="A134" s="14" t="s">
        <v>31</v>
      </c>
      <c r="B134" s="4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</sheetData>
  <mergeCells count="1">
    <mergeCell ref="A5:A7"/>
  </mergeCells>
  <pageMargins left="0.7" right="0.7" top="0.75" bottom="0.75" header="0.3" footer="0.3"/>
  <pageSetup paperSize="9" orientation="portrait" r:id="rId1"/>
  <ignoredErrors>
    <ignoredError sqref="E89 E121 E32 F32:AB32 E64:AB64 E96:AB96 E128:AB12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topLeftCell="A81" zoomScaleNormal="100" workbookViewId="0">
      <selection activeCell="H92" sqref="H92"/>
    </sheetView>
  </sheetViews>
  <sheetFormatPr defaultRowHeight="15"/>
  <cols>
    <col min="1" max="1" width="30.85546875" bestFit="1" customWidth="1"/>
    <col min="2" max="2" width="9.140625" style="45"/>
    <col min="3" max="3" width="9.42578125" bestFit="1" customWidth="1"/>
    <col min="5" max="5" width="18.85546875" customWidth="1"/>
    <col min="6" max="6" width="0.140625" customWidth="1"/>
    <col min="7" max="7" width="9.140625" customWidth="1"/>
    <col min="10" max="10" width="12.42578125" bestFit="1" customWidth="1"/>
  </cols>
  <sheetData>
    <row r="1" spans="1:28" s="15" customFormat="1" ht="18.75">
      <c r="A1" s="21" t="s">
        <v>29</v>
      </c>
      <c r="B1" s="4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s="17" customFormat="1" ht="15.75">
      <c r="A2" s="22" t="s">
        <v>32</v>
      </c>
      <c r="B2" s="4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>
      <c r="A3" s="56"/>
      <c r="B3" s="57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s="20" customFormat="1" ht="16.5" thickBot="1">
      <c r="A4" s="58"/>
      <c r="B4" s="59"/>
      <c r="C4" s="60"/>
      <c r="D4" s="60"/>
      <c r="E4" s="60"/>
      <c r="F4" s="60"/>
      <c r="G4" s="60"/>
      <c r="H4" s="60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ht="15.75" thickTop="1">
      <c r="A5" s="641" t="s">
        <v>0</v>
      </c>
      <c r="B5" s="46"/>
      <c r="C5" s="19">
        <f>B6+1</f>
        <v>42461</v>
      </c>
      <c r="D5" s="19">
        <f>C6+1</f>
        <v>42826</v>
      </c>
      <c r="E5" s="19">
        <v>43191</v>
      </c>
      <c r="F5" s="19">
        <f>E6+1</f>
        <v>43556</v>
      </c>
      <c r="G5" s="19">
        <f>F6+1</f>
        <v>43922</v>
      </c>
      <c r="H5" s="19">
        <f t="shared" ref="H5:AB5" si="0">G6+1</f>
        <v>44287</v>
      </c>
      <c r="I5" s="19">
        <f t="shared" si="0"/>
        <v>44652</v>
      </c>
      <c r="J5" s="19">
        <f t="shared" si="0"/>
        <v>45017</v>
      </c>
      <c r="K5" s="19">
        <f t="shared" si="0"/>
        <v>45383</v>
      </c>
      <c r="L5" s="19">
        <f t="shared" si="0"/>
        <v>45748</v>
      </c>
      <c r="M5" s="19">
        <f t="shared" si="0"/>
        <v>46113</v>
      </c>
      <c r="N5" s="19">
        <f t="shared" si="0"/>
        <v>46478</v>
      </c>
      <c r="O5" s="19">
        <f t="shared" si="0"/>
        <v>46844</v>
      </c>
      <c r="P5" s="19">
        <f t="shared" si="0"/>
        <v>47209</v>
      </c>
      <c r="Q5" s="19">
        <f t="shared" si="0"/>
        <v>47574</v>
      </c>
      <c r="R5" s="19">
        <f t="shared" si="0"/>
        <v>47939</v>
      </c>
      <c r="S5" s="19">
        <f t="shared" si="0"/>
        <v>48305</v>
      </c>
      <c r="T5" s="19">
        <f t="shared" si="0"/>
        <v>48670</v>
      </c>
      <c r="U5" s="19">
        <f t="shared" si="0"/>
        <v>49035</v>
      </c>
      <c r="V5" s="19">
        <f t="shared" si="0"/>
        <v>49400</v>
      </c>
      <c r="W5" s="19">
        <f t="shared" si="0"/>
        <v>49766</v>
      </c>
      <c r="X5" s="19">
        <f t="shared" si="0"/>
        <v>50131</v>
      </c>
      <c r="Y5" s="19">
        <f t="shared" si="0"/>
        <v>50496</v>
      </c>
      <c r="Z5" s="19">
        <f t="shared" si="0"/>
        <v>50861</v>
      </c>
      <c r="AA5" s="19">
        <f t="shared" si="0"/>
        <v>51227</v>
      </c>
      <c r="AB5" s="19">
        <f t="shared" si="0"/>
        <v>51592</v>
      </c>
    </row>
    <row r="6" spans="1:28">
      <c r="A6" s="642"/>
      <c r="B6" s="6">
        <v>42460</v>
      </c>
      <c r="C6" s="6">
        <f>EOMONTH(B6,12)</f>
        <v>42825</v>
      </c>
      <c r="D6" s="6">
        <f>EOMONTH(C6,12)</f>
        <v>43190</v>
      </c>
      <c r="E6" s="6">
        <v>43555</v>
      </c>
      <c r="F6" s="6">
        <f>EOMONTH(E6,12)</f>
        <v>43921</v>
      </c>
      <c r="G6" s="6">
        <f t="shared" ref="G6:AB6" si="1">EOMONTH(F6,12)</f>
        <v>44286</v>
      </c>
      <c r="H6" s="6">
        <f t="shared" si="1"/>
        <v>44651</v>
      </c>
      <c r="I6" s="6">
        <f t="shared" si="1"/>
        <v>45016</v>
      </c>
      <c r="J6" s="6">
        <f t="shared" si="1"/>
        <v>45382</v>
      </c>
      <c r="K6" s="6">
        <f t="shared" si="1"/>
        <v>45747</v>
      </c>
      <c r="L6" s="6">
        <f t="shared" si="1"/>
        <v>46112</v>
      </c>
      <c r="M6" s="6">
        <f t="shared" si="1"/>
        <v>46477</v>
      </c>
      <c r="N6" s="6">
        <f t="shared" si="1"/>
        <v>46843</v>
      </c>
      <c r="O6" s="6">
        <f t="shared" si="1"/>
        <v>47208</v>
      </c>
      <c r="P6" s="6">
        <f t="shared" si="1"/>
        <v>47573</v>
      </c>
      <c r="Q6" s="6">
        <f t="shared" si="1"/>
        <v>47938</v>
      </c>
      <c r="R6" s="6">
        <f t="shared" si="1"/>
        <v>48304</v>
      </c>
      <c r="S6" s="6">
        <f t="shared" si="1"/>
        <v>48669</v>
      </c>
      <c r="T6" s="6">
        <f t="shared" si="1"/>
        <v>49034</v>
      </c>
      <c r="U6" s="6">
        <f t="shared" si="1"/>
        <v>49399</v>
      </c>
      <c r="V6" s="6">
        <f t="shared" si="1"/>
        <v>49765</v>
      </c>
      <c r="W6" s="6">
        <f t="shared" si="1"/>
        <v>50130</v>
      </c>
      <c r="X6" s="6">
        <f t="shared" si="1"/>
        <v>50495</v>
      </c>
      <c r="Y6" s="6">
        <f t="shared" si="1"/>
        <v>50860</v>
      </c>
      <c r="Z6" s="6">
        <f t="shared" si="1"/>
        <v>51226</v>
      </c>
      <c r="AA6" s="6">
        <f t="shared" si="1"/>
        <v>51591</v>
      </c>
      <c r="AB6" s="6">
        <f t="shared" si="1"/>
        <v>51956</v>
      </c>
    </row>
    <row r="7" spans="1:28">
      <c r="A7" s="643"/>
      <c r="B7" s="7"/>
      <c r="C7" s="8">
        <f>YEAR(C6)</f>
        <v>2017</v>
      </c>
      <c r="D7" s="8">
        <f t="shared" ref="D7:AB7" si="2">YEAR(D6)</f>
        <v>2018</v>
      </c>
      <c r="E7" s="8">
        <f t="shared" si="2"/>
        <v>2019</v>
      </c>
      <c r="F7" s="8">
        <f t="shared" si="2"/>
        <v>2020</v>
      </c>
      <c r="G7" s="8">
        <f t="shared" si="2"/>
        <v>2021</v>
      </c>
      <c r="H7" s="8">
        <f t="shared" si="2"/>
        <v>2022</v>
      </c>
      <c r="I7" s="8">
        <f t="shared" si="2"/>
        <v>2023</v>
      </c>
      <c r="J7" s="8">
        <f t="shared" si="2"/>
        <v>2024</v>
      </c>
      <c r="K7" s="8">
        <f t="shared" si="2"/>
        <v>2025</v>
      </c>
      <c r="L7" s="8">
        <f t="shared" si="2"/>
        <v>2026</v>
      </c>
      <c r="M7" s="8">
        <f t="shared" si="2"/>
        <v>2027</v>
      </c>
      <c r="N7" s="8">
        <f t="shared" si="2"/>
        <v>2028</v>
      </c>
      <c r="O7" s="8">
        <f t="shared" si="2"/>
        <v>2029</v>
      </c>
      <c r="P7" s="8">
        <f t="shared" si="2"/>
        <v>2030</v>
      </c>
      <c r="Q7" s="8">
        <f t="shared" si="2"/>
        <v>2031</v>
      </c>
      <c r="R7" s="8">
        <f t="shared" si="2"/>
        <v>2032</v>
      </c>
      <c r="S7" s="8">
        <f t="shared" si="2"/>
        <v>2033</v>
      </c>
      <c r="T7" s="8">
        <f t="shared" si="2"/>
        <v>2034</v>
      </c>
      <c r="U7" s="8">
        <f t="shared" si="2"/>
        <v>2035</v>
      </c>
      <c r="V7" s="8">
        <f t="shared" si="2"/>
        <v>2036</v>
      </c>
      <c r="W7" s="8">
        <f t="shared" si="2"/>
        <v>2037</v>
      </c>
      <c r="X7" s="8">
        <f t="shared" si="2"/>
        <v>2038</v>
      </c>
      <c r="Y7" s="8">
        <f t="shared" si="2"/>
        <v>2039</v>
      </c>
      <c r="Z7" s="8">
        <f t="shared" si="2"/>
        <v>2040</v>
      </c>
      <c r="AA7" s="8">
        <f t="shared" si="2"/>
        <v>2041</v>
      </c>
      <c r="AB7" s="8">
        <f t="shared" si="2"/>
        <v>2042</v>
      </c>
    </row>
    <row r="8" spans="1:28">
      <c r="A8" s="93" t="s">
        <v>52</v>
      </c>
      <c r="B8" s="5"/>
      <c r="C8" s="30"/>
      <c r="D8" s="30"/>
      <c r="E8" s="188"/>
      <c r="F8" s="188">
        <f>Assumption!D7*0+62%</f>
        <v>0.62</v>
      </c>
      <c r="G8" s="188">
        <f>Assumption!E7</f>
        <v>0.76769999999999994</v>
      </c>
      <c r="H8" s="188">
        <f>Assumption!F7</f>
        <v>0.75</v>
      </c>
      <c r="I8" s="188">
        <f>Assumption!G7</f>
        <v>0.75</v>
      </c>
      <c r="J8" s="188">
        <f>I8</f>
        <v>0.75</v>
      </c>
      <c r="K8" s="188">
        <f t="shared" ref="K8:AB8" si="3">J8</f>
        <v>0.75</v>
      </c>
      <c r="L8" s="188">
        <f t="shared" si="3"/>
        <v>0.75</v>
      </c>
      <c r="M8" s="188">
        <f t="shared" si="3"/>
        <v>0.75</v>
      </c>
      <c r="N8" s="188">
        <f t="shared" si="3"/>
        <v>0.75</v>
      </c>
      <c r="O8" s="188">
        <f t="shared" si="3"/>
        <v>0.75</v>
      </c>
      <c r="P8" s="188">
        <f>Assumption!H7</f>
        <v>0.75</v>
      </c>
      <c r="Q8" s="188">
        <f>P8</f>
        <v>0.75</v>
      </c>
      <c r="R8" s="188">
        <f t="shared" si="3"/>
        <v>0.75</v>
      </c>
      <c r="S8" s="188">
        <f t="shared" si="3"/>
        <v>0.75</v>
      </c>
      <c r="T8" s="188">
        <f t="shared" si="3"/>
        <v>0.75</v>
      </c>
      <c r="U8" s="188">
        <f t="shared" si="3"/>
        <v>0.75</v>
      </c>
      <c r="V8" s="188">
        <f t="shared" si="3"/>
        <v>0.75</v>
      </c>
      <c r="W8" s="188">
        <f t="shared" si="3"/>
        <v>0.75</v>
      </c>
      <c r="X8" s="188">
        <f t="shared" si="3"/>
        <v>0.75</v>
      </c>
      <c r="Y8" s="188">
        <f t="shared" si="3"/>
        <v>0.75</v>
      </c>
      <c r="Z8" s="188">
        <f t="shared" si="3"/>
        <v>0.75</v>
      </c>
      <c r="AA8" s="188">
        <f t="shared" si="3"/>
        <v>0.75</v>
      </c>
      <c r="AB8" s="188">
        <f t="shared" si="3"/>
        <v>0.75</v>
      </c>
    </row>
    <row r="9" spans="1:28">
      <c r="A9" s="93" t="s">
        <v>53</v>
      </c>
      <c r="B9" s="5"/>
      <c r="C9" s="30"/>
      <c r="D9" s="30"/>
      <c r="E9" s="96"/>
      <c r="F9" s="96">
        <f>((1200*24000*(F6-E6)*F8)/10^6)</f>
        <v>6535.2960000000003</v>
      </c>
      <c r="G9" s="96">
        <f>((1200*24000*(G6-F6)*G8)/10^6)</f>
        <v>8070.0623999999989</v>
      </c>
      <c r="H9" s="96">
        <f t="shared" ref="H9:AB9" si="4">((1200*24000*(H6-G6)*H8)/10^6)</f>
        <v>7884</v>
      </c>
      <c r="I9" s="96">
        <f t="shared" si="4"/>
        <v>7884</v>
      </c>
      <c r="J9" s="96">
        <f t="shared" si="4"/>
        <v>7905.6</v>
      </c>
      <c r="K9" s="96">
        <f t="shared" si="4"/>
        <v>7884</v>
      </c>
      <c r="L9" s="96">
        <f t="shared" si="4"/>
        <v>7884</v>
      </c>
      <c r="M9" s="96">
        <f t="shared" si="4"/>
        <v>7884</v>
      </c>
      <c r="N9" s="96">
        <f t="shared" si="4"/>
        <v>7905.6</v>
      </c>
      <c r="O9" s="96">
        <f t="shared" si="4"/>
        <v>7884</v>
      </c>
      <c r="P9" s="96">
        <f t="shared" si="4"/>
        <v>7884</v>
      </c>
      <c r="Q9" s="96">
        <f t="shared" si="4"/>
        <v>7884</v>
      </c>
      <c r="R9" s="96">
        <f t="shared" si="4"/>
        <v>7905.6</v>
      </c>
      <c r="S9" s="96">
        <f t="shared" si="4"/>
        <v>7884</v>
      </c>
      <c r="T9" s="96">
        <f t="shared" si="4"/>
        <v>7884</v>
      </c>
      <c r="U9" s="96">
        <f t="shared" si="4"/>
        <v>7884</v>
      </c>
      <c r="V9" s="96">
        <f t="shared" si="4"/>
        <v>7905.6</v>
      </c>
      <c r="W9" s="96">
        <f t="shared" si="4"/>
        <v>7884</v>
      </c>
      <c r="X9" s="96">
        <f t="shared" si="4"/>
        <v>7884</v>
      </c>
      <c r="Y9" s="96">
        <f t="shared" si="4"/>
        <v>7884</v>
      </c>
      <c r="Z9" s="96">
        <f t="shared" si="4"/>
        <v>7905.6</v>
      </c>
      <c r="AA9" s="96">
        <f t="shared" si="4"/>
        <v>7884</v>
      </c>
      <c r="AB9" s="96">
        <f t="shared" si="4"/>
        <v>7884</v>
      </c>
    </row>
    <row r="10" spans="1:28">
      <c r="A10" s="93"/>
      <c r="B10" s="97"/>
      <c r="C10" s="30"/>
      <c r="D10" s="30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</row>
    <row r="11" spans="1:28" s="23" customFormat="1">
      <c r="A11" s="93" t="s">
        <v>54</v>
      </c>
      <c r="B11" s="5"/>
      <c r="C11" s="30"/>
      <c r="D11" s="30"/>
      <c r="E11" s="96"/>
      <c r="F11" s="96">
        <f>'Fuel &amp; O&amp;M'!F12</f>
        <v>6159.5164800000002</v>
      </c>
      <c r="G11" s="96">
        <f>'Fuel &amp; O&amp;M'!G12</f>
        <v>7606.0338119999988</v>
      </c>
      <c r="H11" s="96">
        <f>'Fuel &amp; O&amp;M'!H12</f>
        <v>7430.67</v>
      </c>
      <c r="I11" s="96">
        <f>'Fuel &amp; O&amp;M'!I12</f>
        <v>7379.9423999999999</v>
      </c>
      <c r="J11" s="96">
        <f>'Fuel &amp; O&amp;M'!J12</f>
        <v>7364.0664000000006</v>
      </c>
      <c r="K11" s="96">
        <f>'Fuel &amp; O&amp;M'!K12</f>
        <v>7343.9459999999999</v>
      </c>
      <c r="L11" s="96">
        <f>'Fuel &amp; O&amp;M'!L12</f>
        <v>7343.9459999999999</v>
      </c>
      <c r="M11" s="96">
        <f>'Fuel &amp; O&amp;M'!M12</f>
        <v>7343.9459999999999</v>
      </c>
      <c r="N11" s="96">
        <f>'Fuel &amp; O&amp;M'!N12</f>
        <v>7364.0664000000006</v>
      </c>
      <c r="O11" s="96">
        <f>'Fuel &amp; O&amp;M'!O12</f>
        <v>7343.9459999999999</v>
      </c>
      <c r="P11" s="96">
        <f>'Fuel &amp; O&amp;M'!P12</f>
        <v>7343.9459999999999</v>
      </c>
      <c r="Q11" s="96">
        <f>'Fuel &amp; O&amp;M'!Q12</f>
        <v>7343.9459999999999</v>
      </c>
      <c r="R11" s="96">
        <f>'Fuel &amp; O&amp;M'!R12</f>
        <v>7364.0664000000006</v>
      </c>
      <c r="S11" s="96">
        <f>'Fuel &amp; O&amp;M'!S12</f>
        <v>7343.9459999999999</v>
      </c>
      <c r="T11" s="96">
        <f>'Fuel &amp; O&amp;M'!T12</f>
        <v>7343.9459999999999</v>
      </c>
      <c r="U11" s="96">
        <f>'Fuel &amp; O&amp;M'!U12</f>
        <v>7343.9459999999999</v>
      </c>
      <c r="V11" s="96">
        <f>'Fuel &amp; O&amp;M'!V12</f>
        <v>7364.0664000000006</v>
      </c>
      <c r="W11" s="96">
        <f>'Fuel &amp; O&amp;M'!W12</f>
        <v>7343.9459999999999</v>
      </c>
      <c r="X11" s="96">
        <f>'Fuel &amp; O&amp;M'!X12</f>
        <v>7343.9459999999999</v>
      </c>
      <c r="Y11" s="96">
        <f>'Fuel &amp; O&amp;M'!Y12</f>
        <v>7343.9459999999999</v>
      </c>
      <c r="Z11" s="96">
        <f>'Fuel &amp; O&amp;M'!Z12</f>
        <v>7364.0664000000006</v>
      </c>
      <c r="AA11" s="96">
        <f>'Fuel &amp; O&amp;M'!AA12</f>
        <v>7343.9459999999999</v>
      </c>
      <c r="AB11" s="96">
        <f>'Fuel &amp; O&amp;M'!AB12</f>
        <v>7343.9459999999999</v>
      </c>
    </row>
    <row r="12" spans="1:28">
      <c r="A12" s="93" t="s">
        <v>702</v>
      </c>
      <c r="B12" s="97"/>
      <c r="C12" s="30"/>
      <c r="D12" s="30"/>
      <c r="E12" s="95"/>
      <c r="F12" s="95"/>
      <c r="G12" s="95"/>
      <c r="H12" s="601">
        <f>IF($B$26&gt;85%,H15,0)</f>
        <v>14.937771000000001</v>
      </c>
      <c r="I12" s="601">
        <f t="shared" ref="I12:V12" si="5">IF($B$26&gt;85%,I15,0)</f>
        <v>14.937771000000001</v>
      </c>
      <c r="J12" s="601">
        <f t="shared" si="5"/>
        <v>14.9786964</v>
      </c>
      <c r="K12" s="601">
        <f t="shared" si="5"/>
        <v>14.937771000000001</v>
      </c>
      <c r="L12" s="601">
        <f t="shared" si="5"/>
        <v>14.937771000000001</v>
      </c>
      <c r="M12" s="601">
        <f t="shared" si="5"/>
        <v>14.937771000000001</v>
      </c>
      <c r="N12" s="601">
        <f t="shared" si="5"/>
        <v>14.9786964</v>
      </c>
      <c r="O12" s="601">
        <f t="shared" si="5"/>
        <v>14.937771000000001</v>
      </c>
      <c r="P12" s="601">
        <f t="shared" si="5"/>
        <v>8.1049710000000026</v>
      </c>
      <c r="Q12" s="601">
        <f t="shared" si="5"/>
        <v>8.1049710000000026</v>
      </c>
      <c r="R12" s="601">
        <f t="shared" si="5"/>
        <v>8.1271763999999997</v>
      </c>
      <c r="S12" s="601">
        <f t="shared" si="5"/>
        <v>8.1049710000000026</v>
      </c>
      <c r="T12" s="601">
        <f t="shared" si="5"/>
        <v>8.1049710000000026</v>
      </c>
      <c r="U12" s="601">
        <f t="shared" si="5"/>
        <v>8.1049710000000026</v>
      </c>
      <c r="V12" s="601">
        <f t="shared" si="5"/>
        <v>8.1271763999999997</v>
      </c>
      <c r="W12" s="601"/>
      <c r="X12" s="601"/>
      <c r="Y12" s="601"/>
      <c r="Z12" s="601"/>
      <c r="AA12" s="601"/>
      <c r="AB12" s="601"/>
    </row>
    <row r="13" spans="1:28" s="4" customFormat="1" ht="15.75" thickBot="1">
      <c r="A13" s="71" t="s">
        <v>60</v>
      </c>
      <c r="B13" s="72"/>
      <c r="C13" s="73"/>
      <c r="D13" s="73"/>
      <c r="E13" s="74"/>
      <c r="F13" s="74">
        <f>2930.82</f>
        <v>2930.82</v>
      </c>
      <c r="G13" s="74">
        <f t="shared" ref="G13" ca="1" si="6">G31+G49+G60+G71+G87+G79</f>
        <v>2873.1475341986065</v>
      </c>
      <c r="H13" s="74">
        <f ca="1">H31+H49+H60+H71+H87+H79+H12</f>
        <v>2691.7798057941586</v>
      </c>
      <c r="I13" s="74">
        <f t="shared" ref="I13:AB13" ca="1" si="7">I31+I49+I60+I71+I87+I79+I12</f>
        <v>2746.2763821113413</v>
      </c>
      <c r="J13" s="74">
        <f t="shared" ca="1" si="7"/>
        <v>2808.7438453419404</v>
      </c>
      <c r="K13" s="74">
        <f t="shared" ca="1" si="7"/>
        <v>2830.999515354571</v>
      </c>
      <c r="L13" s="74">
        <f t="shared" ca="1" si="7"/>
        <v>2865.575226992305</v>
      </c>
      <c r="M13" s="74">
        <f t="shared" ca="1" si="7"/>
        <v>2912.4057736589793</v>
      </c>
      <c r="N13" s="74">
        <f t="shared" ca="1" si="7"/>
        <v>2976.8873479417862</v>
      </c>
      <c r="O13" s="74">
        <f t="shared" ca="1" si="7"/>
        <v>3025.5886456207895</v>
      </c>
      <c r="P13" s="74">
        <f t="shared" ca="1" si="7"/>
        <v>2646.6481984481679</v>
      </c>
      <c r="Q13" s="74">
        <f t="shared" ca="1" si="7"/>
        <v>2684.4924740000824</v>
      </c>
      <c r="R13" s="74">
        <f t="shared" ca="1" si="7"/>
        <v>2655.8494429838006</v>
      </c>
      <c r="S13" s="74">
        <f t="shared" ca="1" si="7"/>
        <v>2660.7679511191204</v>
      </c>
      <c r="T13" s="74">
        <f t="shared" ca="1" si="7"/>
        <v>2687.2124641914429</v>
      </c>
      <c r="U13" s="74">
        <f t="shared" ca="1" si="7"/>
        <v>2714.0259209918581</v>
      </c>
      <c r="V13" s="74">
        <f t="shared" ca="1" si="7"/>
        <v>2749.1361490751865</v>
      </c>
      <c r="W13" s="74">
        <f t="shared" ca="1" si="7"/>
        <v>2800.4360153641815</v>
      </c>
      <c r="X13" s="74">
        <f t="shared" ca="1" si="7"/>
        <v>2853.8859436751882</v>
      </c>
      <c r="Y13" s="74">
        <f t="shared" ca="1" si="7"/>
        <v>2909.6617079065554</v>
      </c>
      <c r="Z13" s="74">
        <f t="shared" ca="1" si="7"/>
        <v>3001.1327383658954</v>
      </c>
      <c r="AA13" s="74">
        <f t="shared" ca="1" si="7"/>
        <v>3054.7232226565093</v>
      </c>
      <c r="AB13" s="74">
        <f t="shared" ca="1" si="7"/>
        <v>3120.8749789244625</v>
      </c>
    </row>
    <row r="14" spans="1:28" ht="15.75" thickTop="1">
      <c r="A14" s="93"/>
      <c r="B14" s="5"/>
      <c r="C14" s="60"/>
      <c r="D14" s="60"/>
      <c r="E14" s="94"/>
      <c r="F14" s="94"/>
      <c r="G14" s="527">
        <f>G21+G22</f>
        <v>4.7672727549333338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1:28">
      <c r="A15" s="93" t="s">
        <v>702</v>
      </c>
      <c r="B15" s="97"/>
      <c r="C15" s="30"/>
      <c r="D15" s="30"/>
      <c r="E15" s="95"/>
      <c r="F15" s="95"/>
      <c r="G15" s="95"/>
      <c r="H15" s="601">
        <f>(H26*15%+H44*14%)*0.25/10</f>
        <v>14.937771000000001</v>
      </c>
      <c r="I15" s="601">
        <f t="shared" ref="I15:V15" si="8">(I26*15%+I44*14%)*0.25/10</f>
        <v>14.937771000000001</v>
      </c>
      <c r="J15" s="601">
        <f t="shared" si="8"/>
        <v>14.9786964</v>
      </c>
      <c r="K15" s="601">
        <f t="shared" si="8"/>
        <v>14.937771000000001</v>
      </c>
      <c r="L15" s="601">
        <f t="shared" si="8"/>
        <v>14.937771000000001</v>
      </c>
      <c r="M15" s="601">
        <f t="shared" si="8"/>
        <v>14.937771000000001</v>
      </c>
      <c r="N15" s="601">
        <f t="shared" si="8"/>
        <v>14.9786964</v>
      </c>
      <c r="O15" s="601">
        <f t="shared" si="8"/>
        <v>14.937771000000001</v>
      </c>
      <c r="P15" s="601">
        <f t="shared" si="8"/>
        <v>8.1049710000000026</v>
      </c>
      <c r="Q15" s="601">
        <f t="shared" si="8"/>
        <v>8.1049710000000026</v>
      </c>
      <c r="R15" s="601">
        <f t="shared" si="8"/>
        <v>8.1271763999999997</v>
      </c>
      <c r="S15" s="601">
        <f t="shared" si="8"/>
        <v>8.1049710000000026</v>
      </c>
      <c r="T15" s="601">
        <f t="shared" si="8"/>
        <v>8.1049710000000026</v>
      </c>
      <c r="U15" s="601">
        <f t="shared" si="8"/>
        <v>8.1049710000000026</v>
      </c>
      <c r="V15" s="601">
        <f t="shared" si="8"/>
        <v>8.1271763999999997</v>
      </c>
      <c r="W15" s="601"/>
      <c r="X15" s="601"/>
      <c r="Y15" s="601"/>
      <c r="Z15" s="601"/>
      <c r="AA15" s="601"/>
      <c r="AB15" s="601"/>
    </row>
    <row r="16" spans="1:28" s="20" customFormat="1" ht="16.5" thickBot="1">
      <c r="A16" s="90" t="s">
        <v>33</v>
      </c>
      <c r="B16" s="98"/>
      <c r="C16" s="99"/>
      <c r="D16" s="99"/>
      <c r="E16" s="99"/>
      <c r="F16" s="99"/>
      <c r="G16" s="528">
        <f>G14-G15</f>
        <v>4.7672727549333338</v>
      </c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</row>
    <row r="17" spans="1:28" ht="15.75" thickTop="1">
      <c r="A17" s="29" t="s">
        <v>35</v>
      </c>
      <c r="B17" s="47"/>
      <c r="C17" s="30"/>
      <c r="D17" s="30"/>
      <c r="E17" s="65"/>
      <c r="F17" s="65">
        <v>2.238</v>
      </c>
      <c r="G17" s="65">
        <v>2.1680000000000001</v>
      </c>
      <c r="H17" s="65">
        <v>2.105</v>
      </c>
      <c r="I17" s="65">
        <v>2.1</v>
      </c>
      <c r="J17" s="65">
        <v>2.1</v>
      </c>
      <c r="K17" s="65">
        <v>2.1</v>
      </c>
      <c r="L17" s="65">
        <v>2.1</v>
      </c>
      <c r="M17" s="65">
        <v>2.11</v>
      </c>
      <c r="N17" s="65">
        <v>2.1629999999999998</v>
      </c>
      <c r="O17" s="65">
        <v>2.2160000000000002</v>
      </c>
      <c r="P17" s="65">
        <v>2.2160000000000002</v>
      </c>
      <c r="Q17" s="65">
        <v>2.2160000000000002</v>
      </c>
      <c r="R17" s="65">
        <v>2.2160000000000002</v>
      </c>
      <c r="S17" s="65">
        <v>2.2160000000000002</v>
      </c>
      <c r="T17" s="65">
        <v>2.2160000000000002</v>
      </c>
      <c r="U17" s="65">
        <v>2.2160000000000002</v>
      </c>
      <c r="V17" s="65">
        <v>2.2160000000000002</v>
      </c>
      <c r="W17" s="65">
        <v>2.2160000000000002</v>
      </c>
      <c r="X17" s="65">
        <v>2.2160000000000002</v>
      </c>
      <c r="Y17" s="65">
        <v>2.2160000000000002</v>
      </c>
      <c r="Z17" s="65">
        <v>2.2160000000000002</v>
      </c>
      <c r="AA17" s="65">
        <v>2.2160000000000002</v>
      </c>
      <c r="AB17" s="65">
        <v>2.2160000000000002</v>
      </c>
    </row>
    <row r="18" spans="1:28">
      <c r="A18" s="29" t="s">
        <v>36</v>
      </c>
      <c r="B18" s="47"/>
      <c r="C18" s="31"/>
      <c r="D18" s="31"/>
      <c r="E18" s="66"/>
      <c r="F18" s="66">
        <v>4.7E-2</v>
      </c>
      <c r="G18" s="66">
        <v>4.7E-2</v>
      </c>
      <c r="H18" s="66">
        <v>4.7E-2</v>
      </c>
      <c r="I18" s="66">
        <v>4.7E-2</v>
      </c>
      <c r="J18" s="66">
        <v>4.7E-2</v>
      </c>
      <c r="K18" s="66">
        <v>4.7E-2</v>
      </c>
      <c r="L18" s="66">
        <v>4.7E-2</v>
      </c>
      <c r="M18" s="66">
        <v>4.7E-2</v>
      </c>
      <c r="N18" s="66">
        <v>4.7E-2</v>
      </c>
      <c r="O18" s="66">
        <v>4.7E-2</v>
      </c>
      <c r="P18" s="66">
        <v>4.7E-2</v>
      </c>
      <c r="Q18" s="66">
        <v>4.7E-2</v>
      </c>
      <c r="R18" s="66">
        <v>4.7E-2</v>
      </c>
      <c r="S18" s="66">
        <v>4.7E-2</v>
      </c>
      <c r="T18" s="66">
        <v>4.7E-2</v>
      </c>
      <c r="U18" s="66">
        <v>4.7E-2</v>
      </c>
      <c r="V18" s="66">
        <v>4.7E-2</v>
      </c>
      <c r="W18" s="66">
        <v>4.7E-2</v>
      </c>
      <c r="X18" s="66">
        <v>4.7E-2</v>
      </c>
      <c r="Y18" s="66">
        <v>4.7E-2</v>
      </c>
      <c r="Z18" s="66">
        <v>4.7E-2</v>
      </c>
      <c r="AA18" s="66">
        <v>4.7E-2</v>
      </c>
      <c r="AB18" s="66">
        <v>4.7E-2</v>
      </c>
    </row>
    <row r="19" spans="1:28">
      <c r="A19" s="29" t="s">
        <v>37</v>
      </c>
      <c r="B19" s="47">
        <f>Assumption!C55</f>
        <v>0.03</v>
      </c>
      <c r="C19" s="31"/>
      <c r="D19" s="31"/>
      <c r="E19" s="66"/>
      <c r="F19" s="66">
        <f>AVERAGE('Bid Tariff'!D119:D124)</f>
        <v>1.1995234459999999</v>
      </c>
      <c r="G19" s="66">
        <f t="shared" ref="G19:AB19" si="9">F19*(1+$B$19)</f>
        <v>1.2355091493799999</v>
      </c>
      <c r="H19" s="66">
        <f t="shared" si="9"/>
        <v>1.2725744238613999</v>
      </c>
      <c r="I19" s="66">
        <f t="shared" si="9"/>
        <v>1.3107516565772419</v>
      </c>
      <c r="J19" s="66">
        <f t="shared" si="9"/>
        <v>1.3500742062745592</v>
      </c>
      <c r="K19" s="66">
        <f t="shared" si="9"/>
        <v>1.3905764324627961</v>
      </c>
      <c r="L19" s="66">
        <f t="shared" si="9"/>
        <v>1.4322937254366799</v>
      </c>
      <c r="M19" s="66">
        <f t="shared" si="9"/>
        <v>1.4752625371997803</v>
      </c>
      <c r="N19" s="66">
        <f t="shared" si="9"/>
        <v>1.5195204133157738</v>
      </c>
      <c r="O19" s="66">
        <f t="shared" si="9"/>
        <v>1.5651060257152472</v>
      </c>
      <c r="P19" s="66">
        <f t="shared" si="9"/>
        <v>1.6120592064867045</v>
      </c>
      <c r="Q19" s="66">
        <f t="shared" si="9"/>
        <v>1.6604209826813057</v>
      </c>
      <c r="R19" s="66">
        <f t="shared" si="9"/>
        <v>1.710233612161745</v>
      </c>
      <c r="S19" s="66">
        <f t="shared" si="9"/>
        <v>1.7615406205265973</v>
      </c>
      <c r="T19" s="66">
        <f t="shared" si="9"/>
        <v>1.8143868391423952</v>
      </c>
      <c r="U19" s="66">
        <f t="shared" si="9"/>
        <v>1.8688184443166671</v>
      </c>
      <c r="V19" s="66">
        <f t="shared" si="9"/>
        <v>1.9248829976461672</v>
      </c>
      <c r="W19" s="66">
        <f t="shared" si="9"/>
        <v>1.9826294875755524</v>
      </c>
      <c r="X19" s="66">
        <f t="shared" si="9"/>
        <v>2.042108372202819</v>
      </c>
      <c r="Y19" s="66">
        <f t="shared" si="9"/>
        <v>2.1033716233689037</v>
      </c>
      <c r="Z19" s="66">
        <f t="shared" si="9"/>
        <v>2.1664727720699708</v>
      </c>
      <c r="AA19" s="66">
        <f t="shared" si="9"/>
        <v>2.2314669552320701</v>
      </c>
      <c r="AB19" s="66">
        <f t="shared" si="9"/>
        <v>2.2984109638890322</v>
      </c>
    </row>
    <row r="20" spans="1:28">
      <c r="A20" s="29" t="s">
        <v>38</v>
      </c>
      <c r="B20" s="47">
        <f>Assumption!C56</f>
        <v>0.03</v>
      </c>
      <c r="C20" s="31"/>
      <c r="D20" s="31"/>
      <c r="E20" s="66"/>
      <c r="F20" s="66">
        <f>AVERAGE('Bid Tariff'!F119:F124)</f>
        <v>1.0065666073333335</v>
      </c>
      <c r="G20" s="66">
        <f t="shared" ref="G20:AB20" si="10">F20*(1+$B$20)</f>
        <v>1.0367636055533336</v>
      </c>
      <c r="H20" s="66">
        <f t="shared" si="10"/>
        <v>1.0678665137199337</v>
      </c>
      <c r="I20" s="66">
        <f t="shared" si="10"/>
        <v>1.0999025091315318</v>
      </c>
      <c r="J20" s="66">
        <f t="shared" si="10"/>
        <v>1.1328995844054777</v>
      </c>
      <c r="K20" s="66">
        <f t="shared" si="10"/>
        <v>1.166886571937642</v>
      </c>
      <c r="L20" s="66">
        <f t="shared" si="10"/>
        <v>1.2018931690957713</v>
      </c>
      <c r="M20" s="66">
        <f t="shared" si="10"/>
        <v>1.2379499641686444</v>
      </c>
      <c r="N20" s="66">
        <f t="shared" si="10"/>
        <v>1.2750884630937038</v>
      </c>
      <c r="O20" s="66">
        <f t="shared" si="10"/>
        <v>1.313341116986515</v>
      </c>
      <c r="P20" s="66">
        <f t="shared" si="10"/>
        <v>1.3527413504961106</v>
      </c>
      <c r="Q20" s="66">
        <f t="shared" si="10"/>
        <v>1.393323591010994</v>
      </c>
      <c r="R20" s="66">
        <f t="shared" si="10"/>
        <v>1.4351232987413238</v>
      </c>
      <c r="S20" s="66">
        <f t="shared" si="10"/>
        <v>1.4781769977035635</v>
      </c>
      <c r="T20" s="66">
        <f t="shared" si="10"/>
        <v>1.5225223076346703</v>
      </c>
      <c r="U20" s="66">
        <f t="shared" si="10"/>
        <v>1.5681979768637104</v>
      </c>
      <c r="V20" s="66">
        <f t="shared" si="10"/>
        <v>1.6152439161696217</v>
      </c>
      <c r="W20" s="66">
        <f t="shared" si="10"/>
        <v>1.6637012336547103</v>
      </c>
      <c r="X20" s="66">
        <f t="shared" si="10"/>
        <v>1.7136122706643517</v>
      </c>
      <c r="Y20" s="66">
        <f t="shared" si="10"/>
        <v>1.7650206387842824</v>
      </c>
      <c r="Z20" s="66">
        <f t="shared" si="10"/>
        <v>1.8179712579478109</v>
      </c>
      <c r="AA20" s="66">
        <f t="shared" si="10"/>
        <v>1.8725103956862452</v>
      </c>
      <c r="AB20" s="66">
        <f t="shared" si="10"/>
        <v>1.9286857075568327</v>
      </c>
    </row>
    <row r="21" spans="1:28" s="4" customFormat="1">
      <c r="A21" s="37" t="s">
        <v>43</v>
      </c>
      <c r="B21" s="49"/>
      <c r="C21" s="9"/>
      <c r="D21" s="9"/>
      <c r="E21" s="67"/>
      <c r="F21" s="67">
        <f t="shared" ref="F21:AB21" si="11">SUM(F17:F20)</f>
        <v>4.4910900533333331</v>
      </c>
      <c r="G21" s="67">
        <f t="shared" si="11"/>
        <v>4.4872727549333336</v>
      </c>
      <c r="H21" s="67">
        <f t="shared" si="11"/>
        <v>4.4924409375813337</v>
      </c>
      <c r="I21" s="67">
        <f t="shared" si="11"/>
        <v>4.5576541657087741</v>
      </c>
      <c r="J21" s="67">
        <f t="shared" si="11"/>
        <v>4.6299737906800376</v>
      </c>
      <c r="K21" s="67">
        <f t="shared" si="11"/>
        <v>4.7044630044004379</v>
      </c>
      <c r="L21" s="67">
        <f t="shared" si="11"/>
        <v>4.7811868945324516</v>
      </c>
      <c r="M21" s="67">
        <f t="shared" si="11"/>
        <v>4.8702125013684245</v>
      </c>
      <c r="N21" s="67">
        <f t="shared" si="11"/>
        <v>5.0046088764094776</v>
      </c>
      <c r="O21" s="67">
        <f t="shared" si="11"/>
        <v>5.1414471427017627</v>
      </c>
      <c r="P21" s="67">
        <f t="shared" si="11"/>
        <v>5.2278005569828156</v>
      </c>
      <c r="Q21" s="67">
        <f t="shared" si="11"/>
        <v>5.3167445736923007</v>
      </c>
      <c r="R21" s="67">
        <f t="shared" si="11"/>
        <v>5.4083569109030689</v>
      </c>
      <c r="S21" s="67">
        <f t="shared" si="11"/>
        <v>5.5027176182301609</v>
      </c>
      <c r="T21" s="67">
        <f t="shared" si="11"/>
        <v>5.5999091467770654</v>
      </c>
      <c r="U21" s="67">
        <f t="shared" si="11"/>
        <v>5.7000164211803783</v>
      </c>
      <c r="V21" s="67">
        <f t="shared" si="11"/>
        <v>5.803126913815789</v>
      </c>
      <c r="W21" s="67">
        <f t="shared" si="11"/>
        <v>5.9093307212302628</v>
      </c>
      <c r="X21" s="67">
        <f t="shared" si="11"/>
        <v>6.0187206428671711</v>
      </c>
      <c r="Y21" s="67">
        <f t="shared" si="11"/>
        <v>6.1313922621531862</v>
      </c>
      <c r="Z21" s="67">
        <f t="shared" si="11"/>
        <v>6.2474440300177818</v>
      </c>
      <c r="AA21" s="67">
        <f t="shared" si="11"/>
        <v>6.3669773509183152</v>
      </c>
      <c r="AB21" s="67">
        <f t="shared" si="11"/>
        <v>6.4900966714458654</v>
      </c>
    </row>
    <row r="22" spans="1:28">
      <c r="A22" s="29" t="s">
        <v>39</v>
      </c>
      <c r="B22" s="48">
        <f>Assumption!C57</f>
        <v>0.28000000000000003</v>
      </c>
      <c r="C22" s="31"/>
      <c r="D22" s="31"/>
      <c r="E22" s="65"/>
      <c r="F22" s="65">
        <f>B22</f>
        <v>0.28000000000000003</v>
      </c>
      <c r="G22" s="65">
        <f t="shared" ref="G22:AB22" si="12">F22</f>
        <v>0.28000000000000003</v>
      </c>
      <c r="H22" s="65">
        <f t="shared" si="12"/>
        <v>0.28000000000000003</v>
      </c>
      <c r="I22" s="65">
        <f t="shared" si="12"/>
        <v>0.28000000000000003</v>
      </c>
      <c r="J22" s="65">
        <f t="shared" si="12"/>
        <v>0.28000000000000003</v>
      </c>
      <c r="K22" s="65">
        <f t="shared" si="12"/>
        <v>0.28000000000000003</v>
      </c>
      <c r="L22" s="65">
        <f t="shared" si="12"/>
        <v>0.28000000000000003</v>
      </c>
      <c r="M22" s="65">
        <f t="shared" si="12"/>
        <v>0.28000000000000003</v>
      </c>
      <c r="N22" s="65">
        <f t="shared" si="12"/>
        <v>0.28000000000000003</v>
      </c>
      <c r="O22" s="65">
        <f t="shared" si="12"/>
        <v>0.28000000000000003</v>
      </c>
      <c r="P22" s="65">
        <f t="shared" si="12"/>
        <v>0.28000000000000003</v>
      </c>
      <c r="Q22" s="65">
        <f t="shared" si="12"/>
        <v>0.28000000000000003</v>
      </c>
      <c r="R22" s="65">
        <f t="shared" si="12"/>
        <v>0.28000000000000003</v>
      </c>
      <c r="S22" s="65">
        <f t="shared" si="12"/>
        <v>0.28000000000000003</v>
      </c>
      <c r="T22" s="65">
        <f t="shared" si="12"/>
        <v>0.28000000000000003</v>
      </c>
      <c r="U22" s="65">
        <f t="shared" si="12"/>
        <v>0.28000000000000003</v>
      </c>
      <c r="V22" s="65">
        <f t="shared" si="12"/>
        <v>0.28000000000000003</v>
      </c>
      <c r="W22" s="65">
        <f t="shared" si="12"/>
        <v>0.28000000000000003</v>
      </c>
      <c r="X22" s="65">
        <f t="shared" si="12"/>
        <v>0.28000000000000003</v>
      </c>
      <c r="Y22" s="65">
        <f t="shared" si="12"/>
        <v>0.28000000000000003</v>
      </c>
      <c r="Z22" s="65">
        <f t="shared" si="12"/>
        <v>0.28000000000000003</v>
      </c>
      <c r="AA22" s="65">
        <f t="shared" si="12"/>
        <v>0.28000000000000003</v>
      </c>
      <c r="AB22" s="65">
        <f t="shared" si="12"/>
        <v>0.28000000000000003</v>
      </c>
    </row>
    <row r="23" spans="1:28">
      <c r="A23" s="29" t="s">
        <v>648</v>
      </c>
      <c r="B23" s="48"/>
      <c r="C23" s="31"/>
      <c r="D23" s="31"/>
      <c r="E23" s="35"/>
      <c r="F23" s="35"/>
      <c r="G23" s="35"/>
      <c r="H23" s="65">
        <f>'FGD Input'!F250</f>
        <v>0.19588438879830519</v>
      </c>
      <c r="I23" s="65">
        <f>'FGD Input'!G250</f>
        <v>0.20658003428625271</v>
      </c>
      <c r="J23" s="65">
        <f>'FGD Input'!H250</f>
        <v>0.20544964934664181</v>
      </c>
      <c r="K23" s="65">
        <f>'FGD Input'!I250</f>
        <v>0.20443049505717609</v>
      </c>
      <c r="L23" s="65">
        <f>'FGD Input'!J250</f>
        <v>0.2030698298391998</v>
      </c>
      <c r="M23" s="65">
        <f>'FGD Input'!K250</f>
        <v>0.20197789900076929</v>
      </c>
      <c r="N23" s="65">
        <f>'FGD Input'!L250</f>
        <v>0.20120157720143139</v>
      </c>
      <c r="O23" s="65">
        <f>'FGD Input'!M250</f>
        <v>0.20046254889797588</v>
      </c>
      <c r="P23" s="65">
        <f>'FGD Input'!N250</f>
        <v>0.1993929597740681</v>
      </c>
      <c r="Q23" s="65">
        <f>'FGD Input'!O250</f>
        <v>0.19844881538383874</v>
      </c>
      <c r="R23" s="65">
        <f>'FGD Input'!P250</f>
        <v>0.19750773819217057</v>
      </c>
      <c r="S23" s="65">
        <f>'FGD Input'!Q250</f>
        <v>0.19695542730632581</v>
      </c>
      <c r="T23" s="65">
        <f>'FGD Input'!R250</f>
        <v>0.19641091971194458</v>
      </c>
      <c r="U23" s="65">
        <f>'FGD Input'!S250</f>
        <v>0.19126741046283524</v>
      </c>
      <c r="V23" s="65">
        <f>'FGD Input'!T250</f>
        <v>0.18192286542599809</v>
      </c>
      <c r="W23" s="65">
        <f>'FGD Input'!U250</f>
        <v>0.19382841445754775</v>
      </c>
      <c r="X23" s="65">
        <f>'FGD Input'!V250</f>
        <v>0.19991457804545282</v>
      </c>
      <c r="Y23" s="65">
        <f>'FGD Input'!W250</f>
        <v>0.20470262610247117</v>
      </c>
      <c r="Z23" s="65">
        <f>'FGD Input'!X250</f>
        <v>0.20945671439164032</v>
      </c>
      <c r="AA23" s="65">
        <f>'FGD Input'!Y250</f>
        <v>0.21479834107036189</v>
      </c>
      <c r="AB23" s="65">
        <f>'FGD Input'!Z250</f>
        <v>0.22012144282229534</v>
      </c>
    </row>
    <row r="24" spans="1:28" s="4" customFormat="1">
      <c r="A24" s="37" t="s">
        <v>42</v>
      </c>
      <c r="B24" s="50"/>
      <c r="C24" s="9"/>
      <c r="D24" s="9"/>
      <c r="E24" s="67"/>
      <c r="F24" s="67">
        <f t="shared" ref="F24:AB24" si="13">F21+SUM(F22:F23)</f>
        <v>4.7710900533333334</v>
      </c>
      <c r="G24" s="67">
        <f t="shared" si="13"/>
        <v>4.7672727549333338</v>
      </c>
      <c r="H24" s="67">
        <f t="shared" si="13"/>
        <v>4.968325326379639</v>
      </c>
      <c r="I24" s="67">
        <f t="shared" si="13"/>
        <v>5.0442341999950271</v>
      </c>
      <c r="J24" s="67">
        <f t="shared" si="13"/>
        <v>5.1154234400266798</v>
      </c>
      <c r="K24" s="67">
        <f t="shared" si="13"/>
        <v>5.1888934994576141</v>
      </c>
      <c r="L24" s="67">
        <f t="shared" si="13"/>
        <v>5.2642567243716512</v>
      </c>
      <c r="M24" s="67">
        <f t="shared" si="13"/>
        <v>5.352190400369194</v>
      </c>
      <c r="N24" s="67">
        <f t="shared" si="13"/>
        <v>5.4858104536109087</v>
      </c>
      <c r="O24" s="67">
        <f t="shared" si="13"/>
        <v>5.6219096915997389</v>
      </c>
      <c r="P24" s="67">
        <f t="shared" si="13"/>
        <v>5.7071935167568837</v>
      </c>
      <c r="Q24" s="67">
        <f t="shared" si="13"/>
        <v>5.7951933890761396</v>
      </c>
      <c r="R24" s="67">
        <f t="shared" si="13"/>
        <v>5.8858646490952395</v>
      </c>
      <c r="S24" s="67">
        <f t="shared" si="13"/>
        <v>5.9796730455364866</v>
      </c>
      <c r="T24" s="67">
        <f t="shared" si="13"/>
        <v>6.0763200664890098</v>
      </c>
      <c r="U24" s="67">
        <f t="shared" si="13"/>
        <v>6.1712838316432137</v>
      </c>
      <c r="V24" s="67">
        <f t="shared" si="13"/>
        <v>6.265049779241787</v>
      </c>
      <c r="W24" s="67">
        <f t="shared" si="13"/>
        <v>6.3831591356878103</v>
      </c>
      <c r="X24" s="67">
        <f t="shared" si="13"/>
        <v>6.4986352209126244</v>
      </c>
      <c r="Y24" s="67">
        <f t="shared" si="13"/>
        <v>6.6160948882556578</v>
      </c>
      <c r="Z24" s="67">
        <f t="shared" si="13"/>
        <v>6.7369007444094224</v>
      </c>
      <c r="AA24" s="67">
        <f t="shared" si="13"/>
        <v>6.8617756919886768</v>
      </c>
      <c r="AB24" s="67">
        <f t="shared" si="13"/>
        <v>6.9902181142681608</v>
      </c>
    </row>
    <row r="25" spans="1:28">
      <c r="A25" s="38"/>
      <c r="B25" s="51"/>
      <c r="C25" s="38"/>
      <c r="D25" s="38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>
      <c r="A26" s="29" t="s">
        <v>41</v>
      </c>
      <c r="B26" s="47">
        <f>Assumption!C52</f>
        <v>1</v>
      </c>
      <c r="C26" s="69">
        <v>208</v>
      </c>
      <c r="D26" s="68">
        <v>43191</v>
      </c>
      <c r="E26" s="36"/>
      <c r="F26" s="36">
        <f>IF(F5&lt;$D$27,($C$26*24000*(F6-E6)*$B$26)/10^6,0)</f>
        <v>1827.0719999999999</v>
      </c>
      <c r="G26" s="36">
        <f t="shared" ref="G26:AB26" si="14">IF(G5&lt;$D$27,($C$26*24000*(G6-F6)*$B$26)/10^6,0)</f>
        <v>1822.08</v>
      </c>
      <c r="H26" s="36">
        <f>IF(H5&lt;$D$27,($C$26*24000*(H6-G6)*$B$26)/10^6,0)</f>
        <v>1822.08</v>
      </c>
      <c r="I26" s="36">
        <f t="shared" si="14"/>
        <v>1822.08</v>
      </c>
      <c r="J26" s="36">
        <f t="shared" si="14"/>
        <v>1827.0719999999999</v>
      </c>
      <c r="K26" s="36">
        <f t="shared" si="14"/>
        <v>1822.08</v>
      </c>
      <c r="L26" s="36">
        <f t="shared" si="14"/>
        <v>1822.08</v>
      </c>
      <c r="M26" s="36">
        <f t="shared" si="14"/>
        <v>1822.08</v>
      </c>
      <c r="N26" s="36">
        <f t="shared" si="14"/>
        <v>1827.0719999999999</v>
      </c>
      <c r="O26" s="36">
        <f t="shared" si="14"/>
        <v>1822.08</v>
      </c>
      <c r="P26" s="36">
        <f t="shared" si="14"/>
        <v>0</v>
      </c>
      <c r="Q26" s="36">
        <f t="shared" si="14"/>
        <v>0</v>
      </c>
      <c r="R26" s="36">
        <f t="shared" si="14"/>
        <v>0</v>
      </c>
      <c r="S26" s="36">
        <f t="shared" si="14"/>
        <v>0</v>
      </c>
      <c r="T26" s="36">
        <f t="shared" si="14"/>
        <v>0</v>
      </c>
      <c r="U26" s="36">
        <f t="shared" si="14"/>
        <v>0</v>
      </c>
      <c r="V26" s="36">
        <f t="shared" si="14"/>
        <v>0</v>
      </c>
      <c r="W26" s="36">
        <f t="shared" si="14"/>
        <v>0</v>
      </c>
      <c r="X26" s="36">
        <f t="shared" si="14"/>
        <v>0</v>
      </c>
      <c r="Y26" s="36">
        <f t="shared" si="14"/>
        <v>0</v>
      </c>
      <c r="Z26" s="36">
        <f t="shared" si="14"/>
        <v>0</v>
      </c>
      <c r="AA26" s="36">
        <f t="shared" si="14"/>
        <v>0</v>
      </c>
      <c r="AB26" s="36">
        <f t="shared" si="14"/>
        <v>0</v>
      </c>
    </row>
    <row r="27" spans="1:28">
      <c r="A27" s="39"/>
      <c r="B27" s="48"/>
      <c r="C27" s="39"/>
      <c r="D27" s="70">
        <f>IF(Assumption!C53="Yes",Assumption!C54,DATE(2042,3,31))</f>
        <v>47208</v>
      </c>
      <c r="E27" s="36"/>
      <c r="F27" s="36"/>
      <c r="G27" s="36"/>
      <c r="H27" s="36">
        <f>IF($B$26&gt;85%,($C$26*24000*(H6-G6)*85%)/10^6,($C$26*24000*(H6-G6)*$B$26)/10^6)</f>
        <v>1548.768</v>
      </c>
      <c r="I27" s="36">
        <f t="shared" ref="I27:O27" si="15">IF($B$26&gt;85%,($C$26*24000*(I6-H6)*85%)/10^6,($C$26*24000*(I6-H6)*$B$26)/10^6)</f>
        <v>1548.768</v>
      </c>
      <c r="J27" s="36">
        <f t="shared" si="15"/>
        <v>1553.0111999999999</v>
      </c>
      <c r="K27" s="36">
        <f t="shared" si="15"/>
        <v>1548.768</v>
      </c>
      <c r="L27" s="36">
        <f t="shared" si="15"/>
        <v>1548.768</v>
      </c>
      <c r="M27" s="36">
        <f t="shared" si="15"/>
        <v>1548.768</v>
      </c>
      <c r="N27" s="36">
        <f t="shared" si="15"/>
        <v>1553.0111999999999</v>
      </c>
      <c r="O27" s="36">
        <f t="shared" si="15"/>
        <v>1548.768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>
      <c r="A28" s="39" t="s">
        <v>208</v>
      </c>
      <c r="B28" s="48"/>
      <c r="C28" s="39"/>
      <c r="D28" s="142"/>
      <c r="E28" s="36"/>
      <c r="F28" s="36">
        <f t="shared" ref="F28:G28" si="16">F26*F21/10</f>
        <v>820.5544885923839</v>
      </c>
      <c r="G28" s="36">
        <f t="shared" si="16"/>
        <v>817.61699413089286</v>
      </c>
      <c r="H28" s="36">
        <f>IF($B$26&gt;85%,((H27*H17)+(H26*(H21-H17)))/10,(H27*H21)/10)</f>
        <v>761.02650235481963</v>
      </c>
      <c r="I28" s="36">
        <f t="shared" ref="I28:O28" si="17">IF($B$26&gt;85%,((I27*I17)+(I26*(I21-I17)))/10,(I27*I21)/10)</f>
        <v>773.04553022546429</v>
      </c>
      <c r="J28" s="36">
        <f t="shared" si="17"/>
        <v>788.37677936853572</v>
      </c>
      <c r="K28" s="36">
        <f t="shared" si="17"/>
        <v>799.79527510579487</v>
      </c>
      <c r="L28" s="36">
        <f t="shared" si="17"/>
        <v>813.77498167896897</v>
      </c>
      <c r="M28" s="36">
        <f t="shared" si="17"/>
        <v>829.72284744933791</v>
      </c>
      <c r="N28" s="36">
        <f t="shared" si="17"/>
        <v>855.09872386392158</v>
      </c>
      <c r="O28" s="36">
        <f t="shared" si="17"/>
        <v>876.24686177740273</v>
      </c>
      <c r="P28" s="36">
        <f t="shared" ref="P28" si="18">IF($B$26&gt;85%,((P27*P17)+(P26*(P21-P17)))/10,(P27*P21)/10)</f>
        <v>0</v>
      </c>
      <c r="Q28" s="36">
        <f t="shared" ref="Q28" si="19">IF($B$26&gt;85%,((Q27*Q17)+(Q26*(Q21-Q17)))/10,(Q27*Q21)/10)</f>
        <v>0</v>
      </c>
      <c r="R28" s="36">
        <f t="shared" ref="R28" si="20">IF($B$26&gt;85%,((R27*R17)+(R26*(R21-R17)))/10,(R27*R21)/10)</f>
        <v>0</v>
      </c>
      <c r="S28" s="36">
        <f t="shared" ref="S28" si="21">IF($B$26&gt;85%,((S27*S17)+(S26*(S21-S17)))/10,(S27*S21)/10)</f>
        <v>0</v>
      </c>
      <c r="T28" s="36">
        <f t="shared" ref="T28" si="22">IF($B$26&gt;85%,((T27*T17)+(T26*(T21-T17)))/10,(T27*T21)/10)</f>
        <v>0</v>
      </c>
      <c r="U28" s="36">
        <f t="shared" ref="U28" si="23">IF($B$26&gt;85%,((U27*U17)+(U26*(U21-U17)))/10,(U27*U21)/10)</f>
        <v>0</v>
      </c>
      <c r="V28" s="36">
        <f t="shared" ref="V28" si="24">IF($B$26&gt;85%,((V27*V17)+(V26*(V21-V17)))/10,(V27*V21)/10)</f>
        <v>0</v>
      </c>
      <c r="W28" s="36">
        <f t="shared" ref="W28" si="25">IF($B$26&gt;85%,((W27*W17)+(W26*(W21-W17)))/10,(W27*W21)/10)</f>
        <v>0</v>
      </c>
      <c r="X28" s="36">
        <f t="shared" ref="X28" si="26">IF($B$26&gt;85%,((X27*X17)+(X26*(X21-X17)))/10,(X27*X21)/10)</f>
        <v>0</v>
      </c>
      <c r="Y28" s="36">
        <f t="shared" ref="Y28" si="27">IF($B$26&gt;85%,((Y27*Y17)+(Y26*(Y21-Y17)))/10,(Y27*Y21)/10)</f>
        <v>0</v>
      </c>
      <c r="Z28" s="36">
        <f t="shared" ref="Z28" si="28">IF($B$26&gt;85%,((Z27*Z17)+(Z26*(Z21-Z17)))/10,(Z27*Z21)/10)</f>
        <v>0</v>
      </c>
      <c r="AA28" s="36">
        <f t="shared" ref="AA28" si="29">IF($B$26&gt;85%,((AA27*AA17)+(AA26*(AA21-AA17)))/10,(AA27*AA21)/10)</f>
        <v>0</v>
      </c>
      <c r="AB28" s="36">
        <f t="shared" ref="AB28" si="30">IF($B$26&gt;85%,((AB27*AB17)+(AB26*(AB21-AB17)))/10,(AB27*AB21)/10)</f>
        <v>0</v>
      </c>
    </row>
    <row r="29" spans="1:28">
      <c r="A29" s="39" t="s">
        <v>209</v>
      </c>
      <c r="B29" s="48"/>
      <c r="C29" s="39"/>
      <c r="D29" s="5"/>
      <c r="E29" s="36"/>
      <c r="F29" s="36">
        <f t="shared" ref="F29:G29" si="31">(F22)*F26/10</f>
        <v>51.158016000000003</v>
      </c>
      <c r="G29" s="36">
        <f t="shared" si="31"/>
        <v>51.018240000000006</v>
      </c>
      <c r="H29" s="36">
        <f>(H22)*H26/10</f>
        <v>51.018240000000006</v>
      </c>
      <c r="I29" s="36">
        <f t="shared" ref="I29:AB29" si="32">(I22)*I26/10</f>
        <v>51.018240000000006</v>
      </c>
      <c r="J29" s="36">
        <f t="shared" si="32"/>
        <v>51.158016000000003</v>
      </c>
      <c r="K29" s="36">
        <f t="shared" si="32"/>
        <v>51.018240000000006</v>
      </c>
      <c r="L29" s="36">
        <f t="shared" si="32"/>
        <v>51.018240000000006</v>
      </c>
      <c r="M29" s="36">
        <f t="shared" si="32"/>
        <v>51.018240000000006</v>
      </c>
      <c r="N29" s="36">
        <f t="shared" si="32"/>
        <v>51.158016000000003</v>
      </c>
      <c r="O29" s="36">
        <f t="shared" si="32"/>
        <v>51.018240000000006</v>
      </c>
      <c r="P29" s="36">
        <f t="shared" si="32"/>
        <v>0</v>
      </c>
      <c r="Q29" s="36">
        <f t="shared" si="32"/>
        <v>0</v>
      </c>
      <c r="R29" s="36">
        <f t="shared" si="32"/>
        <v>0</v>
      </c>
      <c r="S29" s="36">
        <f t="shared" si="32"/>
        <v>0</v>
      </c>
      <c r="T29" s="36">
        <f t="shared" si="32"/>
        <v>0</v>
      </c>
      <c r="U29" s="36">
        <f t="shared" si="32"/>
        <v>0</v>
      </c>
      <c r="V29" s="36">
        <f t="shared" si="32"/>
        <v>0</v>
      </c>
      <c r="W29" s="36">
        <f t="shared" si="32"/>
        <v>0</v>
      </c>
      <c r="X29" s="36">
        <f t="shared" si="32"/>
        <v>0</v>
      </c>
      <c r="Y29" s="36">
        <f t="shared" si="32"/>
        <v>0</v>
      </c>
      <c r="Z29" s="36">
        <f t="shared" si="32"/>
        <v>0</v>
      </c>
      <c r="AA29" s="36">
        <f t="shared" si="32"/>
        <v>0</v>
      </c>
      <c r="AB29" s="36">
        <f t="shared" si="32"/>
        <v>0</v>
      </c>
    </row>
    <row r="30" spans="1:28">
      <c r="A30" s="39" t="s">
        <v>677</v>
      </c>
      <c r="B30" s="48"/>
      <c r="C30" s="39"/>
      <c r="D30" s="143"/>
      <c r="E30" s="36"/>
      <c r="F30" s="36"/>
      <c r="G30" s="36"/>
      <c r="H30" s="36">
        <f>H23*H26*'FGD Input'!F138/365/10</f>
        <v>0</v>
      </c>
      <c r="I30" s="36">
        <f>I23*I26*'FGD Input'!G138/365/10</f>
        <v>25.162439760230153</v>
      </c>
      <c r="J30" s="36">
        <f>J23*J26*'FGD Input'!H138/365/10</f>
        <v>37.639971625635816</v>
      </c>
      <c r="K30" s="36">
        <f>K23*K26*'FGD Input'!I138/365/10</f>
        <v>37.248871643377939</v>
      </c>
      <c r="L30" s="36">
        <f>L23*L26*'FGD Input'!J138/365/10</f>
        <v>37.000947555340915</v>
      </c>
      <c r="M30" s="36">
        <f>M23*M26*'FGD Input'!K138/365/10</f>
        <v>36.801989021132172</v>
      </c>
      <c r="N30" s="36">
        <f>N23*N26*'FGD Input'!L138/365/10</f>
        <v>36.861691811005464</v>
      </c>
      <c r="O30" s="36">
        <f>O23*O26*'FGD Input'!M138/365/10</f>
        <v>36.52588010960239</v>
      </c>
      <c r="P30" s="36">
        <f>P23*P26*'FGD Input'!N138/365/10</f>
        <v>0</v>
      </c>
      <c r="Q30" s="36">
        <f>Q23*Q26*'FGD Input'!O138/365/10</f>
        <v>0</v>
      </c>
      <c r="R30" s="36">
        <f>R23*R26*'FGD Input'!P138/365/10</f>
        <v>0</v>
      </c>
      <c r="S30" s="36">
        <f>S23*S26*'FGD Input'!Q138/365/10</f>
        <v>0</v>
      </c>
      <c r="T30" s="36">
        <f>T23*T26*'FGD Input'!R138/365/10</f>
        <v>0</v>
      </c>
      <c r="U30" s="36">
        <f>U23*U26*'FGD Input'!S138/365/10</f>
        <v>0</v>
      </c>
      <c r="V30" s="36">
        <f>V23*V26*'FGD Input'!T138/365/10</f>
        <v>0</v>
      </c>
      <c r="W30" s="36">
        <f>W23*W26*'FGD Input'!U138/365/10</f>
        <v>0</v>
      </c>
      <c r="X30" s="36">
        <f>X23*X26*'FGD Input'!V138/365/10</f>
        <v>0</v>
      </c>
      <c r="Y30" s="36">
        <f>Y23*Y26*'FGD Input'!W138/365/10</f>
        <v>0</v>
      </c>
      <c r="Z30" s="36">
        <f>Z23*Z26*'FGD Input'!X138/365/10</f>
        <v>0</v>
      </c>
      <c r="AA30" s="36">
        <f>AA23*AA26*'FGD Input'!Y138/365/10</f>
        <v>0</v>
      </c>
      <c r="AB30" s="36">
        <f>AB23*AB26*'FGD Input'!Z138/365/10</f>
        <v>0</v>
      </c>
    </row>
    <row r="31" spans="1:28" s="4" customFormat="1" ht="15.75" thickBot="1">
      <c r="A31" s="71" t="s">
        <v>40</v>
      </c>
      <c r="B31" s="72"/>
      <c r="C31" s="73"/>
      <c r="D31" s="73"/>
      <c r="E31" s="74"/>
      <c r="F31" s="74">
        <f>SUM(F28:F30)</f>
        <v>871.71250459238388</v>
      </c>
      <c r="G31" s="74">
        <f t="shared" ref="G31:AB31" si="33">SUM(G28:G30)</f>
        <v>868.63523413089285</v>
      </c>
      <c r="H31" s="74">
        <f>SUM(H28:H30)</f>
        <v>812.04474235481962</v>
      </c>
      <c r="I31" s="74">
        <f t="shared" si="33"/>
        <v>849.22620998569448</v>
      </c>
      <c r="J31" s="74">
        <f t="shared" si="33"/>
        <v>877.17476699417148</v>
      </c>
      <c r="K31" s="74">
        <f t="shared" si="33"/>
        <v>888.06238674917279</v>
      </c>
      <c r="L31" s="74">
        <f t="shared" si="33"/>
        <v>901.79416923430983</v>
      </c>
      <c r="M31" s="74">
        <f t="shared" si="33"/>
        <v>917.54307647047006</v>
      </c>
      <c r="N31" s="74">
        <f t="shared" si="33"/>
        <v>943.11843167492702</v>
      </c>
      <c r="O31" s="74">
        <f t="shared" si="33"/>
        <v>963.79098188700516</v>
      </c>
      <c r="P31" s="74">
        <f t="shared" si="33"/>
        <v>0</v>
      </c>
      <c r="Q31" s="74">
        <f t="shared" si="33"/>
        <v>0</v>
      </c>
      <c r="R31" s="74">
        <f t="shared" si="33"/>
        <v>0</v>
      </c>
      <c r="S31" s="74">
        <f t="shared" si="33"/>
        <v>0</v>
      </c>
      <c r="T31" s="74">
        <f t="shared" si="33"/>
        <v>0</v>
      </c>
      <c r="U31" s="74">
        <f t="shared" si="33"/>
        <v>0</v>
      </c>
      <c r="V31" s="74">
        <f t="shared" si="33"/>
        <v>0</v>
      </c>
      <c r="W31" s="74">
        <f t="shared" si="33"/>
        <v>0</v>
      </c>
      <c r="X31" s="74">
        <f t="shared" si="33"/>
        <v>0</v>
      </c>
      <c r="Y31" s="74">
        <f t="shared" si="33"/>
        <v>0</v>
      </c>
      <c r="Z31" s="74">
        <f t="shared" si="33"/>
        <v>0</v>
      </c>
      <c r="AA31" s="74">
        <f t="shared" si="33"/>
        <v>0</v>
      </c>
      <c r="AB31" s="74">
        <f t="shared" si="33"/>
        <v>0</v>
      </c>
    </row>
    <row r="32" spans="1:28" ht="15.75" thickTop="1">
      <c r="A32" s="56"/>
      <c r="B32" s="57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</row>
    <row r="33" spans="1:28">
      <c r="A33" s="56"/>
      <c r="B33" s="57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265"/>
      <c r="Q33" s="265"/>
      <c r="R33" s="265"/>
      <c r="S33" s="56"/>
      <c r="T33" s="56"/>
      <c r="U33" s="56"/>
      <c r="V33" s="56"/>
      <c r="W33" s="56"/>
      <c r="X33" s="56"/>
      <c r="Y33" s="56"/>
      <c r="Z33" s="56"/>
      <c r="AA33" s="56"/>
      <c r="AB33" s="56"/>
    </row>
    <row r="34" spans="1:28" ht="16.5" thickBot="1">
      <c r="A34" s="90" t="s">
        <v>34</v>
      </c>
      <c r="B34" s="55"/>
      <c r="C34" s="91"/>
      <c r="D34" s="91"/>
      <c r="E34" s="91"/>
      <c r="F34" s="91"/>
      <c r="G34" s="91"/>
      <c r="H34" s="91"/>
      <c r="I34" s="92"/>
      <c r="J34" s="92"/>
      <c r="K34" s="92"/>
      <c r="L34" s="92"/>
      <c r="M34" s="92"/>
      <c r="N34" s="92"/>
      <c r="O34" s="92"/>
      <c r="P34" s="92"/>
      <c r="Q34" s="481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1:28" ht="15.75" thickTop="1">
      <c r="A35" s="29" t="s">
        <v>35</v>
      </c>
      <c r="B35" s="47"/>
      <c r="C35" s="30"/>
      <c r="D35" s="30"/>
      <c r="E35" s="65"/>
      <c r="F35" s="65">
        <v>2.8490000000000002</v>
      </c>
      <c r="G35" s="65">
        <v>2.7229999999999999</v>
      </c>
      <c r="H35" s="65">
        <v>2.2080000000000002</v>
      </c>
      <c r="I35" s="65">
        <v>2.177</v>
      </c>
      <c r="J35" s="65">
        <v>2.177</v>
      </c>
      <c r="K35" s="65">
        <v>2.177</v>
      </c>
      <c r="L35" s="65">
        <v>2.1920000000000002</v>
      </c>
      <c r="M35" s="65">
        <v>2.246</v>
      </c>
      <c r="N35" s="65">
        <v>2.306</v>
      </c>
      <c r="O35" s="65">
        <v>2.363</v>
      </c>
      <c r="P35" s="65">
        <v>2.4249999999999998</v>
      </c>
      <c r="Q35" s="65">
        <v>2.4910000000000001</v>
      </c>
      <c r="R35" s="65">
        <v>2.2330000000000001</v>
      </c>
      <c r="S35" s="65">
        <v>2.177</v>
      </c>
      <c r="T35" s="65">
        <v>2.177</v>
      </c>
      <c r="U35" s="65">
        <v>2.177</v>
      </c>
      <c r="V35" s="65">
        <v>2.177</v>
      </c>
      <c r="W35" s="65">
        <v>2.3199999999999998</v>
      </c>
      <c r="X35" s="65">
        <v>2.403</v>
      </c>
      <c r="Y35" s="65">
        <v>2.4900000000000002</v>
      </c>
      <c r="Z35" s="65">
        <v>2.6880000000000002</v>
      </c>
      <c r="AA35" s="65">
        <v>2.7839999999999998</v>
      </c>
      <c r="AB35" s="65">
        <v>2.8889999999999998</v>
      </c>
    </row>
    <row r="36" spans="1:28">
      <c r="A36" s="29" t="s">
        <v>36</v>
      </c>
      <c r="B36" s="47"/>
      <c r="C36" s="31"/>
      <c r="D36" s="31"/>
      <c r="E36" s="66"/>
      <c r="F36" s="66">
        <v>0.55800000000000005</v>
      </c>
      <c r="G36" s="66">
        <v>0.59099999999999997</v>
      </c>
      <c r="H36" s="66">
        <v>0.626</v>
      </c>
      <c r="I36" s="66">
        <v>0.66400000000000003</v>
      </c>
      <c r="J36" s="66">
        <v>0.70399999999999996</v>
      </c>
      <c r="K36" s="66">
        <v>0.747</v>
      </c>
      <c r="L36" s="66">
        <v>0.79200000000000004</v>
      </c>
      <c r="M36" s="66">
        <v>0.84099999999999997</v>
      </c>
      <c r="N36" s="66">
        <v>0.89200000000000002</v>
      </c>
      <c r="O36" s="66">
        <v>0.94699999999999995</v>
      </c>
      <c r="P36" s="66">
        <v>1.006</v>
      </c>
      <c r="Q36" s="66">
        <v>1.0680000000000001</v>
      </c>
      <c r="R36" s="66">
        <v>1.1339999999999999</v>
      </c>
      <c r="S36" s="66">
        <v>1.2050000000000001</v>
      </c>
      <c r="T36" s="66">
        <v>1.28</v>
      </c>
      <c r="U36" s="66">
        <v>1.36</v>
      </c>
      <c r="V36" s="66">
        <v>1.446</v>
      </c>
      <c r="W36" s="66">
        <v>1.5369999999999999</v>
      </c>
      <c r="X36" s="66">
        <v>1.6339999999999999</v>
      </c>
      <c r="Y36" s="66">
        <v>1.7370000000000001</v>
      </c>
      <c r="Z36" s="66">
        <v>1.8460000000000001</v>
      </c>
      <c r="AA36" s="66">
        <v>1.9630000000000001</v>
      </c>
      <c r="AB36" s="66">
        <v>2.0880000000000001</v>
      </c>
    </row>
    <row r="37" spans="1:28">
      <c r="A37" s="29" t="s">
        <v>37</v>
      </c>
      <c r="B37" s="47">
        <f>Assumption!C65</f>
        <v>0.03</v>
      </c>
      <c r="C37" s="31"/>
      <c r="D37" s="31"/>
      <c r="E37" s="66"/>
      <c r="F37" s="66">
        <f>AVERAGE('Bid Tariff'!I119:I124)</f>
        <v>0.3465687925</v>
      </c>
      <c r="G37" s="66">
        <f t="shared" ref="G37:AB37" si="34">F37*(1+$B$19)</f>
        <v>0.35696585627499999</v>
      </c>
      <c r="H37" s="66">
        <f t="shared" si="34"/>
        <v>0.36767483196325002</v>
      </c>
      <c r="I37" s="66">
        <f t="shared" si="34"/>
        <v>0.3787050769221475</v>
      </c>
      <c r="J37" s="66">
        <f t="shared" si="34"/>
        <v>0.39006622922981193</v>
      </c>
      <c r="K37" s="66">
        <f t="shared" si="34"/>
        <v>0.40176821610670632</v>
      </c>
      <c r="L37" s="66">
        <f t="shared" si="34"/>
        <v>0.41382126258990753</v>
      </c>
      <c r="M37" s="66">
        <f t="shared" si="34"/>
        <v>0.42623590046760479</v>
      </c>
      <c r="N37" s="66">
        <f t="shared" si="34"/>
        <v>0.43902297748163294</v>
      </c>
      <c r="O37" s="66">
        <f t="shared" si="34"/>
        <v>0.45219366680608192</v>
      </c>
      <c r="P37" s="66">
        <f t="shared" si="34"/>
        <v>0.46575947681026436</v>
      </c>
      <c r="Q37" s="66">
        <f t="shared" si="34"/>
        <v>0.47973226111457229</v>
      </c>
      <c r="R37" s="66">
        <f t="shared" si="34"/>
        <v>0.49412422894800945</v>
      </c>
      <c r="S37" s="66">
        <f t="shared" si="34"/>
        <v>0.50894795581644969</v>
      </c>
      <c r="T37" s="66">
        <f t="shared" si="34"/>
        <v>0.52421639449094315</v>
      </c>
      <c r="U37" s="66">
        <f t="shared" si="34"/>
        <v>0.53994288632567145</v>
      </c>
      <c r="V37" s="66">
        <f t="shared" si="34"/>
        <v>0.55614117291544163</v>
      </c>
      <c r="W37" s="66">
        <f t="shared" si="34"/>
        <v>0.57282540810290494</v>
      </c>
      <c r="X37" s="66">
        <f t="shared" si="34"/>
        <v>0.59001017034599212</v>
      </c>
      <c r="Y37" s="66">
        <f t="shared" si="34"/>
        <v>0.60771047545637191</v>
      </c>
      <c r="Z37" s="66">
        <f t="shared" si="34"/>
        <v>0.62594178972006309</v>
      </c>
      <c r="AA37" s="66">
        <f t="shared" si="34"/>
        <v>0.644720043411665</v>
      </c>
      <c r="AB37" s="66">
        <f t="shared" si="34"/>
        <v>0.66406164471401496</v>
      </c>
    </row>
    <row r="38" spans="1:28">
      <c r="A38" s="29" t="s">
        <v>38</v>
      </c>
      <c r="B38" s="47">
        <f>Assumption!C66</f>
        <v>0.03</v>
      </c>
      <c r="C38" s="31"/>
      <c r="D38" s="31"/>
      <c r="E38" s="66"/>
      <c r="F38" s="66">
        <f>AVERAGE('Bid Tariff'!K119:K124)</f>
        <v>0.45748235250000002</v>
      </c>
      <c r="G38" s="66">
        <f t="shared" ref="G38:AB38" si="35">F38*(1+$B$20)</f>
        <v>0.47120682307500006</v>
      </c>
      <c r="H38" s="66">
        <f t="shared" si="35"/>
        <v>0.48534302776725008</v>
      </c>
      <c r="I38" s="66">
        <f t="shared" si="35"/>
        <v>0.4999033186002676</v>
      </c>
      <c r="J38" s="66">
        <f t="shared" si="35"/>
        <v>0.51490041815827559</v>
      </c>
      <c r="K38" s="66">
        <f t="shared" si="35"/>
        <v>0.53034743070302381</v>
      </c>
      <c r="L38" s="66">
        <f t="shared" si="35"/>
        <v>0.5462578536241145</v>
      </c>
      <c r="M38" s="66">
        <f t="shared" si="35"/>
        <v>0.56264558923283792</v>
      </c>
      <c r="N38" s="66">
        <f t="shared" si="35"/>
        <v>0.57952495690982309</v>
      </c>
      <c r="O38" s="66">
        <f t="shared" si="35"/>
        <v>0.59691070561711779</v>
      </c>
      <c r="P38" s="66">
        <f t="shared" si="35"/>
        <v>0.61481802678563136</v>
      </c>
      <c r="Q38" s="66">
        <f t="shared" si="35"/>
        <v>0.6332625675892003</v>
      </c>
      <c r="R38" s="66">
        <f t="shared" si="35"/>
        <v>0.65226044461687638</v>
      </c>
      <c r="S38" s="66">
        <f t="shared" si="35"/>
        <v>0.6718282579553827</v>
      </c>
      <c r="T38" s="66">
        <f t="shared" si="35"/>
        <v>0.6919831056940442</v>
      </c>
      <c r="U38" s="66">
        <f t="shared" si="35"/>
        <v>0.71274259886486557</v>
      </c>
      <c r="V38" s="66">
        <f t="shared" si="35"/>
        <v>0.73412487683081151</v>
      </c>
      <c r="W38" s="66">
        <f t="shared" si="35"/>
        <v>0.75614862313573583</v>
      </c>
      <c r="X38" s="66">
        <f t="shared" si="35"/>
        <v>0.77883308182980793</v>
      </c>
      <c r="Y38" s="66">
        <f t="shared" si="35"/>
        <v>0.80219807428470213</v>
      </c>
      <c r="Z38" s="66">
        <f t="shared" si="35"/>
        <v>0.82626401651324322</v>
      </c>
      <c r="AA38" s="66">
        <f t="shared" si="35"/>
        <v>0.85105193700864057</v>
      </c>
      <c r="AB38" s="66">
        <f t="shared" si="35"/>
        <v>0.87658349511889977</v>
      </c>
    </row>
    <row r="39" spans="1:28" s="4" customFormat="1">
      <c r="A39" s="37" t="s">
        <v>43</v>
      </c>
      <c r="B39" s="49"/>
      <c r="C39" s="9"/>
      <c r="D39" s="9"/>
      <c r="E39" s="67"/>
      <c r="F39" s="67">
        <f t="shared" ref="F39:AB39" si="36">SUM(F35:F38)</f>
        <v>4.2110511449999999</v>
      </c>
      <c r="G39" s="67">
        <f t="shared" si="36"/>
        <v>4.1421726793499998</v>
      </c>
      <c r="H39" s="67">
        <f t="shared" si="36"/>
        <v>3.6870178597305001</v>
      </c>
      <c r="I39" s="67">
        <f t="shared" si="36"/>
        <v>3.7196083955224153</v>
      </c>
      <c r="J39" s="67">
        <f t="shared" si="36"/>
        <v>3.7859666473880877</v>
      </c>
      <c r="K39" s="67">
        <f t="shared" si="36"/>
        <v>3.8561156468097302</v>
      </c>
      <c r="L39" s="67">
        <f t="shared" si="36"/>
        <v>3.9440791162140219</v>
      </c>
      <c r="M39" s="67">
        <f t="shared" si="36"/>
        <v>4.0758814897004427</v>
      </c>
      <c r="N39" s="67">
        <f t="shared" si="36"/>
        <v>4.216547934391456</v>
      </c>
      <c r="O39" s="67">
        <f t="shared" si="36"/>
        <v>4.3591043724231993</v>
      </c>
      <c r="P39" s="67">
        <f t="shared" si="36"/>
        <v>4.5115775035958956</v>
      </c>
      <c r="Q39" s="67">
        <f t="shared" si="36"/>
        <v>4.671994828703772</v>
      </c>
      <c r="R39" s="67">
        <f t="shared" si="36"/>
        <v>4.5133846735648859</v>
      </c>
      <c r="S39" s="67">
        <f t="shared" si="36"/>
        <v>4.5627762137718326</v>
      </c>
      <c r="T39" s="67">
        <f t="shared" si="36"/>
        <v>4.6731995001849871</v>
      </c>
      <c r="U39" s="67">
        <f t="shared" si="36"/>
        <v>4.7896854851905371</v>
      </c>
      <c r="V39" s="67">
        <f t="shared" si="36"/>
        <v>4.9132660497462535</v>
      </c>
      <c r="W39" s="67">
        <f t="shared" si="36"/>
        <v>5.18597403123864</v>
      </c>
      <c r="X39" s="67">
        <f t="shared" si="36"/>
        <v>5.4058432521757993</v>
      </c>
      <c r="Y39" s="67">
        <f t="shared" si="36"/>
        <v>5.636908549741074</v>
      </c>
      <c r="Z39" s="67">
        <f t="shared" si="36"/>
        <v>5.9862058062333068</v>
      </c>
      <c r="AA39" s="67">
        <f t="shared" si="36"/>
        <v>6.2427719804203052</v>
      </c>
      <c r="AB39" s="67">
        <f t="shared" si="36"/>
        <v>6.5176451398329149</v>
      </c>
    </row>
    <row r="40" spans="1:28">
      <c r="A40" s="29" t="s">
        <v>39</v>
      </c>
      <c r="B40" s="48">
        <f>Assumption!C67</f>
        <v>0.28000000000000003</v>
      </c>
      <c r="C40" s="31"/>
      <c r="D40" s="31"/>
      <c r="E40" s="65"/>
      <c r="F40" s="65">
        <f t="shared" ref="F40:AB40" si="37">$B$40</f>
        <v>0.28000000000000003</v>
      </c>
      <c r="G40" s="65">
        <f t="shared" si="37"/>
        <v>0.28000000000000003</v>
      </c>
      <c r="H40" s="65">
        <f t="shared" si="37"/>
        <v>0.28000000000000003</v>
      </c>
      <c r="I40" s="65">
        <f t="shared" si="37"/>
        <v>0.28000000000000003</v>
      </c>
      <c r="J40" s="65">
        <f t="shared" si="37"/>
        <v>0.28000000000000003</v>
      </c>
      <c r="K40" s="65">
        <f t="shared" si="37"/>
        <v>0.28000000000000003</v>
      </c>
      <c r="L40" s="65">
        <f t="shared" si="37"/>
        <v>0.28000000000000003</v>
      </c>
      <c r="M40" s="65">
        <f t="shared" si="37"/>
        <v>0.28000000000000003</v>
      </c>
      <c r="N40" s="65">
        <f t="shared" si="37"/>
        <v>0.28000000000000003</v>
      </c>
      <c r="O40" s="65">
        <f t="shared" si="37"/>
        <v>0.28000000000000003</v>
      </c>
      <c r="P40" s="65">
        <f t="shared" si="37"/>
        <v>0.28000000000000003</v>
      </c>
      <c r="Q40" s="65">
        <f t="shared" si="37"/>
        <v>0.28000000000000003</v>
      </c>
      <c r="R40" s="65">
        <f t="shared" si="37"/>
        <v>0.28000000000000003</v>
      </c>
      <c r="S40" s="65">
        <f t="shared" si="37"/>
        <v>0.28000000000000003</v>
      </c>
      <c r="T40" s="65">
        <f t="shared" si="37"/>
        <v>0.28000000000000003</v>
      </c>
      <c r="U40" s="65">
        <f t="shared" si="37"/>
        <v>0.28000000000000003</v>
      </c>
      <c r="V40" s="65">
        <f t="shared" si="37"/>
        <v>0.28000000000000003</v>
      </c>
      <c r="W40" s="65">
        <f t="shared" si="37"/>
        <v>0.28000000000000003</v>
      </c>
      <c r="X40" s="65">
        <f t="shared" si="37"/>
        <v>0.28000000000000003</v>
      </c>
      <c r="Y40" s="65">
        <f t="shared" si="37"/>
        <v>0.28000000000000003</v>
      </c>
      <c r="Z40" s="65">
        <f t="shared" si="37"/>
        <v>0.28000000000000003</v>
      </c>
      <c r="AA40" s="65">
        <f t="shared" si="37"/>
        <v>0.28000000000000003</v>
      </c>
      <c r="AB40" s="65">
        <f t="shared" si="37"/>
        <v>0.28000000000000003</v>
      </c>
    </row>
    <row r="41" spans="1:28">
      <c r="A41" s="29" t="s">
        <v>44</v>
      </c>
      <c r="B41" s="76">
        <f>-Assumption!C68</f>
        <v>-0.08</v>
      </c>
      <c r="C41" s="31"/>
      <c r="D41" s="31"/>
      <c r="E41" s="65"/>
      <c r="F41" s="65">
        <f t="shared" ref="F41:AB41" si="38">$B$41</f>
        <v>-0.08</v>
      </c>
      <c r="G41" s="65">
        <f t="shared" si="38"/>
        <v>-0.08</v>
      </c>
      <c r="H41" s="65">
        <f t="shared" si="38"/>
        <v>-0.08</v>
      </c>
      <c r="I41" s="65">
        <f t="shared" si="38"/>
        <v>-0.08</v>
      </c>
      <c r="J41" s="65">
        <f t="shared" si="38"/>
        <v>-0.08</v>
      </c>
      <c r="K41" s="65">
        <f t="shared" si="38"/>
        <v>-0.08</v>
      </c>
      <c r="L41" s="65">
        <f t="shared" si="38"/>
        <v>-0.08</v>
      </c>
      <c r="M41" s="65">
        <f t="shared" si="38"/>
        <v>-0.08</v>
      </c>
      <c r="N41" s="65">
        <f t="shared" si="38"/>
        <v>-0.08</v>
      </c>
      <c r="O41" s="65">
        <f t="shared" si="38"/>
        <v>-0.08</v>
      </c>
      <c r="P41" s="65">
        <f t="shared" si="38"/>
        <v>-0.08</v>
      </c>
      <c r="Q41" s="65">
        <f t="shared" si="38"/>
        <v>-0.08</v>
      </c>
      <c r="R41" s="65">
        <f t="shared" si="38"/>
        <v>-0.08</v>
      </c>
      <c r="S41" s="65">
        <f t="shared" si="38"/>
        <v>-0.08</v>
      </c>
      <c r="T41" s="65">
        <f t="shared" si="38"/>
        <v>-0.08</v>
      </c>
      <c r="U41" s="65">
        <f t="shared" si="38"/>
        <v>-0.08</v>
      </c>
      <c r="V41" s="65">
        <f t="shared" si="38"/>
        <v>-0.08</v>
      </c>
      <c r="W41" s="65">
        <f t="shared" si="38"/>
        <v>-0.08</v>
      </c>
      <c r="X41" s="65">
        <f t="shared" si="38"/>
        <v>-0.08</v>
      </c>
      <c r="Y41" s="65">
        <f t="shared" si="38"/>
        <v>-0.08</v>
      </c>
      <c r="Z41" s="65">
        <f t="shared" si="38"/>
        <v>-0.08</v>
      </c>
      <c r="AA41" s="65">
        <f t="shared" si="38"/>
        <v>-0.08</v>
      </c>
      <c r="AB41" s="65">
        <f t="shared" si="38"/>
        <v>-0.08</v>
      </c>
    </row>
    <row r="42" spans="1:28" s="4" customFormat="1">
      <c r="A42" s="37" t="s">
        <v>42</v>
      </c>
      <c r="B42" s="50"/>
      <c r="C42" s="9"/>
      <c r="D42" s="9"/>
      <c r="E42" s="67"/>
      <c r="F42" s="67">
        <f t="shared" ref="F42" si="39">F39+SUM(F40:F41)</f>
        <v>4.4110511450000001</v>
      </c>
      <c r="G42" s="67">
        <f t="shared" ref="G42" si="40">G39+SUM(G40:G41)</f>
        <v>4.34217267935</v>
      </c>
      <c r="H42" s="67">
        <f t="shared" ref="H42" si="41">H39+SUM(H40:H41)</f>
        <v>3.8870178597305003</v>
      </c>
      <c r="I42" s="67">
        <f t="shared" ref="I42" si="42">I39+SUM(I40:I41)</f>
        <v>3.9196083955224155</v>
      </c>
      <c r="J42" s="67">
        <f t="shared" ref="J42" si="43">J39+SUM(J40:J41)</f>
        <v>3.9859666473880879</v>
      </c>
      <c r="K42" s="67">
        <f t="shared" ref="K42" si="44">K39+SUM(K40:K41)</f>
        <v>4.0561156468097304</v>
      </c>
      <c r="L42" s="67">
        <f t="shared" ref="L42" si="45">L39+SUM(L40:L41)</f>
        <v>4.144079116214022</v>
      </c>
      <c r="M42" s="67">
        <f t="shared" ref="M42" si="46">M39+SUM(M40:M41)</f>
        <v>4.2758814897004429</v>
      </c>
      <c r="N42" s="67">
        <f t="shared" ref="N42" si="47">N39+SUM(N40:N41)</f>
        <v>4.4165479343914562</v>
      </c>
      <c r="O42" s="67">
        <f t="shared" ref="O42" si="48">O39+SUM(O40:O41)</f>
        <v>4.5591043724231994</v>
      </c>
      <c r="P42" s="67">
        <f t="shared" ref="P42" si="49">P39+SUM(P40:P41)</f>
        <v>4.7115775035958958</v>
      </c>
      <c r="Q42" s="67">
        <f t="shared" ref="Q42" si="50">Q39+SUM(Q40:Q41)</f>
        <v>4.8719948287037722</v>
      </c>
      <c r="R42" s="67">
        <f t="shared" ref="R42" si="51">R39+SUM(R40:R41)</f>
        <v>4.7133846735648861</v>
      </c>
      <c r="S42" s="67">
        <f t="shared" ref="S42" si="52">S39+SUM(S40:S41)</f>
        <v>4.7627762137718328</v>
      </c>
      <c r="T42" s="67">
        <f t="shared" ref="T42" si="53">T39+SUM(T40:T41)</f>
        <v>4.8731995001849873</v>
      </c>
      <c r="U42" s="67">
        <f t="shared" ref="U42" si="54">U39+SUM(U40:U41)</f>
        <v>4.9896854851905372</v>
      </c>
      <c r="V42" s="67">
        <f t="shared" ref="V42" si="55">V39+SUM(V40:V41)</f>
        <v>5.1132660497462536</v>
      </c>
      <c r="W42" s="67">
        <f t="shared" ref="W42" si="56">W39+SUM(W40:W41)</f>
        <v>5.3859740312386402</v>
      </c>
      <c r="X42" s="67">
        <f t="shared" ref="X42" si="57">X39+SUM(X40:X41)</f>
        <v>5.6058432521757995</v>
      </c>
      <c r="Y42" s="67">
        <f t="shared" ref="Y42" si="58">Y39+SUM(Y40:Y41)</f>
        <v>5.8369085497410742</v>
      </c>
      <c r="Z42" s="67">
        <f t="shared" ref="Z42" si="59">Z39+SUM(Z40:Z41)</f>
        <v>6.186205806233307</v>
      </c>
      <c r="AA42" s="67">
        <f t="shared" ref="AA42" si="60">AA39+SUM(AA40:AA41)</f>
        <v>6.4427719804203054</v>
      </c>
      <c r="AB42" s="67">
        <f t="shared" ref="AB42" si="61">AB39+SUM(AB40:AB41)</f>
        <v>6.7176451398329151</v>
      </c>
    </row>
    <row r="43" spans="1:28">
      <c r="A43" s="38"/>
      <c r="B43" s="51"/>
      <c r="C43" s="69">
        <v>250</v>
      </c>
      <c r="D43" s="68">
        <v>43191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</row>
    <row r="44" spans="1:28">
      <c r="A44" s="29" t="s">
        <v>41</v>
      </c>
      <c r="B44" s="47">
        <f>Assumption!C64</f>
        <v>0.85</v>
      </c>
      <c r="C44" s="69">
        <v>311</v>
      </c>
      <c r="D44" s="68">
        <f>Assumption!C63</f>
        <v>43313</v>
      </c>
      <c r="E44" s="36"/>
      <c r="F44" s="36">
        <f t="shared" ref="F44:AB44" si="62">($C$44*24000*(F6-E6)*$B$44)/10^6</f>
        <v>2322.0504000000001</v>
      </c>
      <c r="G44" s="36">
        <f t="shared" si="62"/>
        <v>2315.7060000000001</v>
      </c>
      <c r="H44" s="36">
        <f t="shared" si="62"/>
        <v>2315.7060000000001</v>
      </c>
      <c r="I44" s="36">
        <f t="shared" si="62"/>
        <v>2315.7060000000001</v>
      </c>
      <c r="J44" s="36">
        <f t="shared" si="62"/>
        <v>2322.0504000000001</v>
      </c>
      <c r="K44" s="36">
        <f t="shared" si="62"/>
        <v>2315.7060000000001</v>
      </c>
      <c r="L44" s="36">
        <f t="shared" si="62"/>
        <v>2315.7060000000001</v>
      </c>
      <c r="M44" s="36">
        <f t="shared" si="62"/>
        <v>2315.7060000000001</v>
      </c>
      <c r="N44" s="36">
        <f t="shared" si="62"/>
        <v>2322.0504000000001</v>
      </c>
      <c r="O44" s="36">
        <f t="shared" si="62"/>
        <v>2315.7060000000001</v>
      </c>
      <c r="P44" s="36">
        <f t="shared" si="62"/>
        <v>2315.7060000000001</v>
      </c>
      <c r="Q44" s="36">
        <f t="shared" si="62"/>
        <v>2315.7060000000001</v>
      </c>
      <c r="R44" s="36">
        <f t="shared" si="62"/>
        <v>2322.0504000000001</v>
      </c>
      <c r="S44" s="36">
        <f t="shared" si="62"/>
        <v>2315.7060000000001</v>
      </c>
      <c r="T44" s="36">
        <f t="shared" si="62"/>
        <v>2315.7060000000001</v>
      </c>
      <c r="U44" s="36">
        <f t="shared" si="62"/>
        <v>2315.7060000000001</v>
      </c>
      <c r="V44" s="36">
        <f t="shared" si="62"/>
        <v>2322.0504000000001</v>
      </c>
      <c r="W44" s="36">
        <f t="shared" si="62"/>
        <v>2315.7060000000001</v>
      </c>
      <c r="X44" s="36">
        <f t="shared" si="62"/>
        <v>2315.7060000000001</v>
      </c>
      <c r="Y44" s="36">
        <f t="shared" si="62"/>
        <v>2315.7060000000001</v>
      </c>
      <c r="Z44" s="36">
        <f t="shared" si="62"/>
        <v>2322.0504000000001</v>
      </c>
      <c r="AA44" s="36">
        <f t="shared" si="62"/>
        <v>2315.7060000000001</v>
      </c>
      <c r="AB44" s="36">
        <f t="shared" si="62"/>
        <v>2315.7060000000001</v>
      </c>
    </row>
    <row r="45" spans="1:28">
      <c r="A45" s="39"/>
      <c r="B45" s="48"/>
      <c r="C45" s="39"/>
      <c r="D45" s="70">
        <v>15431</v>
      </c>
      <c r="E45" s="36"/>
      <c r="F45" s="36"/>
      <c r="G45" s="36"/>
      <c r="H45" s="36">
        <f>IF($B$44&gt;85%,($C$44*24000*(H6-G6)*85%)/10^6,($C$44*24000*(H6-G6)*$B$44)/10^6)</f>
        <v>2315.7060000000001</v>
      </c>
      <c r="I45" s="36">
        <f t="shared" ref="I45:AB45" si="63">IF($B$44&gt;85%,($C$44*24000*(I6-H6)*85%)/10^6,($C$44*24000*(I6-H6)*$B$44)/10^6)</f>
        <v>2315.7060000000001</v>
      </c>
      <c r="J45" s="36">
        <f t="shared" si="63"/>
        <v>2322.0504000000001</v>
      </c>
      <c r="K45" s="36">
        <f t="shared" si="63"/>
        <v>2315.7060000000001</v>
      </c>
      <c r="L45" s="36">
        <f t="shared" si="63"/>
        <v>2315.7060000000001</v>
      </c>
      <c r="M45" s="36">
        <f t="shared" si="63"/>
        <v>2315.7060000000001</v>
      </c>
      <c r="N45" s="36">
        <f t="shared" si="63"/>
        <v>2322.0504000000001</v>
      </c>
      <c r="O45" s="36">
        <f t="shared" si="63"/>
        <v>2315.7060000000001</v>
      </c>
      <c r="P45" s="36">
        <f t="shared" si="63"/>
        <v>2315.7060000000001</v>
      </c>
      <c r="Q45" s="36">
        <f t="shared" si="63"/>
        <v>2315.7060000000001</v>
      </c>
      <c r="R45" s="36">
        <f t="shared" si="63"/>
        <v>2322.0504000000001</v>
      </c>
      <c r="S45" s="36">
        <f t="shared" si="63"/>
        <v>2315.7060000000001</v>
      </c>
      <c r="T45" s="36">
        <f t="shared" si="63"/>
        <v>2315.7060000000001</v>
      </c>
      <c r="U45" s="36">
        <f t="shared" si="63"/>
        <v>2315.7060000000001</v>
      </c>
      <c r="V45" s="36">
        <f t="shared" si="63"/>
        <v>2322.0504000000001</v>
      </c>
      <c r="W45" s="36">
        <f t="shared" si="63"/>
        <v>2315.7060000000001</v>
      </c>
      <c r="X45" s="36">
        <f t="shared" si="63"/>
        <v>2315.7060000000001</v>
      </c>
      <c r="Y45" s="36">
        <f t="shared" si="63"/>
        <v>2315.7060000000001</v>
      </c>
      <c r="Z45" s="36">
        <f t="shared" si="63"/>
        <v>2322.0504000000001</v>
      </c>
      <c r="AA45" s="36">
        <f t="shared" si="63"/>
        <v>2315.7060000000001</v>
      </c>
      <c r="AB45" s="36">
        <f t="shared" si="63"/>
        <v>2315.7060000000001</v>
      </c>
    </row>
    <row r="46" spans="1:28">
      <c r="A46" s="39" t="s">
        <v>208</v>
      </c>
      <c r="B46" s="48"/>
      <c r="C46" s="39"/>
      <c r="D46" s="142"/>
      <c r="E46" s="615"/>
      <c r="F46" s="36">
        <f>(F39+F41)*F44/10</f>
        <v>959.2508963667708</v>
      </c>
      <c r="G46" s="36">
        <f>(G39+G41)*G44/10</f>
        <v>940.67976466068706</v>
      </c>
      <c r="H46" s="66">
        <f>IF($B$44&gt;85%,((H45*H35)+(H44*(H39-H35+H41)))/10,(H45*H39+H41)/10)</f>
        <v>853.79693798850781</v>
      </c>
      <c r="I46" s="36">
        <f t="shared" ref="I46:AB46" si="64">IF($B$44&gt;85%,((I45*I35)+(I44*(I39-I35+I41)))/10,(I45*I39+I41)/10)</f>
        <v>861.34394791616307</v>
      </c>
      <c r="J46" s="36">
        <f t="shared" si="64"/>
        <v>879.11253679541676</v>
      </c>
      <c r="K46" s="36">
        <f t="shared" si="64"/>
        <v>892.95501400111732</v>
      </c>
      <c r="L46" s="36">
        <f t="shared" si="64"/>
        <v>913.32476738915079</v>
      </c>
      <c r="M46" s="36">
        <f t="shared" si="64"/>
        <v>943.84632209882545</v>
      </c>
      <c r="N46" s="36">
        <f t="shared" si="64"/>
        <v>979.09568176728555</v>
      </c>
      <c r="O46" s="36">
        <f t="shared" si="64"/>
        <v>1009.4324149846638</v>
      </c>
      <c r="P46" s="36">
        <f t="shared" si="64"/>
        <v>1044.7407094542036</v>
      </c>
      <c r="Q46" s="36">
        <f t="shared" si="64"/>
        <v>1081.8886456798298</v>
      </c>
      <c r="R46" s="36">
        <f t="shared" si="64"/>
        <v>1048.0226686605215</v>
      </c>
      <c r="S46" s="36">
        <f t="shared" si="64"/>
        <v>1056.5968254888717</v>
      </c>
      <c r="T46" s="36">
        <f t="shared" si="64"/>
        <v>1082.1676121775376</v>
      </c>
      <c r="U46" s="36">
        <f t="shared" si="64"/>
        <v>1109.1423416168639</v>
      </c>
      <c r="V46" s="36">
        <f t="shared" si="64"/>
        <v>1140.8771396119707</v>
      </c>
      <c r="W46" s="36">
        <f t="shared" si="64"/>
        <v>1200.9111179983506</v>
      </c>
      <c r="X46" s="36">
        <f t="shared" si="64"/>
        <v>1251.8263654123014</v>
      </c>
      <c r="Y46" s="36">
        <f t="shared" si="64"/>
        <v>1305.3342950086703</v>
      </c>
      <c r="Z46" s="36">
        <f t="shared" si="64"/>
        <v>1390.0191586846372</v>
      </c>
      <c r="AA46" s="36">
        <f t="shared" si="64"/>
        <v>1445.6344531691184</v>
      </c>
      <c r="AB46" s="36">
        <f t="shared" si="64"/>
        <v>1509.2869956181921</v>
      </c>
    </row>
    <row r="47" spans="1:28">
      <c r="A47" s="39" t="s">
        <v>209</v>
      </c>
      <c r="B47" s="48"/>
      <c r="C47" s="39"/>
      <c r="D47" s="5"/>
      <c r="E47" s="36"/>
      <c r="F47" s="36">
        <f t="shared" ref="F47:AB47" si="65">F40*F44/10</f>
        <v>65.017411199999998</v>
      </c>
      <c r="G47" s="36">
        <f t="shared" si="65"/>
        <v>64.839768000000021</v>
      </c>
      <c r="H47" s="36">
        <f t="shared" si="65"/>
        <v>64.839768000000021</v>
      </c>
      <c r="I47" s="36">
        <f t="shared" si="65"/>
        <v>64.839768000000021</v>
      </c>
      <c r="J47" s="36">
        <f t="shared" si="65"/>
        <v>65.017411199999998</v>
      </c>
      <c r="K47" s="36">
        <f t="shared" si="65"/>
        <v>64.839768000000021</v>
      </c>
      <c r="L47" s="36">
        <f t="shared" si="65"/>
        <v>64.839768000000021</v>
      </c>
      <c r="M47" s="36">
        <f t="shared" si="65"/>
        <v>64.839768000000021</v>
      </c>
      <c r="N47" s="36">
        <f t="shared" si="65"/>
        <v>65.017411199999998</v>
      </c>
      <c r="O47" s="36">
        <f t="shared" si="65"/>
        <v>64.839768000000021</v>
      </c>
      <c r="P47" s="36">
        <f t="shared" si="65"/>
        <v>64.839768000000021</v>
      </c>
      <c r="Q47" s="36">
        <f t="shared" si="65"/>
        <v>64.839768000000021</v>
      </c>
      <c r="R47" s="36">
        <f t="shared" si="65"/>
        <v>65.017411199999998</v>
      </c>
      <c r="S47" s="36">
        <f t="shared" si="65"/>
        <v>64.839768000000021</v>
      </c>
      <c r="T47" s="36">
        <f t="shared" si="65"/>
        <v>64.839768000000021</v>
      </c>
      <c r="U47" s="36">
        <f t="shared" si="65"/>
        <v>64.839768000000021</v>
      </c>
      <c r="V47" s="36">
        <f t="shared" si="65"/>
        <v>65.017411199999998</v>
      </c>
      <c r="W47" s="36">
        <f t="shared" si="65"/>
        <v>64.839768000000021</v>
      </c>
      <c r="X47" s="36">
        <f t="shared" si="65"/>
        <v>64.839768000000021</v>
      </c>
      <c r="Y47" s="36">
        <f t="shared" si="65"/>
        <v>64.839768000000021</v>
      </c>
      <c r="Z47" s="36">
        <f t="shared" si="65"/>
        <v>65.017411199999998</v>
      </c>
      <c r="AA47" s="36">
        <f t="shared" si="65"/>
        <v>64.839768000000021</v>
      </c>
      <c r="AB47" s="36">
        <f t="shared" si="65"/>
        <v>64.839768000000021</v>
      </c>
    </row>
    <row r="48" spans="1:28">
      <c r="A48" s="39" t="s">
        <v>677</v>
      </c>
      <c r="B48" s="48"/>
      <c r="C48" s="39"/>
      <c r="D48" s="143"/>
      <c r="E48" s="615"/>
      <c r="F48" s="36"/>
      <c r="G48" s="36"/>
      <c r="H48" s="36">
        <f>H23*H44*'FGD Input'!F139/365/10</f>
        <v>0</v>
      </c>
      <c r="I48" s="36">
        <f>I23*I44*'FGD Input'!G139/365/10</f>
        <v>23.984462562320338</v>
      </c>
      <c r="J48" s="36">
        <f>J23*J44*'FGD Input'!H139/365/10</f>
        <v>47.837146630946293</v>
      </c>
      <c r="K48" s="36">
        <f>K23*K44*'FGD Input'!I139/365/10</f>
        <v>47.340092398687297</v>
      </c>
      <c r="L48" s="36">
        <f>L23*L44*'FGD Input'!J139/365/10</f>
        <v>47.0250023377614</v>
      </c>
      <c r="M48" s="36">
        <f>M23*M44*'FGD Input'!K139/365/10</f>
        <v>46.772143258347548</v>
      </c>
      <c r="N48" s="36">
        <f>N23*N44*'FGD Input'!L139/365/10</f>
        <v>46.848020337688915</v>
      </c>
      <c r="O48" s="36">
        <f>O23*O44*'FGD Input'!M139/365/10</f>
        <v>46.421232725833612</v>
      </c>
      <c r="P48" s="36">
        <f>P23*P44*'FGD Input'!N139/365/10</f>
        <v>46.17354733065681</v>
      </c>
      <c r="Q48" s="36">
        <f>Q23*Q44*'FGD Input'!O139/365/10</f>
        <v>45.954911247724773</v>
      </c>
      <c r="R48" s="36">
        <f>R23*R44*'FGD Input'!P139/365/10</f>
        <v>45.987942362968312</v>
      </c>
      <c r="S48" s="36">
        <f>S23*S44*'FGD Input'!Q139/365/10</f>
        <v>45.609086474582256</v>
      </c>
      <c r="T48" s="36">
        <f>T23*T44*'FGD Input'!R139/365/10</f>
        <v>45.482994524246834</v>
      </c>
      <c r="U48" s="36">
        <f>U23*U44*'FGD Input'!S139/365/10</f>
        <v>44.291909001325038</v>
      </c>
      <c r="V48" s="36">
        <f>V23*V44*'FGD Input'!T139/365/10</f>
        <v>42.359141602728798</v>
      </c>
      <c r="W48" s="36">
        <f>W23*W44*'FGD Input'!U139/365/10</f>
        <v>44.884962232983007</v>
      </c>
      <c r="X48" s="36">
        <f>X23*X44*'FGD Input'!V139/365/10</f>
        <v>46.294338786732339</v>
      </c>
      <c r="Y48" s="36">
        <f>Y23*Y44*'FGD Input'!W139/365/10</f>
        <v>47.403109948124907</v>
      </c>
      <c r="Z48" s="36">
        <f>Z23*Z44*'FGD Input'!X139/365/10</f>
        <v>48.770156537397447</v>
      </c>
      <c r="AA48" s="36">
        <f>AA23*AA44*'FGD Input'!Y139/365/10</f>
        <v>49.740980720668347</v>
      </c>
      <c r="AB48" s="36">
        <f>AB23*AB44*'FGD Input'!Z139/365/10</f>
        <v>50.973654587224623</v>
      </c>
    </row>
    <row r="49" spans="1:28" s="4" customFormat="1" ht="15.75" thickBot="1">
      <c r="A49" s="71" t="s">
        <v>50</v>
      </c>
      <c r="B49" s="72"/>
      <c r="C49" s="73"/>
      <c r="D49" s="73"/>
      <c r="E49" s="74"/>
      <c r="F49" s="74">
        <f>SUM(F46:F48)</f>
        <v>1024.2683075667708</v>
      </c>
      <c r="G49" s="74">
        <f>SUM(G46:G48)</f>
        <v>1005.5195326606871</v>
      </c>
      <c r="H49" s="74">
        <f>SUM(H46:H48)</f>
        <v>918.63670598850786</v>
      </c>
      <c r="I49" s="74">
        <f t="shared" ref="I49:AB49" si="66">SUM(I46:I48)</f>
        <v>950.16817847848347</v>
      </c>
      <c r="J49" s="74">
        <f t="shared" si="66"/>
        <v>991.96709462636306</v>
      </c>
      <c r="K49" s="74">
        <f t="shared" si="66"/>
        <v>1005.1348743998046</v>
      </c>
      <c r="L49" s="74">
        <f t="shared" si="66"/>
        <v>1025.1895377269122</v>
      </c>
      <c r="M49" s="74">
        <f t="shared" si="66"/>
        <v>1055.458233357173</v>
      </c>
      <c r="N49" s="74">
        <f t="shared" si="66"/>
        <v>1090.9611133049746</v>
      </c>
      <c r="O49" s="74">
        <f t="shared" si="66"/>
        <v>1120.6934157104972</v>
      </c>
      <c r="P49" s="74">
        <f t="shared" si="66"/>
        <v>1155.7540247848606</v>
      </c>
      <c r="Q49" s="74">
        <f t="shared" si="66"/>
        <v>1192.6833249275546</v>
      </c>
      <c r="R49" s="74">
        <f t="shared" si="66"/>
        <v>1159.0280222234899</v>
      </c>
      <c r="S49" s="74">
        <f t="shared" si="66"/>
        <v>1167.0456799634539</v>
      </c>
      <c r="T49" s="74">
        <f t="shared" si="66"/>
        <v>1192.4903747017845</v>
      </c>
      <c r="U49" s="74">
        <f t="shared" si="66"/>
        <v>1218.2740186181888</v>
      </c>
      <c r="V49" s="74">
        <f t="shared" si="66"/>
        <v>1248.2536924146996</v>
      </c>
      <c r="W49" s="74">
        <f t="shared" si="66"/>
        <v>1310.6358482313337</v>
      </c>
      <c r="X49" s="74">
        <f t="shared" si="66"/>
        <v>1362.9604721990338</v>
      </c>
      <c r="Y49" s="74">
        <f t="shared" si="66"/>
        <v>1417.5771729567953</v>
      </c>
      <c r="Z49" s="74">
        <f t="shared" si="66"/>
        <v>1503.8067264220347</v>
      </c>
      <c r="AA49" s="74">
        <f t="shared" si="66"/>
        <v>1560.2152018897868</v>
      </c>
      <c r="AB49" s="74">
        <f t="shared" si="66"/>
        <v>1625.1004182054169</v>
      </c>
    </row>
    <row r="50" spans="1:28" ht="15.75" thickTop="1">
      <c r="A50" s="63"/>
      <c r="B50" s="64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</row>
    <row r="51" spans="1:28">
      <c r="A51" s="63"/>
      <c r="B51" s="64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</row>
    <row r="52" spans="1:28" ht="16.5" thickBot="1">
      <c r="A52" s="90" t="s">
        <v>45</v>
      </c>
      <c r="B52" s="55"/>
      <c r="C52" s="91"/>
      <c r="D52" s="91"/>
      <c r="E52" s="91"/>
      <c r="F52" s="91"/>
      <c r="G52" s="91"/>
      <c r="H52" s="91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</row>
    <row r="53" spans="1:28" ht="15.75" thickTop="1">
      <c r="A53" s="29" t="s">
        <v>690</v>
      </c>
      <c r="B53" s="47"/>
      <c r="C53" s="30"/>
      <c r="D53" s="30"/>
      <c r="E53" s="65"/>
      <c r="F53" s="65">
        <f>'Coal Cost'!F99</f>
        <v>1.7706075273541115</v>
      </c>
      <c r="G53" s="65">
        <f>'Coal Cost'!G99</f>
        <v>1.7706075273541115</v>
      </c>
      <c r="H53" s="65">
        <f>'Coal Cost'!H99</f>
        <v>1.7706075273541115</v>
      </c>
      <c r="I53" s="65">
        <f>'Coal Cost'!I99</f>
        <v>1.7706075273541115</v>
      </c>
      <c r="J53" s="65">
        <f>'Coal Cost'!J99</f>
        <v>1.7706075273541115</v>
      </c>
      <c r="K53" s="65">
        <f>'Coal Cost'!K99</f>
        <v>1.7706075273541115</v>
      </c>
      <c r="L53" s="65">
        <f>'Coal Cost'!L99</f>
        <v>1.7706075273541115</v>
      </c>
      <c r="M53" s="65">
        <f>'Coal Cost'!M99</f>
        <v>1.7706075273541115</v>
      </c>
      <c r="N53" s="65">
        <f>'Coal Cost'!N99</f>
        <v>1.7706075273541115</v>
      </c>
      <c r="O53" s="65">
        <f>'Coal Cost'!O99</f>
        <v>1.7706075273541115</v>
      </c>
      <c r="P53" s="65">
        <f>'Coal Cost'!P99</f>
        <v>1.7706075273541115</v>
      </c>
      <c r="Q53" s="65">
        <f>'Coal Cost'!Q99</f>
        <v>1.7706075273541115</v>
      </c>
      <c r="R53" s="65">
        <f>'Coal Cost'!R99</f>
        <v>1.7706075273541115</v>
      </c>
      <c r="S53" s="65">
        <f>'Coal Cost'!S99</f>
        <v>1.7706075273541115</v>
      </c>
      <c r="T53" s="65">
        <f>'Coal Cost'!T99</f>
        <v>1.7706075273541115</v>
      </c>
      <c r="U53" s="65">
        <f>'Coal Cost'!U99</f>
        <v>1.7706075273541115</v>
      </c>
      <c r="V53" s="65">
        <f>'Coal Cost'!V99</f>
        <v>1.7706075273541115</v>
      </c>
      <c r="W53" s="65">
        <f>'Coal Cost'!W99</f>
        <v>1.7706075273541115</v>
      </c>
      <c r="X53" s="65">
        <f>'Coal Cost'!X99</f>
        <v>1.7706075273541115</v>
      </c>
      <c r="Y53" s="65">
        <f>'Coal Cost'!Y99</f>
        <v>1.7706075273541115</v>
      </c>
      <c r="Z53" s="65">
        <f>'Coal Cost'!Z99</f>
        <v>1.7706075273541115</v>
      </c>
      <c r="AA53" s="65">
        <f>'Coal Cost'!AA99</f>
        <v>1.7706075273541115</v>
      </c>
      <c r="AB53" s="65">
        <f>'Coal Cost'!AB99</f>
        <v>1.7706075273541115</v>
      </c>
    </row>
    <row r="54" spans="1:28">
      <c r="A54" s="29" t="s">
        <v>129</v>
      </c>
      <c r="B54" s="48">
        <v>0.15</v>
      </c>
      <c r="C54" s="31"/>
      <c r="D54" s="31"/>
      <c r="E54" s="66"/>
      <c r="F54" s="66">
        <f>'Fuel &amp; O&amp;M'!F100</f>
        <v>0.35128476261230734</v>
      </c>
      <c r="G54" s="66">
        <f>'Fuel &amp; O&amp;M'!G100</f>
        <v>0.32046468945488898</v>
      </c>
      <c r="H54" s="66">
        <f>'Fuel &amp; O&amp;M'!H100</f>
        <v>0.3415933130119011</v>
      </c>
      <c r="I54" s="66">
        <f>'Fuel &amp; O&amp;M'!I100</f>
        <v>0.36623894655112765</v>
      </c>
      <c r="J54" s="66">
        <f>'Fuel &amp; O&amp;M'!J100</f>
        <v>0.38957982433263538</v>
      </c>
      <c r="K54" s="66">
        <f>'Fuel &amp; O&amp;M'!K100</f>
        <v>0.40976746659313362</v>
      </c>
      <c r="L54" s="66">
        <f>'Fuel &amp; O&amp;M'!L100</f>
        <v>0.43025583992279037</v>
      </c>
      <c r="M54" s="66">
        <f>'Fuel &amp; O&amp;M'!M100</f>
        <v>0.45176863191892991</v>
      </c>
      <c r="N54" s="66">
        <f>'Fuel &amp; O&amp;M'!N100</f>
        <v>0.47353671135022046</v>
      </c>
      <c r="O54" s="66">
        <f>'Fuel &amp; O&amp;M'!O100</f>
        <v>0.49807491669062015</v>
      </c>
      <c r="P54" s="66">
        <f>'Fuel &amp; O&amp;M'!P100</f>
        <v>0.52297866252515113</v>
      </c>
      <c r="Q54" s="66">
        <f>'Fuel &amp; O&amp;M'!Q100</f>
        <v>0.54912759565140878</v>
      </c>
      <c r="R54" s="66">
        <f>'Fuel &amp; O&amp;M'!R100</f>
        <v>0.575586832250639</v>
      </c>
      <c r="S54" s="66">
        <f>'Fuel &amp; O&amp;M'!S100</f>
        <v>0.60541317420567831</v>
      </c>
      <c r="T54" s="66">
        <f>'Fuel &amp; O&amp;M'!T100</f>
        <v>0.63568383291596242</v>
      </c>
      <c r="U54" s="66">
        <f>'Fuel &amp; O&amp;M'!U100</f>
        <v>0.66746802456176046</v>
      </c>
      <c r="V54" s="66">
        <f>'Fuel &amp; O&amp;M'!V100</f>
        <v>0.69962939201835361</v>
      </c>
      <c r="W54" s="66">
        <f>'Fuel &amp; O&amp;M'!W100</f>
        <v>0.73588349707934098</v>
      </c>
      <c r="X54" s="66">
        <f>'Fuel &amp; O&amp;M'!X100</f>
        <v>0.77267767193330794</v>
      </c>
      <c r="Y54" s="66">
        <f>'Fuel &amp; O&amp;M'!Y100</f>
        <v>0.81131155552997336</v>
      </c>
      <c r="Z54" s="66">
        <f>'Fuel &amp; O&amp;M'!Z100</f>
        <v>0.85040389868200894</v>
      </c>
      <c r="AA54" s="66">
        <f>'Fuel &amp; O&amp;M'!AA100</f>
        <v>0.89447098997179597</v>
      </c>
      <c r="AB54" s="66">
        <f>'Fuel &amp; O&amp;M'!AB100</f>
        <v>0.93919453947038578</v>
      </c>
    </row>
    <row r="55" spans="1:28">
      <c r="A55" s="29" t="s">
        <v>46</v>
      </c>
      <c r="B55" s="101">
        <f>Assumption!C87</f>
        <v>1</v>
      </c>
      <c r="C55" s="31"/>
      <c r="D55" s="31"/>
      <c r="E55" s="66"/>
      <c r="F55" s="66">
        <f t="shared" ref="F55:AB55" si="67">$B$55</f>
        <v>1</v>
      </c>
      <c r="G55" s="66">
        <f t="shared" si="67"/>
        <v>1</v>
      </c>
      <c r="H55" s="66">
        <f t="shared" si="67"/>
        <v>1</v>
      </c>
      <c r="I55" s="66">
        <f t="shared" si="67"/>
        <v>1</v>
      </c>
      <c r="J55" s="66">
        <f t="shared" si="67"/>
        <v>1</v>
      </c>
      <c r="K55" s="66">
        <f t="shared" si="67"/>
        <v>1</v>
      </c>
      <c r="L55" s="66">
        <f t="shared" si="67"/>
        <v>1</v>
      </c>
      <c r="M55" s="66">
        <f t="shared" si="67"/>
        <v>1</v>
      </c>
      <c r="N55" s="66">
        <f t="shared" si="67"/>
        <v>1</v>
      </c>
      <c r="O55" s="66">
        <f t="shared" si="67"/>
        <v>1</v>
      </c>
      <c r="P55" s="66">
        <f t="shared" si="67"/>
        <v>1</v>
      </c>
      <c r="Q55" s="66">
        <f t="shared" si="67"/>
        <v>1</v>
      </c>
      <c r="R55" s="66">
        <f t="shared" si="67"/>
        <v>1</v>
      </c>
      <c r="S55" s="66">
        <f t="shared" si="67"/>
        <v>1</v>
      </c>
      <c r="T55" s="66">
        <f t="shared" si="67"/>
        <v>1</v>
      </c>
      <c r="U55" s="66">
        <f t="shared" si="67"/>
        <v>1</v>
      </c>
      <c r="V55" s="66">
        <f t="shared" si="67"/>
        <v>1</v>
      </c>
      <c r="W55" s="66">
        <f t="shared" si="67"/>
        <v>1</v>
      </c>
      <c r="X55" s="66">
        <f t="shared" si="67"/>
        <v>1</v>
      </c>
      <c r="Y55" s="66">
        <f t="shared" si="67"/>
        <v>1</v>
      </c>
      <c r="Z55" s="66">
        <f t="shared" si="67"/>
        <v>1</v>
      </c>
      <c r="AA55" s="66">
        <f t="shared" si="67"/>
        <v>1</v>
      </c>
      <c r="AB55" s="66">
        <f t="shared" si="67"/>
        <v>1</v>
      </c>
    </row>
    <row r="56" spans="1:28" s="4" customFormat="1">
      <c r="A56" s="37" t="s">
        <v>42</v>
      </c>
      <c r="B56" s="50"/>
      <c r="C56" s="9"/>
      <c r="D56" s="9"/>
      <c r="E56" s="67"/>
      <c r="F56" s="67">
        <f t="shared" ref="F56:AB56" si="68">SUM(F53:F55)</f>
        <v>3.1218922899664188</v>
      </c>
      <c r="G56" s="67">
        <f t="shared" si="68"/>
        <v>3.0910722168090006</v>
      </c>
      <c r="H56" s="67">
        <f t="shared" si="68"/>
        <v>3.1122008403660129</v>
      </c>
      <c r="I56" s="67">
        <f t="shared" si="68"/>
        <v>3.1368464739052393</v>
      </c>
      <c r="J56" s="67">
        <f t="shared" si="68"/>
        <v>3.1601873516867469</v>
      </c>
      <c r="K56" s="67">
        <f t="shared" si="68"/>
        <v>3.180374993947245</v>
      </c>
      <c r="L56" s="67">
        <f t="shared" si="68"/>
        <v>3.2008633672769018</v>
      </c>
      <c r="M56" s="67">
        <f t="shared" si="68"/>
        <v>3.2223761592730416</v>
      </c>
      <c r="N56" s="67">
        <f t="shared" si="68"/>
        <v>3.2441442387043322</v>
      </c>
      <c r="O56" s="67">
        <f t="shared" si="68"/>
        <v>3.2686824440447317</v>
      </c>
      <c r="P56" s="67">
        <f t="shared" si="68"/>
        <v>3.2935861898792629</v>
      </c>
      <c r="Q56" s="67">
        <f t="shared" si="68"/>
        <v>3.3197351230055201</v>
      </c>
      <c r="R56" s="67">
        <f t="shared" si="68"/>
        <v>3.3461943596047505</v>
      </c>
      <c r="S56" s="67">
        <f t="shared" si="68"/>
        <v>3.3760207015597898</v>
      </c>
      <c r="T56" s="67">
        <f t="shared" si="68"/>
        <v>3.4062913602700737</v>
      </c>
      <c r="U56" s="67">
        <f t="shared" si="68"/>
        <v>3.4380755519158721</v>
      </c>
      <c r="V56" s="67">
        <f t="shared" si="68"/>
        <v>3.4702369193724651</v>
      </c>
      <c r="W56" s="67">
        <f t="shared" si="68"/>
        <v>3.5064910244334526</v>
      </c>
      <c r="X56" s="67">
        <f t="shared" si="68"/>
        <v>3.5432851992874195</v>
      </c>
      <c r="Y56" s="67">
        <f t="shared" si="68"/>
        <v>3.581919082884085</v>
      </c>
      <c r="Z56" s="67">
        <f t="shared" si="68"/>
        <v>3.6210114260361204</v>
      </c>
      <c r="AA56" s="67">
        <f t="shared" si="68"/>
        <v>3.6650785173259077</v>
      </c>
      <c r="AB56" s="67">
        <f t="shared" si="68"/>
        <v>3.7098020668244973</v>
      </c>
    </row>
    <row r="57" spans="1:28">
      <c r="A57" s="38"/>
      <c r="B57" s="51"/>
      <c r="C57" s="69"/>
      <c r="D57" s="68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spans="1:28">
      <c r="A58" s="29" t="s">
        <v>41</v>
      </c>
      <c r="B58" s="47">
        <f>Assumption!C83</f>
        <v>0.85</v>
      </c>
      <c r="C58" s="69">
        <f>Assumption!C80</f>
        <v>0</v>
      </c>
      <c r="D58" s="68">
        <f>Assumption!C81</f>
        <v>44287</v>
      </c>
      <c r="E58" s="36"/>
      <c r="F58" s="36">
        <v>0</v>
      </c>
      <c r="G58" s="36">
        <v>0</v>
      </c>
      <c r="H58" s="36">
        <f t="shared" ref="H58:AB58" si="69">IF(H5&lt;$D$59,($C$58*24000*(H6-G6)*$B$58)/10^6,0)</f>
        <v>0</v>
      </c>
      <c r="I58" s="36">
        <f t="shared" si="69"/>
        <v>0</v>
      </c>
      <c r="J58" s="36">
        <f t="shared" si="69"/>
        <v>0</v>
      </c>
      <c r="K58" s="36">
        <f t="shared" si="69"/>
        <v>0</v>
      </c>
      <c r="L58" s="36">
        <f t="shared" si="69"/>
        <v>0</v>
      </c>
      <c r="M58" s="36">
        <f t="shared" si="69"/>
        <v>0</v>
      </c>
      <c r="N58" s="36">
        <f t="shared" si="69"/>
        <v>0</v>
      </c>
      <c r="O58" s="36">
        <f t="shared" si="69"/>
        <v>0</v>
      </c>
      <c r="P58" s="36">
        <f t="shared" si="69"/>
        <v>0</v>
      </c>
      <c r="Q58" s="36">
        <f t="shared" si="69"/>
        <v>0</v>
      </c>
      <c r="R58" s="36">
        <f t="shared" si="69"/>
        <v>0</v>
      </c>
      <c r="S58" s="36">
        <f t="shared" si="69"/>
        <v>0</v>
      </c>
      <c r="T58" s="36">
        <f t="shared" si="69"/>
        <v>0</v>
      </c>
      <c r="U58" s="36">
        <f t="shared" si="69"/>
        <v>0</v>
      </c>
      <c r="V58" s="36">
        <f t="shared" si="69"/>
        <v>0</v>
      </c>
      <c r="W58" s="36">
        <f t="shared" si="69"/>
        <v>0</v>
      </c>
      <c r="X58" s="36">
        <f t="shared" si="69"/>
        <v>0</v>
      </c>
      <c r="Y58" s="36">
        <f t="shared" si="69"/>
        <v>0</v>
      </c>
      <c r="Z58" s="36">
        <f t="shared" si="69"/>
        <v>0</v>
      </c>
      <c r="AA58" s="36">
        <f t="shared" si="69"/>
        <v>0</v>
      </c>
      <c r="AB58" s="36">
        <f t="shared" si="69"/>
        <v>0</v>
      </c>
    </row>
    <row r="59" spans="1:28">
      <c r="A59" s="39"/>
      <c r="B59" s="48"/>
      <c r="C59" s="39"/>
      <c r="D59" s="70">
        <f>Assumption!C82</f>
        <v>45747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spans="1:28" s="4" customFormat="1" ht="15.75" thickBot="1">
      <c r="A60" s="71" t="s">
        <v>51</v>
      </c>
      <c r="B60" s="72"/>
      <c r="C60" s="73"/>
      <c r="D60" s="73"/>
      <c r="E60" s="74"/>
      <c r="F60" s="74">
        <f t="shared" ref="F60:AB60" si="70">F58*F56/10</f>
        <v>0</v>
      </c>
      <c r="G60" s="74">
        <f t="shared" si="70"/>
        <v>0</v>
      </c>
      <c r="H60" s="74">
        <f t="shared" si="70"/>
        <v>0</v>
      </c>
      <c r="I60" s="74">
        <f t="shared" si="70"/>
        <v>0</v>
      </c>
      <c r="J60" s="74">
        <f t="shared" si="70"/>
        <v>0</v>
      </c>
      <c r="K60" s="74">
        <f t="shared" si="70"/>
        <v>0</v>
      </c>
      <c r="L60" s="74">
        <f t="shared" si="70"/>
        <v>0</v>
      </c>
      <c r="M60" s="74">
        <f t="shared" si="70"/>
        <v>0</v>
      </c>
      <c r="N60" s="74">
        <f t="shared" si="70"/>
        <v>0</v>
      </c>
      <c r="O60" s="74">
        <f t="shared" si="70"/>
        <v>0</v>
      </c>
      <c r="P60" s="74">
        <f t="shared" si="70"/>
        <v>0</v>
      </c>
      <c r="Q60" s="74">
        <f t="shared" si="70"/>
        <v>0</v>
      </c>
      <c r="R60" s="74">
        <f t="shared" si="70"/>
        <v>0</v>
      </c>
      <c r="S60" s="74">
        <f t="shared" si="70"/>
        <v>0</v>
      </c>
      <c r="T60" s="74">
        <f t="shared" si="70"/>
        <v>0</v>
      </c>
      <c r="U60" s="74">
        <f t="shared" si="70"/>
        <v>0</v>
      </c>
      <c r="V60" s="74">
        <f t="shared" si="70"/>
        <v>0</v>
      </c>
      <c r="W60" s="74">
        <f t="shared" si="70"/>
        <v>0</v>
      </c>
      <c r="X60" s="74">
        <f t="shared" si="70"/>
        <v>0</v>
      </c>
      <c r="Y60" s="74">
        <f t="shared" si="70"/>
        <v>0</v>
      </c>
      <c r="Z60" s="74">
        <f t="shared" si="70"/>
        <v>0</v>
      </c>
      <c r="AA60" s="74">
        <f t="shared" si="70"/>
        <v>0</v>
      </c>
      <c r="AB60" s="74">
        <f t="shared" si="70"/>
        <v>0</v>
      </c>
    </row>
    <row r="61" spans="1:28" ht="15.75" thickTop="1">
      <c r="A61" s="63"/>
      <c r="B61" s="64"/>
      <c r="C61" s="63"/>
      <c r="D61" s="240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</row>
    <row r="62" spans="1:28">
      <c r="A62" s="63"/>
      <c r="B62" s="64"/>
      <c r="C62" s="246"/>
      <c r="D62" s="268"/>
      <c r="E62" s="268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</row>
    <row r="63" spans="1:28" ht="16.5" thickBot="1">
      <c r="A63" s="90" t="s">
        <v>55</v>
      </c>
      <c r="B63" s="55"/>
      <c r="C63" s="244"/>
      <c r="D63" s="245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</row>
    <row r="64" spans="1:28" ht="15.75" thickTop="1">
      <c r="A64" s="29" t="s">
        <v>56</v>
      </c>
      <c r="B64" s="47"/>
      <c r="C64" s="30"/>
      <c r="D64" s="30"/>
      <c r="E64" s="65"/>
      <c r="F64" s="65">
        <f>'Coal Cost'!F67</f>
        <v>1.961064385499558</v>
      </c>
      <c r="G64" s="65">
        <f>'Coal Cost'!G67</f>
        <v>2.0067452454465076</v>
      </c>
      <c r="H64" s="65">
        <f>'Coal Cost'!H67</f>
        <v>2.0537965311918653</v>
      </c>
      <c r="I64" s="65">
        <f>'Coal Cost'!I67</f>
        <v>2.1022593555095841</v>
      </c>
      <c r="J64" s="65">
        <f>'Coal Cost'!J67</f>
        <v>2.1521760645568353</v>
      </c>
      <c r="K64" s="65">
        <f>'Coal Cost'!K67</f>
        <v>2.203590274875503</v>
      </c>
      <c r="L64" s="65">
        <f>'Coal Cost'!L67</f>
        <v>2.2565469115037304</v>
      </c>
      <c r="M64" s="65">
        <f>'Coal Cost'!M67</f>
        <v>2.3110922472308046</v>
      </c>
      <c r="N64" s="65">
        <f>'Coal Cost'!N67</f>
        <v>2.3672739430296925</v>
      </c>
      <c r="O64" s="65">
        <f>'Coal Cost'!O67</f>
        <v>2.4251410897025458</v>
      </c>
      <c r="P64" s="65">
        <f>'Coal Cost'!P67</f>
        <v>2.4847442507755853</v>
      </c>
      <c r="Q64" s="65">
        <f>'Coal Cost'!Q67</f>
        <v>2.546135506680816</v>
      </c>
      <c r="R64" s="65">
        <f>'Coal Cost'!R67</f>
        <v>2.6093685002632032</v>
      </c>
      <c r="S64" s="65">
        <f>'Coal Cost'!S67</f>
        <v>2.6744984836530619</v>
      </c>
      <c r="T64" s="65">
        <f>'Coal Cost'!T67</f>
        <v>2.7415823665446166</v>
      </c>
      <c r="U64" s="65">
        <f>'Coal Cost'!U67</f>
        <v>2.8106787659229182</v>
      </c>
      <c r="V64" s="65">
        <f>'Coal Cost'!V67</f>
        <v>2.8818480572825687</v>
      </c>
      <c r="W64" s="65">
        <f>'Coal Cost'!W67</f>
        <v>2.9551524273830077</v>
      </c>
      <c r="X64" s="65">
        <f>'Coal Cost'!X67</f>
        <v>3.0306559285864614</v>
      </c>
      <c r="Y64" s="65">
        <f>'Coal Cost'!Y67</f>
        <v>3.1084245348260189</v>
      </c>
      <c r="Z64" s="65">
        <f>'Coal Cost'!Z67</f>
        <v>3.1885261992527614</v>
      </c>
      <c r="AA64" s="65">
        <f>'Coal Cost'!AA67</f>
        <v>3.2710309136123081</v>
      </c>
      <c r="AB64" s="65">
        <f>'Coal Cost'!AB67</f>
        <v>3.3560107694026402</v>
      </c>
    </row>
    <row r="65" spans="1:28">
      <c r="A65" s="29" t="s">
        <v>57</v>
      </c>
      <c r="B65" s="101"/>
      <c r="C65" s="31"/>
      <c r="D65" s="31"/>
      <c r="E65" s="66"/>
      <c r="F65" s="66">
        <f>('Financial Statement'!F14+'Financial Statement'!F18+'Financial Statement'!F19+'Financial Statement'!F22+'Financial Statement'!F25)/Revenue!F11*10*0</f>
        <v>0</v>
      </c>
      <c r="G65" s="66">
        <f ca="1">('Financial Statement'!G14+'Financial Statement'!G18+'Financial Statement'!G19+'Financial Statement'!G22+'Financial Statement'!G25)/Revenue!G11*10*0</f>
        <v>0</v>
      </c>
      <c r="H65" s="66">
        <f ca="1">('Financial Statement'!H14+'Financial Statement'!H18+'Financial Statement'!H19+'Financial Statement'!H22+'Financial Statement'!H25)/Revenue!H11*10*0</f>
        <v>0</v>
      </c>
      <c r="I65" s="66">
        <f ca="1">('Financial Statement'!I14+'Financial Statement'!I18+'Financial Statement'!I19+'Financial Statement'!I22+'Financial Statement'!I25)/Revenue!I11*10*0</f>
        <v>0</v>
      </c>
      <c r="J65" s="66">
        <f ca="1">('Financial Statement'!J14+'Financial Statement'!J18+'Financial Statement'!J19+'Financial Statement'!J22+'Financial Statement'!J25)/Revenue!J11*10*0</f>
        <v>0</v>
      </c>
      <c r="K65" s="66">
        <f ca="1">('Financial Statement'!K14+'Financial Statement'!K18+'Financial Statement'!K19+'Financial Statement'!K22+'Financial Statement'!K25)/Revenue!K11*10*0</f>
        <v>0</v>
      </c>
      <c r="L65" s="66">
        <f ca="1">('Financial Statement'!L14+'Financial Statement'!L18+'Financial Statement'!L19+'Financial Statement'!L22+'Financial Statement'!L25)/Revenue!L11*10*0</f>
        <v>0</v>
      </c>
      <c r="M65" s="66">
        <f ca="1">('Financial Statement'!M14+'Financial Statement'!M18+'Financial Statement'!M19+'Financial Statement'!M22+'Financial Statement'!M25)/Revenue!M11*10*0</f>
        <v>0</v>
      </c>
      <c r="N65" s="66">
        <f ca="1">('Financial Statement'!N14+'Financial Statement'!N18+'Financial Statement'!N19+'Financial Statement'!N22+'Financial Statement'!N25)/Revenue!N11*10*0</f>
        <v>0</v>
      </c>
      <c r="O65" s="66">
        <f ca="1">('Financial Statement'!O14+'Financial Statement'!O18+'Financial Statement'!O19+'Financial Statement'!O22+'Financial Statement'!O25)/Revenue!O11*10*0</f>
        <v>0</v>
      </c>
      <c r="P65" s="66">
        <f ca="1">('Financial Statement'!P14+'Financial Statement'!P18+'Financial Statement'!P19+'Financial Statement'!P22+'Financial Statement'!P25)/Revenue!P11*10*0</f>
        <v>0</v>
      </c>
      <c r="Q65" s="66">
        <f ca="1">('Financial Statement'!Q14+'Financial Statement'!Q18+'Financial Statement'!Q19+'Financial Statement'!Q22+'Financial Statement'!Q25)/Revenue!Q11*10*0</f>
        <v>0</v>
      </c>
      <c r="R65" s="66">
        <f ca="1">('Financial Statement'!R14+'Financial Statement'!R18+'Financial Statement'!R19+'Financial Statement'!R22+'Financial Statement'!R25)/Revenue!R11*10*0</f>
        <v>0</v>
      </c>
      <c r="S65" s="66">
        <f ca="1">('Financial Statement'!S14+'Financial Statement'!S18+'Financial Statement'!S19+'Financial Statement'!S22+'Financial Statement'!S25)/Revenue!S11*10*0</f>
        <v>0</v>
      </c>
      <c r="T65" s="66">
        <f ca="1">('Financial Statement'!T14+'Financial Statement'!T18+'Financial Statement'!T19+'Financial Statement'!T22+'Financial Statement'!T25)/Revenue!T11*10*0</f>
        <v>0</v>
      </c>
      <c r="U65" s="66">
        <f ca="1">('Financial Statement'!U14+'Financial Statement'!U18+'Financial Statement'!U19+'Financial Statement'!U22+'Financial Statement'!U25)/Revenue!U11*10*0</f>
        <v>0</v>
      </c>
      <c r="V65" s="66">
        <f ca="1">('Financial Statement'!V14+'Financial Statement'!V18+'Financial Statement'!V19+'Financial Statement'!V22+'Financial Statement'!V25)/Revenue!V11*10*0</f>
        <v>0</v>
      </c>
      <c r="W65" s="66">
        <f ca="1">('Financial Statement'!W14+'Financial Statement'!W18+'Financial Statement'!W19+'Financial Statement'!W22+'Financial Statement'!W25)/Revenue!W11*10*0</f>
        <v>0</v>
      </c>
      <c r="X65" s="66">
        <f ca="1">('Financial Statement'!X14+'Financial Statement'!X18+'Financial Statement'!X19+'Financial Statement'!X22+'Financial Statement'!X25)/Revenue!X11*10*0</f>
        <v>0</v>
      </c>
      <c r="Y65" s="66">
        <f ca="1">('Financial Statement'!Y14+'Financial Statement'!Y18+'Financial Statement'!Y19+'Financial Statement'!Y22+'Financial Statement'!Y25)/Revenue!Y11*10*0</f>
        <v>0</v>
      </c>
      <c r="Z65" s="66">
        <f ca="1">('Financial Statement'!Z14+'Financial Statement'!Z18+'Financial Statement'!Z19+'Financial Statement'!Z22+'Financial Statement'!Z25)/Revenue!Z11*10*0</f>
        <v>0</v>
      </c>
      <c r="AA65" s="66">
        <f ca="1">('Financial Statement'!AA14+'Financial Statement'!AA18+'Financial Statement'!AA19+'Financial Statement'!AA22+'Financial Statement'!AA25)/Revenue!AA11*10*0</f>
        <v>0</v>
      </c>
      <c r="AB65" s="66">
        <f ca="1">('Financial Statement'!AB14+'Financial Statement'!AB18+'Financial Statement'!AB19+'Financial Statement'!AB22+'Financial Statement'!AB25)/Revenue!AB11*10*0</f>
        <v>0</v>
      </c>
    </row>
    <row r="66" spans="1:28">
      <c r="A66" s="29" t="s">
        <v>46</v>
      </c>
      <c r="B66" s="101">
        <f>Assumption!C77</f>
        <v>1.3</v>
      </c>
      <c r="C66" s="31"/>
      <c r="D66" s="31"/>
      <c r="E66" s="66"/>
      <c r="F66" s="66">
        <f>B66</f>
        <v>1.3</v>
      </c>
      <c r="G66" s="66">
        <f t="shared" ref="G66:AB66" si="71">F66</f>
        <v>1.3</v>
      </c>
      <c r="H66" s="66">
        <f t="shared" si="71"/>
        <v>1.3</v>
      </c>
      <c r="I66" s="66">
        <f t="shared" si="71"/>
        <v>1.3</v>
      </c>
      <c r="J66" s="66">
        <f t="shared" si="71"/>
        <v>1.3</v>
      </c>
      <c r="K66" s="66">
        <f t="shared" si="71"/>
        <v>1.3</v>
      </c>
      <c r="L66" s="66">
        <f t="shared" si="71"/>
        <v>1.3</v>
      </c>
      <c r="M66" s="66">
        <f t="shared" si="71"/>
        <v>1.3</v>
      </c>
      <c r="N66" s="66">
        <f t="shared" si="71"/>
        <v>1.3</v>
      </c>
      <c r="O66" s="66">
        <f t="shared" si="71"/>
        <v>1.3</v>
      </c>
      <c r="P66" s="66">
        <f t="shared" si="71"/>
        <v>1.3</v>
      </c>
      <c r="Q66" s="66">
        <f t="shared" si="71"/>
        <v>1.3</v>
      </c>
      <c r="R66" s="66">
        <f t="shared" si="71"/>
        <v>1.3</v>
      </c>
      <c r="S66" s="66">
        <f t="shared" si="71"/>
        <v>1.3</v>
      </c>
      <c r="T66" s="66">
        <f t="shared" si="71"/>
        <v>1.3</v>
      </c>
      <c r="U66" s="66">
        <f t="shared" si="71"/>
        <v>1.3</v>
      </c>
      <c r="V66" s="66">
        <f t="shared" si="71"/>
        <v>1.3</v>
      </c>
      <c r="W66" s="66">
        <f t="shared" si="71"/>
        <v>1.3</v>
      </c>
      <c r="X66" s="66">
        <f t="shared" si="71"/>
        <v>1.3</v>
      </c>
      <c r="Y66" s="66">
        <f t="shared" si="71"/>
        <v>1.3</v>
      </c>
      <c r="Z66" s="66">
        <f t="shared" si="71"/>
        <v>1.3</v>
      </c>
      <c r="AA66" s="66">
        <f t="shared" si="71"/>
        <v>1.3</v>
      </c>
      <c r="AB66" s="66">
        <f t="shared" si="71"/>
        <v>1.3</v>
      </c>
    </row>
    <row r="67" spans="1:28" s="4" customFormat="1">
      <c r="A67" s="37" t="s">
        <v>42</v>
      </c>
      <c r="B67" s="50"/>
      <c r="C67" s="9"/>
      <c r="D67" s="9"/>
      <c r="E67" s="67"/>
      <c r="F67" s="67">
        <f t="shared" ref="F67" si="72">SUM(F64:F66)</f>
        <v>3.2610643854995578</v>
      </c>
      <c r="G67" s="67">
        <f t="shared" ref="G67" ca="1" si="73">SUM(G64:G66)</f>
        <v>3.3067452454465078</v>
      </c>
      <c r="H67" s="67">
        <f t="shared" ref="H67" ca="1" si="74">SUM(H64:H66)</f>
        <v>3.3537965311918656</v>
      </c>
      <c r="I67" s="67">
        <f t="shared" ref="I67" ca="1" si="75">SUM(I64:I66)</f>
        <v>3.4022593555095844</v>
      </c>
      <c r="J67" s="67">
        <f t="shared" ref="J67" ca="1" si="76">SUM(J64:J66)</f>
        <v>3.4521760645568351</v>
      </c>
      <c r="K67" s="67">
        <f t="shared" ref="K67" ca="1" si="77">SUM(K64:K66)</f>
        <v>3.5035902748755028</v>
      </c>
      <c r="L67" s="67">
        <f t="shared" ref="L67" ca="1" si="78">SUM(L64:L66)</f>
        <v>3.5565469115037303</v>
      </c>
      <c r="M67" s="67">
        <f t="shared" ref="M67" ca="1" si="79">SUM(M64:M66)</f>
        <v>3.6110922472308049</v>
      </c>
      <c r="N67" s="67">
        <f t="shared" ref="N67" ca="1" si="80">SUM(N64:N66)</f>
        <v>3.6672739430296923</v>
      </c>
      <c r="O67" s="67">
        <f t="shared" ref="O67" ca="1" si="81">SUM(O64:O66)</f>
        <v>3.7251410897025456</v>
      </c>
      <c r="P67" s="67">
        <f t="shared" ref="P67" ca="1" si="82">SUM(P64:P66)</f>
        <v>3.7847442507755851</v>
      </c>
      <c r="Q67" s="67">
        <f t="shared" ref="Q67" ca="1" si="83">SUM(Q64:Q66)</f>
        <v>3.8461355066808158</v>
      </c>
      <c r="R67" s="67">
        <f t="shared" ref="R67" ca="1" si="84">SUM(R64:R66)</f>
        <v>3.909368500263203</v>
      </c>
      <c r="S67" s="67">
        <f t="shared" ref="S67" ca="1" si="85">SUM(S64:S66)</f>
        <v>3.9744984836530621</v>
      </c>
      <c r="T67" s="67">
        <f t="shared" ref="T67" ca="1" si="86">SUM(T64:T66)</f>
        <v>4.0415823665446169</v>
      </c>
      <c r="U67" s="67">
        <f t="shared" ref="U67" ca="1" si="87">SUM(U64:U66)</f>
        <v>4.110678765922918</v>
      </c>
      <c r="V67" s="67">
        <f t="shared" ref="V67" ca="1" si="88">SUM(V64:V66)</f>
        <v>4.1818480572825685</v>
      </c>
      <c r="W67" s="67">
        <f t="shared" ref="W67" ca="1" si="89">SUM(W64:W66)</f>
        <v>4.2551524273830079</v>
      </c>
      <c r="X67" s="67">
        <f t="shared" ref="X67" ca="1" si="90">SUM(X64:X66)</f>
        <v>4.3306559285864612</v>
      </c>
      <c r="Y67" s="67">
        <f t="shared" ref="Y67" ca="1" si="91">SUM(Y64:Y66)</f>
        <v>4.4084245348260191</v>
      </c>
      <c r="Z67" s="67">
        <f t="shared" ref="Z67" ca="1" si="92">SUM(Z64:Z66)</f>
        <v>4.4885261992527612</v>
      </c>
      <c r="AA67" s="67">
        <f t="shared" ref="AA67" ca="1" si="93">SUM(AA64:AA66)</f>
        <v>4.571030913612308</v>
      </c>
      <c r="AB67" s="67">
        <f t="shared" ref="AB67" ca="1" si="94">SUM(AB64:AB66)</f>
        <v>4.6560107694026405</v>
      </c>
    </row>
    <row r="68" spans="1:28">
      <c r="A68" s="38"/>
      <c r="B68" s="51"/>
      <c r="C68" s="69"/>
      <c r="D68" s="68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spans="1:28">
      <c r="A69" s="29" t="s">
        <v>41</v>
      </c>
      <c r="B69" s="47">
        <f>Assumption!C73</f>
        <v>0.55000000000000004</v>
      </c>
      <c r="C69" s="69">
        <f>Assumption!C71</f>
        <v>0</v>
      </c>
      <c r="D69" s="68">
        <f>Assumption!C72</f>
        <v>44287</v>
      </c>
      <c r="E69" s="66"/>
      <c r="F69" s="66">
        <f t="shared" ref="F69:AB69" si="95">IF(AND($D$69&gt;E6,$D$69&lt;=F6),$C$69*24000*(F6-$D$69+1)/10^6*$B$69,IF(AND($D$69&lt;E6,$D$69&lt;F6),($C$69*24000*(F6-E6))/10^6*$B$69,0))</f>
        <v>0</v>
      </c>
      <c r="G69" s="36">
        <f t="shared" si="95"/>
        <v>0</v>
      </c>
      <c r="H69" s="36">
        <f t="shared" si="95"/>
        <v>0</v>
      </c>
      <c r="I69" s="36">
        <f t="shared" si="95"/>
        <v>0</v>
      </c>
      <c r="J69" s="36">
        <f t="shared" si="95"/>
        <v>0</v>
      </c>
      <c r="K69" s="36">
        <f t="shared" si="95"/>
        <v>0</v>
      </c>
      <c r="L69" s="36">
        <f t="shared" si="95"/>
        <v>0</v>
      </c>
      <c r="M69" s="36">
        <f t="shared" si="95"/>
        <v>0</v>
      </c>
      <c r="N69" s="36">
        <f t="shared" si="95"/>
        <v>0</v>
      </c>
      <c r="O69" s="36">
        <f t="shared" si="95"/>
        <v>0</v>
      </c>
      <c r="P69" s="36">
        <f t="shared" si="95"/>
        <v>0</v>
      </c>
      <c r="Q69" s="36">
        <f t="shared" si="95"/>
        <v>0</v>
      </c>
      <c r="R69" s="36">
        <f t="shared" si="95"/>
        <v>0</v>
      </c>
      <c r="S69" s="36">
        <f t="shared" si="95"/>
        <v>0</v>
      </c>
      <c r="T69" s="36">
        <f t="shared" si="95"/>
        <v>0</v>
      </c>
      <c r="U69" s="36">
        <f t="shared" si="95"/>
        <v>0</v>
      </c>
      <c r="V69" s="36">
        <f t="shared" si="95"/>
        <v>0</v>
      </c>
      <c r="W69" s="36">
        <f t="shared" si="95"/>
        <v>0</v>
      </c>
      <c r="X69" s="36">
        <f t="shared" si="95"/>
        <v>0</v>
      </c>
      <c r="Y69" s="36">
        <f t="shared" si="95"/>
        <v>0</v>
      </c>
      <c r="Z69" s="36">
        <f t="shared" si="95"/>
        <v>0</v>
      </c>
      <c r="AA69" s="36">
        <f t="shared" si="95"/>
        <v>0</v>
      </c>
      <c r="AB69" s="36">
        <f t="shared" si="95"/>
        <v>0</v>
      </c>
    </row>
    <row r="70" spans="1:28">
      <c r="A70" s="39"/>
      <c r="B70" s="48"/>
      <c r="C70" s="39"/>
      <c r="D70" s="70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spans="1:28" s="4" customFormat="1" ht="15.75" thickBot="1">
      <c r="A71" s="71" t="s">
        <v>51</v>
      </c>
      <c r="B71" s="72"/>
      <c r="C71" s="73"/>
      <c r="D71" s="73"/>
      <c r="E71" s="74"/>
      <c r="F71" s="74">
        <f t="shared" ref="F71:AB71" si="96">F69*F67/10</f>
        <v>0</v>
      </c>
      <c r="G71" s="74">
        <f t="shared" ca="1" si="96"/>
        <v>0</v>
      </c>
      <c r="H71" s="74">
        <f t="shared" ca="1" si="96"/>
        <v>0</v>
      </c>
      <c r="I71" s="74">
        <f t="shared" ca="1" si="96"/>
        <v>0</v>
      </c>
      <c r="J71" s="74">
        <f t="shared" ca="1" si="96"/>
        <v>0</v>
      </c>
      <c r="K71" s="74">
        <f t="shared" ca="1" si="96"/>
        <v>0</v>
      </c>
      <c r="L71" s="74">
        <f t="shared" ca="1" si="96"/>
        <v>0</v>
      </c>
      <c r="M71" s="74">
        <f t="shared" ca="1" si="96"/>
        <v>0</v>
      </c>
      <c r="N71" s="74">
        <f t="shared" ca="1" si="96"/>
        <v>0</v>
      </c>
      <c r="O71" s="74">
        <f t="shared" ca="1" si="96"/>
        <v>0</v>
      </c>
      <c r="P71" s="74">
        <f t="shared" ca="1" si="96"/>
        <v>0</v>
      </c>
      <c r="Q71" s="74">
        <f t="shared" ca="1" si="96"/>
        <v>0</v>
      </c>
      <c r="R71" s="74">
        <f t="shared" ca="1" si="96"/>
        <v>0</v>
      </c>
      <c r="S71" s="74">
        <f t="shared" ca="1" si="96"/>
        <v>0</v>
      </c>
      <c r="T71" s="74">
        <f t="shared" ca="1" si="96"/>
        <v>0</v>
      </c>
      <c r="U71" s="74">
        <f t="shared" ca="1" si="96"/>
        <v>0</v>
      </c>
      <c r="V71" s="74">
        <f t="shared" ca="1" si="96"/>
        <v>0</v>
      </c>
      <c r="W71" s="74">
        <f t="shared" ca="1" si="96"/>
        <v>0</v>
      </c>
      <c r="X71" s="74">
        <f t="shared" ca="1" si="96"/>
        <v>0</v>
      </c>
      <c r="Y71" s="74">
        <f t="shared" ca="1" si="96"/>
        <v>0</v>
      </c>
      <c r="Z71" s="74">
        <f t="shared" ca="1" si="96"/>
        <v>0</v>
      </c>
      <c r="AA71" s="74">
        <f t="shared" ca="1" si="96"/>
        <v>0</v>
      </c>
      <c r="AB71" s="74">
        <f t="shared" ca="1" si="96"/>
        <v>0</v>
      </c>
    </row>
    <row r="72" spans="1:28" s="4" customFormat="1" ht="15.75" thickTop="1">
      <c r="A72" s="102"/>
      <c r="B72" s="103"/>
      <c r="C72" s="102"/>
      <c r="D72" s="102"/>
      <c r="E72" s="104"/>
      <c r="F72" s="104"/>
      <c r="G72" s="104"/>
      <c r="H72" s="104"/>
      <c r="I72" s="104"/>
      <c r="J72" s="191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</row>
    <row r="73" spans="1:28" s="4" customFormat="1">
      <c r="A73" s="102"/>
      <c r="B73" s="103"/>
      <c r="C73" s="102"/>
      <c r="D73" s="102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</row>
    <row r="74" spans="1:28" ht="16.5" thickBot="1">
      <c r="A74" s="90" t="s">
        <v>65</v>
      </c>
      <c r="B74" s="55"/>
      <c r="C74" s="91"/>
      <c r="D74" s="91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</row>
    <row r="75" spans="1:28" ht="15.75" thickTop="1">
      <c r="A75" s="29" t="s">
        <v>66</v>
      </c>
      <c r="B75" s="47">
        <v>0.85</v>
      </c>
      <c r="C75" s="69">
        <f>Assumption!C90</f>
        <v>60</v>
      </c>
      <c r="D75" s="68">
        <v>42461</v>
      </c>
      <c r="E75" s="36"/>
      <c r="F75" s="36">
        <f>IF(AND($D$75&gt;E6,$D$75&lt;=F6),$C$75*24000*(F6-$D$75+1)/10^6*$B$75,IF(AND($D$75&lt;E6,$D$75&lt;F6),($C$75*24000*(F6-E6))/10^6*$B$75,0))</f>
        <v>447.98399999999998</v>
      </c>
      <c r="G75" s="36">
        <f t="shared" ref="G75:AB75" si="97">IF(AND($D$75&gt;F6,$D$75&lt;=G6),$C$75*24000*(G6-$D$75+1)/10^6*$B$75,IF(AND($D$75&lt;F6,$D$75&lt;G6),($C$75*24000*(G6-F6))/10^6*$B$75,0))</f>
        <v>446.76</v>
      </c>
      <c r="H75" s="36">
        <f t="shared" si="97"/>
        <v>446.76</v>
      </c>
      <c r="I75" s="36">
        <f t="shared" si="97"/>
        <v>446.76</v>
      </c>
      <c r="J75" s="36">
        <f t="shared" si="97"/>
        <v>447.98399999999998</v>
      </c>
      <c r="K75" s="36">
        <f t="shared" si="97"/>
        <v>446.76</v>
      </c>
      <c r="L75" s="36">
        <f t="shared" si="97"/>
        <v>446.76</v>
      </c>
      <c r="M75" s="36">
        <f t="shared" si="97"/>
        <v>446.76</v>
      </c>
      <c r="N75" s="36">
        <f t="shared" si="97"/>
        <v>447.98399999999998</v>
      </c>
      <c r="O75" s="36">
        <f t="shared" si="97"/>
        <v>446.76</v>
      </c>
      <c r="P75" s="36">
        <f t="shared" si="97"/>
        <v>446.76</v>
      </c>
      <c r="Q75" s="36">
        <f t="shared" si="97"/>
        <v>446.76</v>
      </c>
      <c r="R75" s="36">
        <f t="shared" si="97"/>
        <v>447.98399999999998</v>
      </c>
      <c r="S75" s="36">
        <f t="shared" si="97"/>
        <v>446.76</v>
      </c>
      <c r="T75" s="36">
        <f t="shared" si="97"/>
        <v>446.76</v>
      </c>
      <c r="U75" s="36">
        <f t="shared" si="97"/>
        <v>446.76</v>
      </c>
      <c r="V75" s="36">
        <f t="shared" si="97"/>
        <v>447.98399999999998</v>
      </c>
      <c r="W75" s="36">
        <f t="shared" si="97"/>
        <v>446.76</v>
      </c>
      <c r="X75" s="36">
        <f t="shared" si="97"/>
        <v>446.76</v>
      </c>
      <c r="Y75" s="36">
        <f t="shared" si="97"/>
        <v>446.76</v>
      </c>
      <c r="Z75" s="36">
        <f t="shared" si="97"/>
        <v>447.98399999999998</v>
      </c>
      <c r="AA75" s="36">
        <f t="shared" si="97"/>
        <v>446.76</v>
      </c>
      <c r="AB75" s="36">
        <f t="shared" si="97"/>
        <v>446.76</v>
      </c>
    </row>
    <row r="76" spans="1:28">
      <c r="A76" s="29"/>
      <c r="B76" s="101"/>
      <c r="C76" s="29"/>
      <c r="D76" s="29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</row>
    <row r="77" spans="1:28">
      <c r="A77" s="29" t="s">
        <v>42</v>
      </c>
      <c r="B77" s="105"/>
      <c r="C77" s="29"/>
      <c r="D77" s="29"/>
      <c r="E77" s="66"/>
      <c r="F77" s="66">
        <f>'Fuel &amp; O&amp;M'!F61</f>
        <v>1.7064263083684683</v>
      </c>
      <c r="G77" s="66">
        <f>'Fuel &amp; O&amp;M'!G61</f>
        <v>1.7333464219497516</v>
      </c>
      <c r="H77" s="66">
        <f>'Fuel &amp; O&amp;M'!H61</f>
        <v>1.7479802679476997</v>
      </c>
      <c r="I77" s="66">
        <f>'Fuel &amp; O&amp;M'!I61</f>
        <v>1.7760838178700813</v>
      </c>
      <c r="J77" s="66">
        <f>'Fuel &amp; O&amp;M'!J61</f>
        <v>1.8014144996563572</v>
      </c>
      <c r="K77" s="66">
        <f>'Fuel &amp; O&amp;M'!K61</f>
        <v>1.8185934999909117</v>
      </c>
      <c r="L77" s="66">
        <f>'Fuel &amp; O&amp;M'!L61</f>
        <v>1.8362599389176084</v>
      </c>
      <c r="M77" s="66">
        <f>'Fuel &amp; O&amp;M'!M61</f>
        <v>1.8544563710121056</v>
      </c>
      <c r="N77" s="66">
        <f>'Fuel &amp; O&amp;M'!N61</f>
        <v>1.8729755205963696</v>
      </c>
      <c r="O77" s="66">
        <f>'Fuel &amp; O&amp;M'!O61</f>
        <v>1.89250329087849</v>
      </c>
      <c r="P77" s="66">
        <f>'Fuel &amp; O&amp;M'!P61</f>
        <v>1.9123870235318137</v>
      </c>
      <c r="Q77" s="66">
        <f>'Fuel &amp; O&amp;M'!Q61</f>
        <v>1.9328672681647372</v>
      </c>
      <c r="R77" s="66">
        <f>'Fuel &amp; O&amp;M'!R61</f>
        <v>1.9535180801169492</v>
      </c>
      <c r="S77" s="66">
        <f>'Fuel &amp; O&amp;M'!S61</f>
        <v>1.9756894116677164</v>
      </c>
      <c r="T77" s="66">
        <f>'Fuel &amp; O&amp;M'!T61</f>
        <v>1.9980687279447173</v>
      </c>
      <c r="U77" s="66">
        <f>'Fuel &amp; O&amp;M'!U61</f>
        <v>2.0211194237100281</v>
      </c>
      <c r="V77" s="66">
        <f>'Fuel &amp; O&amp;M'!V61</f>
        <v>2.0441694404373094</v>
      </c>
      <c r="W77" s="66">
        <f>'Fuel &amp; O&amp;M'!W61</f>
        <v>2.0693161234857156</v>
      </c>
      <c r="X77" s="66">
        <f>'Fuel &amp; O&amp;M'!X61</f>
        <v>2.0945042411172561</v>
      </c>
      <c r="Y77" s="66">
        <f>'Fuel &amp; O&amp;M'!Y61</f>
        <v>2.120448002277743</v>
      </c>
      <c r="Z77" s="66">
        <f>'Fuel &amp; O&amp;M'!Z61</f>
        <v>2.1461983451163604</v>
      </c>
      <c r="AA77" s="66">
        <f>'Fuel &amp; O&amp;M'!AA61</f>
        <v>2.1746938124882047</v>
      </c>
      <c r="AB77" s="66">
        <f>'Fuel &amp; O&amp;M'!AB61</f>
        <v>2.2030432607898196</v>
      </c>
    </row>
    <row r="78" spans="1:28">
      <c r="A78" s="29"/>
      <c r="B78" s="105"/>
      <c r="C78" s="29"/>
      <c r="D78" s="29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</row>
    <row r="79" spans="1:28" s="4" customFormat="1" ht="15.75" thickBot="1">
      <c r="A79" s="71"/>
      <c r="B79" s="72"/>
      <c r="C79" s="73"/>
      <c r="D79" s="73"/>
      <c r="E79" s="74"/>
      <c r="F79" s="74">
        <f t="shared" ref="F79" si="98">(F75*F77)/10</f>
        <v>76.445168332813992</v>
      </c>
      <c r="G79" s="74">
        <f t="shared" ref="G79" si="99">(G75*G77)/10</f>
        <v>77.438984747027092</v>
      </c>
      <c r="H79" s="74">
        <f t="shared" ref="H79" si="100">(H75*H77)/10</f>
        <v>78.092766450831419</v>
      </c>
      <c r="I79" s="74">
        <f t="shared" ref="I79" si="101">(I75*I77)/10</f>
        <v>79.348320647163746</v>
      </c>
      <c r="J79" s="74">
        <f t="shared" ref="J79" si="102">(J75*J77)/10</f>
        <v>80.700487321405348</v>
      </c>
      <c r="K79" s="74">
        <f t="shared" ref="K79" si="103">(K75*K77)/10</f>
        <v>81.247483205593966</v>
      </c>
      <c r="L79" s="74">
        <f t="shared" ref="L79" si="104">(L75*L77)/10</f>
        <v>82.036749031083076</v>
      </c>
      <c r="M79" s="74">
        <f t="shared" ref="M79" si="105">(M75*M77)/10</f>
        <v>82.849692831336824</v>
      </c>
      <c r="N79" s="74">
        <f t="shared" ref="N79" si="106">(N75*N77)/10</f>
        <v>83.906306561884406</v>
      </c>
      <c r="O79" s="74">
        <f t="shared" ref="O79" si="107">(O75*O77)/10</f>
        <v>84.549477023287423</v>
      </c>
      <c r="P79" s="74">
        <f t="shared" ref="P79" si="108">(P75*P77)/10</f>
        <v>85.437802663307309</v>
      </c>
      <c r="Q79" s="74">
        <f t="shared" ref="Q79" si="109">(Q75*Q77)/10</f>
        <v>86.352778072527798</v>
      </c>
      <c r="R79" s="74">
        <f t="shared" ref="R79" si="110">(R75*R77)/10</f>
        <v>87.51448436031113</v>
      </c>
      <c r="S79" s="74">
        <f t="shared" ref="S79" si="111">(S75*S77)/10</f>
        <v>88.265900155666898</v>
      </c>
      <c r="T79" s="74">
        <f t="shared" ref="T79" si="112">(T75*T77)/10</f>
        <v>89.265718489658198</v>
      </c>
      <c r="U79" s="74">
        <f t="shared" ref="U79" si="113">(U75*U77)/10</f>
        <v>90.295531373669206</v>
      </c>
      <c r="V79" s="74">
        <f t="shared" ref="V79" si="114">(V75*V77)/10</f>
        <v>91.575520260486755</v>
      </c>
      <c r="W79" s="74">
        <f t="shared" ref="W79" si="115">(W75*W77)/10</f>
        <v>92.448767132847834</v>
      </c>
      <c r="X79" s="74">
        <f t="shared" ref="X79" si="116">(X75*X77)/10</f>
        <v>93.574071476154529</v>
      </c>
      <c r="Y79" s="74">
        <f t="shared" ref="Y79" si="117">(Y75*Y77)/10</f>
        <v>94.733134949760455</v>
      </c>
      <c r="Z79" s="74">
        <f t="shared" ref="Z79" si="118">(Z75*Z77)/10</f>
        <v>96.146251943860761</v>
      </c>
      <c r="AA79" s="74">
        <f t="shared" ref="AA79" si="119">(AA75*AA77)/10</f>
        <v>97.156620766723023</v>
      </c>
      <c r="AB79" s="74">
        <f t="shared" ref="AB79" si="120">(AB75*AB77)/10</f>
        <v>98.423160719045981</v>
      </c>
    </row>
    <row r="80" spans="1:28" s="4" customFormat="1" ht="15.75" thickTop="1">
      <c r="A80" s="102"/>
      <c r="B80" s="103"/>
      <c r="C80" s="102"/>
      <c r="D80" s="102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</row>
    <row r="81" spans="1:28" s="4" customFormat="1">
      <c r="A81" s="102"/>
      <c r="B81" s="103"/>
      <c r="C81" s="102"/>
      <c r="D81" s="102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</row>
    <row r="82" spans="1:28" ht="16.5" thickBot="1">
      <c r="A82" s="90" t="s">
        <v>58</v>
      </c>
      <c r="B82" s="55"/>
      <c r="C82" s="91"/>
      <c r="D82" s="91"/>
      <c r="E82" s="91"/>
      <c r="F82" s="91"/>
      <c r="G82" s="91"/>
      <c r="H82" s="91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</row>
    <row r="83" spans="1:28" ht="15.75" thickTop="1">
      <c r="A83" s="29" t="s">
        <v>59</v>
      </c>
      <c r="B83" s="47"/>
      <c r="C83" s="30"/>
      <c r="D83" s="30"/>
      <c r="E83" s="35"/>
      <c r="F83" s="35">
        <f t="shared" ref="F83:AB83" si="121">F11-F26-F44-F58-F69-F75</f>
        <v>1562.4100800000001</v>
      </c>
      <c r="G83" s="35">
        <f t="shared" si="121"/>
        <v>3021.4878119999985</v>
      </c>
      <c r="H83" s="35">
        <f t="shared" si="121"/>
        <v>2846.1239999999998</v>
      </c>
      <c r="I83" s="35">
        <f t="shared" si="121"/>
        <v>2795.3963999999996</v>
      </c>
      <c r="J83" s="35">
        <f t="shared" si="121"/>
        <v>2766.9600000000005</v>
      </c>
      <c r="K83" s="35">
        <f t="shared" si="121"/>
        <v>2759.3999999999996</v>
      </c>
      <c r="L83" s="35">
        <f t="shared" si="121"/>
        <v>2759.3999999999996</v>
      </c>
      <c r="M83" s="35">
        <f t="shared" si="121"/>
        <v>2759.3999999999996</v>
      </c>
      <c r="N83" s="35">
        <f t="shared" si="121"/>
        <v>2766.9600000000005</v>
      </c>
      <c r="O83" s="35">
        <f t="shared" si="121"/>
        <v>2759.3999999999996</v>
      </c>
      <c r="P83" s="35">
        <f t="shared" si="121"/>
        <v>4581.4799999999996</v>
      </c>
      <c r="Q83" s="35">
        <f t="shared" si="121"/>
        <v>4581.4799999999996</v>
      </c>
      <c r="R83" s="35">
        <f t="shared" si="121"/>
        <v>4594.0320000000002</v>
      </c>
      <c r="S83" s="35">
        <f t="shared" si="121"/>
        <v>4581.4799999999996</v>
      </c>
      <c r="T83" s="35">
        <f t="shared" si="121"/>
        <v>4581.4799999999996</v>
      </c>
      <c r="U83" s="35">
        <f t="shared" si="121"/>
        <v>4581.4799999999996</v>
      </c>
      <c r="V83" s="35">
        <f t="shared" si="121"/>
        <v>4594.0320000000002</v>
      </c>
      <c r="W83" s="35">
        <f t="shared" si="121"/>
        <v>4581.4799999999996</v>
      </c>
      <c r="X83" s="35">
        <f t="shared" si="121"/>
        <v>4581.4799999999996</v>
      </c>
      <c r="Y83" s="35">
        <f t="shared" si="121"/>
        <v>4581.4799999999996</v>
      </c>
      <c r="Z83" s="35">
        <f t="shared" si="121"/>
        <v>4594.0320000000002</v>
      </c>
      <c r="AA83" s="35">
        <f t="shared" si="121"/>
        <v>4581.4799999999996</v>
      </c>
      <c r="AB83" s="35">
        <f t="shared" si="121"/>
        <v>4581.4799999999996</v>
      </c>
    </row>
    <row r="84" spans="1:28">
      <c r="A84" s="29"/>
      <c r="B84" s="101"/>
      <c r="C84" s="31"/>
      <c r="D84" s="31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</row>
    <row r="85" spans="1:28">
      <c r="A85" s="29" t="s">
        <v>42</v>
      </c>
      <c r="B85" s="105">
        <f>Assumption!C96</f>
        <v>0.03</v>
      </c>
      <c r="C85" s="31"/>
      <c r="D85" s="31"/>
      <c r="E85" s="66"/>
      <c r="F85" s="66">
        <f>Assumption!C95</f>
        <v>2.9</v>
      </c>
      <c r="G85" s="66">
        <f>F85*(1+$B$85)*0+3.05</f>
        <v>3.05</v>
      </c>
      <c r="H85" s="66">
        <f>IF($C$90=1,(H92+H94+IF($C$92=1,H93,H95))*$C$90,3.05)</f>
        <v>3.05</v>
      </c>
      <c r="I85" s="66">
        <f t="shared" ref="I85:AB85" si="122">IF($C$90=1,(I92+I94+IF($C$92=1,I93,I95))*$C$90,3.05)</f>
        <v>3.05</v>
      </c>
      <c r="J85" s="66">
        <f t="shared" si="122"/>
        <v>3.05</v>
      </c>
      <c r="K85" s="66">
        <f t="shared" si="122"/>
        <v>3.05</v>
      </c>
      <c r="L85" s="66">
        <f t="shared" si="122"/>
        <v>3.05</v>
      </c>
      <c r="M85" s="66">
        <f t="shared" si="122"/>
        <v>3.05</v>
      </c>
      <c r="N85" s="66">
        <f t="shared" si="122"/>
        <v>3.05</v>
      </c>
      <c r="O85" s="66">
        <f t="shared" si="122"/>
        <v>3.05</v>
      </c>
      <c r="P85" s="66">
        <f t="shared" si="122"/>
        <v>3.05</v>
      </c>
      <c r="Q85" s="66">
        <f t="shared" si="122"/>
        <v>3.05</v>
      </c>
      <c r="R85" s="66">
        <f t="shared" si="122"/>
        <v>3.05</v>
      </c>
      <c r="S85" s="66">
        <f t="shared" si="122"/>
        <v>3.05</v>
      </c>
      <c r="T85" s="66">
        <f t="shared" si="122"/>
        <v>3.05</v>
      </c>
      <c r="U85" s="66">
        <f t="shared" si="122"/>
        <v>3.05</v>
      </c>
      <c r="V85" s="66">
        <f t="shared" si="122"/>
        <v>3.05</v>
      </c>
      <c r="W85" s="66">
        <f t="shared" si="122"/>
        <v>3.05</v>
      </c>
      <c r="X85" s="66">
        <f t="shared" si="122"/>
        <v>3.05</v>
      </c>
      <c r="Y85" s="66">
        <f t="shared" si="122"/>
        <v>3.05</v>
      </c>
      <c r="Z85" s="66">
        <f t="shared" si="122"/>
        <v>3.05</v>
      </c>
      <c r="AA85" s="66">
        <f t="shared" si="122"/>
        <v>3.05</v>
      </c>
      <c r="AB85" s="66">
        <f t="shared" si="122"/>
        <v>3.05</v>
      </c>
    </row>
    <row r="86" spans="1:28">
      <c r="A86" s="29"/>
      <c r="B86" s="105"/>
      <c r="C86" s="31"/>
      <c r="D86" s="31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</row>
    <row r="87" spans="1:28" s="4" customFormat="1" ht="15.75" thickBot="1">
      <c r="A87" s="71"/>
      <c r="B87" s="72"/>
      <c r="C87" s="73"/>
      <c r="D87" s="73"/>
      <c r="E87" s="74"/>
      <c r="F87" s="74">
        <f t="shared" ref="F87:AB87" si="123">(F83*F85)/10</f>
        <v>453.0989232</v>
      </c>
      <c r="G87" s="74">
        <f t="shared" si="123"/>
        <v>921.55378265999957</v>
      </c>
      <c r="H87" s="74">
        <f t="shared" si="123"/>
        <v>868.06781999999987</v>
      </c>
      <c r="I87" s="74">
        <f t="shared" si="123"/>
        <v>852.5959019999998</v>
      </c>
      <c r="J87" s="74">
        <f t="shared" si="123"/>
        <v>843.92280000000005</v>
      </c>
      <c r="K87" s="74">
        <f t="shared" si="123"/>
        <v>841.61699999999985</v>
      </c>
      <c r="L87" s="74">
        <f t="shared" si="123"/>
        <v>841.61699999999985</v>
      </c>
      <c r="M87" s="74">
        <f t="shared" si="123"/>
        <v>841.61699999999985</v>
      </c>
      <c r="N87" s="74">
        <f t="shared" si="123"/>
        <v>843.92280000000005</v>
      </c>
      <c r="O87" s="74">
        <f t="shared" si="123"/>
        <v>841.61699999999985</v>
      </c>
      <c r="P87" s="74">
        <f t="shared" si="123"/>
        <v>1397.3513999999998</v>
      </c>
      <c r="Q87" s="74">
        <f t="shared" si="123"/>
        <v>1397.3513999999998</v>
      </c>
      <c r="R87" s="74">
        <f t="shared" si="123"/>
        <v>1401.17976</v>
      </c>
      <c r="S87" s="74">
        <f t="shared" si="123"/>
        <v>1397.3513999999998</v>
      </c>
      <c r="T87" s="74">
        <f t="shared" si="123"/>
        <v>1397.3513999999998</v>
      </c>
      <c r="U87" s="74">
        <f t="shared" si="123"/>
        <v>1397.3513999999998</v>
      </c>
      <c r="V87" s="74">
        <f t="shared" si="123"/>
        <v>1401.17976</v>
      </c>
      <c r="W87" s="74">
        <f t="shared" si="123"/>
        <v>1397.3513999999998</v>
      </c>
      <c r="X87" s="74">
        <f t="shared" si="123"/>
        <v>1397.3513999999998</v>
      </c>
      <c r="Y87" s="74">
        <f t="shared" si="123"/>
        <v>1397.3513999999998</v>
      </c>
      <c r="Z87" s="74">
        <f t="shared" si="123"/>
        <v>1401.17976</v>
      </c>
      <c r="AA87" s="74">
        <f t="shared" si="123"/>
        <v>1397.3513999999998</v>
      </c>
      <c r="AB87" s="74">
        <f t="shared" si="123"/>
        <v>1397.3513999999998</v>
      </c>
    </row>
    <row r="88" spans="1:28" s="4" customFormat="1" ht="15.75" thickTop="1">
      <c r="A88" s="102"/>
      <c r="B88" s="103"/>
      <c r="C88" s="102"/>
      <c r="D88" s="102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</row>
    <row r="89" spans="1:28">
      <c r="A89" s="14" t="s">
        <v>31</v>
      </c>
      <c r="B89" s="43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28">
      <c r="B90" s="45" t="s">
        <v>735</v>
      </c>
      <c r="C90">
        <v>0</v>
      </c>
    </row>
    <row r="91" spans="1:28">
      <c r="E91" s="264"/>
      <c r="H91" s="526"/>
    </row>
    <row r="92" spans="1:28">
      <c r="B92" s="592" t="s">
        <v>694</v>
      </c>
      <c r="C92" s="593">
        <v>0</v>
      </c>
      <c r="E92" t="s">
        <v>695</v>
      </c>
      <c r="H92" s="595">
        <f>'Fuel &amp; O&amp;M'!H55</f>
        <v>1.7706075273541115</v>
      </c>
      <c r="I92" s="595">
        <f>'Fuel &amp; O&amp;M'!I55</f>
        <v>1.7706075273541115</v>
      </c>
      <c r="J92" s="595">
        <f>'Fuel &amp; O&amp;M'!J55</f>
        <v>1.7706075273541115</v>
      </c>
      <c r="K92" s="595">
        <f>'Fuel &amp; O&amp;M'!K55</f>
        <v>1.7706075273541115</v>
      </c>
      <c r="L92" s="595">
        <f>'Fuel &amp; O&amp;M'!L55</f>
        <v>1.7706075273541115</v>
      </c>
      <c r="M92" s="595">
        <f>'Fuel &amp; O&amp;M'!M55</f>
        <v>1.7706075273541115</v>
      </c>
      <c r="N92" s="595">
        <f>'Fuel &amp; O&amp;M'!N55</f>
        <v>1.7706075273541115</v>
      </c>
      <c r="O92" s="595">
        <f>'Fuel &amp; O&amp;M'!O55</f>
        <v>1.7706075273541115</v>
      </c>
      <c r="P92" s="595">
        <f>'Fuel &amp; O&amp;M'!P55</f>
        <v>1.7706075273541115</v>
      </c>
      <c r="Q92" s="595">
        <f>'Fuel &amp; O&amp;M'!Q55</f>
        <v>1.7706075273541115</v>
      </c>
      <c r="R92" s="595">
        <f>'Fuel &amp; O&amp;M'!R55</f>
        <v>1.7706075273541115</v>
      </c>
      <c r="S92" s="595">
        <f>'Fuel &amp; O&amp;M'!S55</f>
        <v>1.7706075273541115</v>
      </c>
      <c r="T92" s="595">
        <f>'Fuel &amp; O&amp;M'!T55</f>
        <v>1.7706075273541115</v>
      </c>
      <c r="U92" s="595">
        <f>'Fuel &amp; O&amp;M'!U55</f>
        <v>1.7706075273541115</v>
      </c>
      <c r="V92" s="595">
        <f>'Fuel &amp; O&amp;M'!V55</f>
        <v>1.7706075273541115</v>
      </c>
      <c r="W92" s="595">
        <f>'Fuel &amp; O&amp;M'!W55</f>
        <v>1.7706075273541115</v>
      </c>
      <c r="X92" s="595">
        <f>'Fuel &amp; O&amp;M'!X55</f>
        <v>1.7706075273541115</v>
      </c>
      <c r="Y92" s="595">
        <f>'Fuel &amp; O&amp;M'!Y55</f>
        <v>1.7706075273541115</v>
      </c>
      <c r="Z92" s="595">
        <f>'Fuel &amp; O&amp;M'!Z55</f>
        <v>1.7706075273541115</v>
      </c>
      <c r="AA92" s="595">
        <f>'Fuel &amp; O&amp;M'!AA55</f>
        <v>1.7706075273541115</v>
      </c>
      <c r="AB92" s="595">
        <f>'Fuel &amp; O&amp;M'!AB55</f>
        <v>1.7706075273541115</v>
      </c>
    </row>
    <row r="93" spans="1:28">
      <c r="E93" t="s">
        <v>696</v>
      </c>
      <c r="H93" s="596">
        <v>1.0881137027952696</v>
      </c>
      <c r="I93" s="596">
        <v>1.1339081854971647</v>
      </c>
      <c r="J93" s="596">
        <v>1.1810765026801167</v>
      </c>
      <c r="K93" s="596">
        <v>1.229659869378557</v>
      </c>
      <c r="L93" s="596">
        <v>1.2797007370779512</v>
      </c>
      <c r="M93" s="596">
        <v>1.3312428308083275</v>
      </c>
      <c r="N93" s="596">
        <v>1.384331187350615</v>
      </c>
      <c r="O93" s="596">
        <v>1.4390121945891701</v>
      </c>
      <c r="P93" s="596">
        <v>1.4953336320448827</v>
      </c>
      <c r="Q93" s="596">
        <v>1.5533447126242663</v>
      </c>
      <c r="R93" s="596">
        <v>1.6130961256210306</v>
      </c>
      <c r="S93" s="596">
        <v>1.6746400810076993</v>
      </c>
      <c r="T93" s="596">
        <v>1.738030355055967</v>
      </c>
      <c r="U93" s="596">
        <v>1.8033223373256835</v>
      </c>
      <c r="V93" s="596">
        <v>1.8705730790634916</v>
      </c>
      <c r="W93" s="596">
        <v>1.9398413430534327</v>
      </c>
      <c r="X93" s="596">
        <v>2.0111876549630727</v>
      </c>
      <c r="Y93" s="596">
        <v>2.0846743562300021</v>
      </c>
      <c r="Z93" s="596">
        <v>2.1603656585349391</v>
      </c>
      <c r="AA93" s="596">
        <v>2.2383276999090245</v>
      </c>
      <c r="AB93" s="596">
        <v>2.318628602524333</v>
      </c>
    </row>
    <row r="94" spans="1:28" s="628" customFormat="1">
      <c r="B94" s="45"/>
      <c r="E94" s="628" t="s">
        <v>731</v>
      </c>
      <c r="H94" s="596">
        <v>0</v>
      </c>
      <c r="I94" s="596">
        <f>'FGD Input'!G235</f>
        <v>5.2925768564153729E-2</v>
      </c>
      <c r="J94" s="596">
        <f>'FGD Input'!H235</f>
        <v>5.3991894177490854E-2</v>
      </c>
      <c r="K94" s="596">
        <f>'FGD Input'!I235</f>
        <v>5.5090003559228079E-2</v>
      </c>
      <c r="L94" s="596">
        <f>'FGD Input'!J235</f>
        <v>5.6221056222417437E-2</v>
      </c>
      <c r="M94" s="596">
        <f>'FGD Input'!K235</f>
        <v>5.7386040465502469E-2</v>
      </c>
      <c r="N94" s="596">
        <f>'FGD Input'!L235</f>
        <v>5.8585974235880064E-2</v>
      </c>
      <c r="O94" s="596">
        <f>'FGD Input'!M235</f>
        <v>5.9821906019368952E-2</v>
      </c>
      <c r="P94" s="596">
        <f>'FGD Input'!N235</f>
        <v>6.1094915756362549E-2</v>
      </c>
      <c r="Q94" s="596">
        <f>'FGD Input'!O235</f>
        <v>6.2406115785465927E-2</v>
      </c>
      <c r="R94" s="596">
        <f>'FGD Input'!P235</f>
        <v>6.3756651815442433E-2</v>
      </c>
      <c r="S94" s="596">
        <f>'FGD Input'!Q235</f>
        <v>6.5147703926318204E-2</v>
      </c>
      <c r="T94" s="596">
        <f>'FGD Input'!R235</f>
        <v>6.6580487600520266E-2</v>
      </c>
      <c r="U94" s="596">
        <f>'FGD Input'!S235</f>
        <v>6.8056254784948381E-2</v>
      </c>
      <c r="V94" s="596">
        <f>'FGD Input'!T235</f>
        <v>6.9576294984909373E-2</v>
      </c>
      <c r="W94" s="596">
        <f>'FGD Input'!U235</f>
        <v>7.1141936390869145E-2</v>
      </c>
      <c r="X94" s="596">
        <f>'FGD Input'!V235</f>
        <v>7.275454703900773E-2</v>
      </c>
      <c r="Y94" s="596">
        <f>'FGD Input'!W235</f>
        <v>7.4415536006590483E-2</v>
      </c>
      <c r="Z94" s="596">
        <f>'FGD Input'!X235</f>
        <v>7.6126354643200722E-2</v>
      </c>
      <c r="AA94" s="596">
        <f>'FGD Input'!Y235</f>
        <v>7.7888497838909235E-2</v>
      </c>
      <c r="AB94" s="596">
        <f>'FGD Input'!Z235</f>
        <v>1.7388248119582977E-2</v>
      </c>
    </row>
    <row r="95" spans="1:28">
      <c r="E95" t="s">
        <v>732</v>
      </c>
      <c r="H95">
        <v>1</v>
      </c>
      <c r="I95">
        <f>H95</f>
        <v>1</v>
      </c>
      <c r="J95">
        <f t="shared" ref="J95" si="124">I95</f>
        <v>1</v>
      </c>
      <c r="K95" s="628">
        <f t="shared" ref="K95" si="125">J95</f>
        <v>1</v>
      </c>
      <c r="L95" s="628">
        <f t="shared" ref="L95" si="126">K95</f>
        <v>1</v>
      </c>
      <c r="M95" s="628">
        <f t="shared" ref="M95" si="127">L95</f>
        <v>1</v>
      </c>
      <c r="N95" s="628">
        <f t="shared" ref="N95" si="128">M95</f>
        <v>1</v>
      </c>
      <c r="O95" s="628">
        <f t="shared" ref="O95" si="129">N95</f>
        <v>1</v>
      </c>
      <c r="P95" s="628">
        <f t="shared" ref="P95" si="130">O95</f>
        <v>1</v>
      </c>
      <c r="Q95" s="628">
        <f t="shared" ref="Q95" si="131">P95</f>
        <v>1</v>
      </c>
      <c r="R95" s="628">
        <f t="shared" ref="R95" si="132">Q95</f>
        <v>1</v>
      </c>
      <c r="S95" s="628">
        <f t="shared" ref="S95" si="133">R95</f>
        <v>1</v>
      </c>
      <c r="T95" s="628">
        <f t="shared" ref="T95" si="134">S95</f>
        <v>1</v>
      </c>
      <c r="U95" s="628">
        <f t="shared" ref="U95" si="135">T95</f>
        <v>1</v>
      </c>
      <c r="V95" s="628">
        <f t="shared" ref="V95" si="136">U95</f>
        <v>1</v>
      </c>
      <c r="W95" s="628">
        <f t="shared" ref="W95" si="137">V95</f>
        <v>1</v>
      </c>
      <c r="X95" s="628">
        <f t="shared" ref="X95" si="138">W95</f>
        <v>1</v>
      </c>
      <c r="Y95" s="628">
        <f t="shared" ref="Y95" si="139">X95</f>
        <v>1</v>
      </c>
      <c r="Z95" s="628">
        <f t="shared" ref="Z95" si="140">Y95</f>
        <v>1</v>
      </c>
      <c r="AA95" s="628">
        <f t="shared" ref="AA95" si="141">Z95</f>
        <v>1</v>
      </c>
      <c r="AB95" s="628">
        <f t="shared" ref="AB95" si="142">AA95</f>
        <v>1</v>
      </c>
    </row>
  </sheetData>
  <mergeCells count="1">
    <mergeCell ref="A5:A7"/>
  </mergeCells>
  <dataValidations count="1">
    <dataValidation type="list" allowBlank="1" showInputMessage="1" showErrorMessage="1" sqref="H95">
      <formula1>"1,0.75,0.50"</formula1>
    </dataValidation>
  </dataValidations>
  <pageMargins left="0.7" right="0.7" top="0.75" bottom="0.75" header="0.3" footer="0.3"/>
  <pageSetup paperSize="9" orientation="portrait" r:id="rId1"/>
  <ignoredErrors>
    <ignoredError sqref="S60:AB60" evalError="1"/>
    <ignoredError sqref="J9:AB9 P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"/>
  <sheetViews>
    <sheetView topLeftCell="A34" workbookViewId="0">
      <selection activeCell="A43" sqref="A43"/>
    </sheetView>
  </sheetViews>
  <sheetFormatPr defaultRowHeight="15"/>
  <cols>
    <col min="1" max="1" width="25.140625" style="17" customWidth="1"/>
    <col min="2" max="5" width="9.140625" style="17"/>
    <col min="6" max="6" width="9" style="17" hidden="1" customWidth="1"/>
    <col min="7" max="7" width="0" style="17" hidden="1" customWidth="1"/>
    <col min="8" max="16384" width="9.140625" style="17"/>
  </cols>
  <sheetData>
    <row r="1" spans="1:28" s="15" customFormat="1" ht="18.75">
      <c r="A1" s="21" t="s">
        <v>29</v>
      </c>
      <c r="B1" s="4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15.75">
      <c r="A2" s="22" t="s">
        <v>61</v>
      </c>
      <c r="B2" s="4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>
      <c r="A3" s="106"/>
      <c r="B3" s="106"/>
      <c r="C3" s="106"/>
      <c r="D3" s="106"/>
      <c r="E3" s="106"/>
      <c r="F3" s="260">
        <f>3504/3365</f>
        <v>1.0413075780089154</v>
      </c>
      <c r="G3" s="106"/>
      <c r="H3" s="446">
        <f>F59/(SUMPRODUCT(F18,F19)+SUMPRODUCT(F47,F48))*10</f>
        <v>0.69174485833861554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 ht="15.75" thickBot="1">
      <c r="A4" s="106"/>
      <c r="B4" s="106"/>
      <c r="C4" s="106"/>
      <c r="D4" s="106"/>
      <c r="E4" s="106"/>
      <c r="F4" s="147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28" ht="15.75" thickTop="1">
      <c r="A5" s="641" t="s">
        <v>0</v>
      </c>
      <c r="B5" s="46"/>
      <c r="C5" s="19">
        <f>B6+1</f>
        <v>42461</v>
      </c>
      <c r="D5" s="19">
        <f>C6+1</f>
        <v>42826</v>
      </c>
      <c r="E5" s="19">
        <v>43191</v>
      </c>
      <c r="F5" s="19">
        <f>E6+1</f>
        <v>43556</v>
      </c>
      <c r="G5" s="19">
        <f>F6+1</f>
        <v>43922</v>
      </c>
      <c r="H5" s="19">
        <f t="shared" ref="H5:AB5" si="0">G6+1</f>
        <v>44287</v>
      </c>
      <c r="I5" s="19">
        <f t="shared" si="0"/>
        <v>44652</v>
      </c>
      <c r="J5" s="19">
        <f t="shared" si="0"/>
        <v>45017</v>
      </c>
      <c r="K5" s="19">
        <f t="shared" si="0"/>
        <v>45383</v>
      </c>
      <c r="L5" s="19">
        <f t="shared" si="0"/>
        <v>45748</v>
      </c>
      <c r="M5" s="19">
        <f t="shared" si="0"/>
        <v>46113</v>
      </c>
      <c r="N5" s="19">
        <f t="shared" si="0"/>
        <v>46478</v>
      </c>
      <c r="O5" s="19">
        <f t="shared" si="0"/>
        <v>46844</v>
      </c>
      <c r="P5" s="19">
        <f t="shared" si="0"/>
        <v>47209</v>
      </c>
      <c r="Q5" s="19">
        <f t="shared" si="0"/>
        <v>47574</v>
      </c>
      <c r="R5" s="19">
        <f t="shared" si="0"/>
        <v>47939</v>
      </c>
      <c r="S5" s="19">
        <f t="shared" si="0"/>
        <v>48305</v>
      </c>
      <c r="T5" s="19">
        <f t="shared" si="0"/>
        <v>48670</v>
      </c>
      <c r="U5" s="19">
        <f t="shared" si="0"/>
        <v>49035</v>
      </c>
      <c r="V5" s="19">
        <f t="shared" si="0"/>
        <v>49400</v>
      </c>
      <c r="W5" s="19">
        <f t="shared" si="0"/>
        <v>49766</v>
      </c>
      <c r="X5" s="19">
        <f t="shared" si="0"/>
        <v>50131</v>
      </c>
      <c r="Y5" s="19">
        <f t="shared" si="0"/>
        <v>50496</v>
      </c>
      <c r="Z5" s="19">
        <f t="shared" si="0"/>
        <v>50861</v>
      </c>
      <c r="AA5" s="19">
        <f t="shared" si="0"/>
        <v>51227</v>
      </c>
      <c r="AB5" s="19">
        <f t="shared" si="0"/>
        <v>51592</v>
      </c>
    </row>
    <row r="6" spans="1:28">
      <c r="A6" s="642"/>
      <c r="B6" s="6">
        <v>42460</v>
      </c>
      <c r="C6" s="6">
        <f>EOMONTH(B6,12)</f>
        <v>42825</v>
      </c>
      <c r="D6" s="6">
        <f>EOMONTH(C6,12)</f>
        <v>43190</v>
      </c>
      <c r="E6" s="6">
        <v>43555</v>
      </c>
      <c r="F6" s="6">
        <f>EOMONTH(E6,12)</f>
        <v>43921</v>
      </c>
      <c r="G6" s="6">
        <f t="shared" ref="G6:AB6" si="1">EOMONTH(F6,12)</f>
        <v>44286</v>
      </c>
      <c r="H6" s="6">
        <f t="shared" si="1"/>
        <v>44651</v>
      </c>
      <c r="I6" s="6">
        <f t="shared" si="1"/>
        <v>45016</v>
      </c>
      <c r="J6" s="6">
        <f t="shared" si="1"/>
        <v>45382</v>
      </c>
      <c r="K6" s="6">
        <f t="shared" si="1"/>
        <v>45747</v>
      </c>
      <c r="L6" s="6">
        <f t="shared" si="1"/>
        <v>46112</v>
      </c>
      <c r="M6" s="6">
        <f t="shared" si="1"/>
        <v>46477</v>
      </c>
      <c r="N6" s="6">
        <f t="shared" si="1"/>
        <v>46843</v>
      </c>
      <c r="O6" s="6">
        <f t="shared" si="1"/>
        <v>47208</v>
      </c>
      <c r="P6" s="6">
        <f t="shared" si="1"/>
        <v>47573</v>
      </c>
      <c r="Q6" s="6">
        <f t="shared" si="1"/>
        <v>47938</v>
      </c>
      <c r="R6" s="6">
        <f t="shared" si="1"/>
        <v>48304</v>
      </c>
      <c r="S6" s="6">
        <f t="shared" si="1"/>
        <v>48669</v>
      </c>
      <c r="T6" s="6">
        <f t="shared" si="1"/>
        <v>49034</v>
      </c>
      <c r="U6" s="6">
        <f t="shared" si="1"/>
        <v>49399</v>
      </c>
      <c r="V6" s="6">
        <f t="shared" si="1"/>
        <v>49765</v>
      </c>
      <c r="W6" s="6">
        <f t="shared" si="1"/>
        <v>50130</v>
      </c>
      <c r="X6" s="6">
        <f t="shared" si="1"/>
        <v>50495</v>
      </c>
      <c r="Y6" s="6">
        <f t="shared" si="1"/>
        <v>50860</v>
      </c>
      <c r="Z6" s="6">
        <f t="shared" si="1"/>
        <v>51226</v>
      </c>
      <c r="AA6" s="6">
        <f t="shared" si="1"/>
        <v>51591</v>
      </c>
      <c r="AB6" s="6">
        <f t="shared" si="1"/>
        <v>51956</v>
      </c>
    </row>
    <row r="7" spans="1:28">
      <c r="A7" s="643"/>
      <c r="B7" s="7"/>
      <c r="C7" s="8">
        <f>YEAR(C6)</f>
        <v>2017</v>
      </c>
      <c r="D7" s="8">
        <f t="shared" ref="D7:AB7" si="2">YEAR(D6)</f>
        <v>2018</v>
      </c>
      <c r="E7" s="8">
        <f t="shared" si="2"/>
        <v>2019</v>
      </c>
      <c r="F7" s="8">
        <f t="shared" si="2"/>
        <v>2020</v>
      </c>
      <c r="G7" s="8">
        <f t="shared" si="2"/>
        <v>2021</v>
      </c>
      <c r="H7" s="8">
        <f t="shared" si="2"/>
        <v>2022</v>
      </c>
      <c r="I7" s="8">
        <f t="shared" si="2"/>
        <v>2023</v>
      </c>
      <c r="J7" s="8">
        <f t="shared" si="2"/>
        <v>2024</v>
      </c>
      <c r="K7" s="8">
        <f t="shared" si="2"/>
        <v>2025</v>
      </c>
      <c r="L7" s="8">
        <f t="shared" si="2"/>
        <v>2026</v>
      </c>
      <c r="M7" s="8">
        <f t="shared" si="2"/>
        <v>2027</v>
      </c>
      <c r="N7" s="8">
        <f t="shared" si="2"/>
        <v>2028</v>
      </c>
      <c r="O7" s="8">
        <f t="shared" si="2"/>
        <v>2029</v>
      </c>
      <c r="P7" s="8">
        <f t="shared" si="2"/>
        <v>2030</v>
      </c>
      <c r="Q7" s="8">
        <f t="shared" si="2"/>
        <v>2031</v>
      </c>
      <c r="R7" s="8">
        <f t="shared" si="2"/>
        <v>2032</v>
      </c>
      <c r="S7" s="8">
        <f t="shared" si="2"/>
        <v>2033</v>
      </c>
      <c r="T7" s="8">
        <f t="shared" si="2"/>
        <v>2034</v>
      </c>
      <c r="U7" s="8">
        <f t="shared" si="2"/>
        <v>2035</v>
      </c>
      <c r="V7" s="8">
        <f t="shared" si="2"/>
        <v>2036</v>
      </c>
      <c r="W7" s="8">
        <f t="shared" si="2"/>
        <v>2037</v>
      </c>
      <c r="X7" s="8">
        <f t="shared" si="2"/>
        <v>2038</v>
      </c>
      <c r="Y7" s="8">
        <f t="shared" si="2"/>
        <v>2039</v>
      </c>
      <c r="Z7" s="8">
        <f t="shared" si="2"/>
        <v>2040</v>
      </c>
      <c r="AA7" s="8">
        <f t="shared" si="2"/>
        <v>2041</v>
      </c>
      <c r="AB7" s="8">
        <f t="shared" si="2"/>
        <v>2042</v>
      </c>
    </row>
    <row r="8" spans="1:28" s="1" customFormat="1" ht="12.75">
      <c r="A8" s="93" t="s">
        <v>52</v>
      </c>
      <c r="B8" s="5"/>
      <c r="C8" s="30"/>
      <c r="D8" s="30"/>
      <c r="E8" s="188"/>
      <c r="F8" s="188">
        <f>Assumption!D7*0+62%</f>
        <v>0.62</v>
      </c>
      <c r="G8" s="188">
        <f>Assumption!E7</f>
        <v>0.76769999999999994</v>
      </c>
      <c r="H8" s="188">
        <f>Assumption!F7</f>
        <v>0.75</v>
      </c>
      <c r="I8" s="188">
        <f>Assumption!G7</f>
        <v>0.75</v>
      </c>
      <c r="J8" s="188">
        <f>I8</f>
        <v>0.75</v>
      </c>
      <c r="K8" s="188">
        <f t="shared" ref="K8:AB8" si="3">J8</f>
        <v>0.75</v>
      </c>
      <c r="L8" s="188">
        <f t="shared" si="3"/>
        <v>0.75</v>
      </c>
      <c r="M8" s="188">
        <f t="shared" si="3"/>
        <v>0.75</v>
      </c>
      <c r="N8" s="188">
        <f t="shared" si="3"/>
        <v>0.75</v>
      </c>
      <c r="O8" s="188">
        <f t="shared" si="3"/>
        <v>0.75</v>
      </c>
      <c r="P8" s="188">
        <f>Assumption!H7</f>
        <v>0.75</v>
      </c>
      <c r="Q8" s="188">
        <f t="shared" si="3"/>
        <v>0.75</v>
      </c>
      <c r="R8" s="188">
        <f t="shared" si="3"/>
        <v>0.75</v>
      </c>
      <c r="S8" s="188">
        <f t="shared" si="3"/>
        <v>0.75</v>
      </c>
      <c r="T8" s="188">
        <f t="shared" si="3"/>
        <v>0.75</v>
      </c>
      <c r="U8" s="188">
        <f t="shared" si="3"/>
        <v>0.75</v>
      </c>
      <c r="V8" s="188">
        <f t="shared" si="3"/>
        <v>0.75</v>
      </c>
      <c r="W8" s="188">
        <f t="shared" si="3"/>
        <v>0.75</v>
      </c>
      <c r="X8" s="188">
        <f t="shared" si="3"/>
        <v>0.75</v>
      </c>
      <c r="Y8" s="188">
        <f t="shared" si="3"/>
        <v>0.75</v>
      </c>
      <c r="Z8" s="188">
        <f t="shared" si="3"/>
        <v>0.75</v>
      </c>
      <c r="AA8" s="188">
        <f t="shared" si="3"/>
        <v>0.75</v>
      </c>
      <c r="AB8" s="188">
        <f t="shared" si="3"/>
        <v>0.75</v>
      </c>
    </row>
    <row r="9" spans="1:28" s="1" customFormat="1" ht="12.75">
      <c r="A9" s="93" t="s">
        <v>53</v>
      </c>
      <c r="B9" s="5"/>
      <c r="C9" s="30"/>
      <c r="D9" s="30"/>
      <c r="E9" s="96"/>
      <c r="F9" s="96">
        <f>((1200*24000*(F6-E6)*F8)/10^6)</f>
        <v>6535.2960000000003</v>
      </c>
      <c r="G9" s="96">
        <f>((1200*24000*(G6-F6)*G8)/10^6)</f>
        <v>8070.0623999999989</v>
      </c>
      <c r="H9" s="96">
        <f t="shared" ref="H9:AB9" si="4">((1200*24000*(H6-G6)*H8)/10^6)</f>
        <v>7884</v>
      </c>
      <c r="I9" s="96">
        <f t="shared" si="4"/>
        <v>7884</v>
      </c>
      <c r="J9" s="96">
        <f t="shared" si="4"/>
        <v>7905.6</v>
      </c>
      <c r="K9" s="96">
        <f t="shared" si="4"/>
        <v>7884</v>
      </c>
      <c r="L9" s="96">
        <f t="shared" si="4"/>
        <v>7884</v>
      </c>
      <c r="M9" s="96">
        <f t="shared" si="4"/>
        <v>7884</v>
      </c>
      <c r="N9" s="96">
        <f t="shared" si="4"/>
        <v>7905.6</v>
      </c>
      <c r="O9" s="96">
        <f t="shared" si="4"/>
        <v>7884</v>
      </c>
      <c r="P9" s="96">
        <f t="shared" si="4"/>
        <v>7884</v>
      </c>
      <c r="Q9" s="96">
        <f t="shared" si="4"/>
        <v>7884</v>
      </c>
      <c r="R9" s="96">
        <f t="shared" si="4"/>
        <v>7905.6</v>
      </c>
      <c r="S9" s="96">
        <f t="shared" si="4"/>
        <v>7884</v>
      </c>
      <c r="T9" s="96">
        <f t="shared" si="4"/>
        <v>7884</v>
      </c>
      <c r="U9" s="96">
        <f t="shared" si="4"/>
        <v>7884</v>
      </c>
      <c r="V9" s="96">
        <f t="shared" si="4"/>
        <v>7905.6</v>
      </c>
      <c r="W9" s="96">
        <f t="shared" si="4"/>
        <v>7884</v>
      </c>
      <c r="X9" s="96">
        <f t="shared" si="4"/>
        <v>7884</v>
      </c>
      <c r="Y9" s="96">
        <f t="shared" si="4"/>
        <v>7884</v>
      </c>
      <c r="Z9" s="96">
        <f t="shared" si="4"/>
        <v>7905.6</v>
      </c>
      <c r="AA9" s="96">
        <f t="shared" si="4"/>
        <v>7884</v>
      </c>
      <c r="AB9" s="96">
        <f t="shared" si="4"/>
        <v>7884</v>
      </c>
    </row>
    <row r="10" spans="1:28" s="1" customFormat="1" ht="12.75">
      <c r="A10" s="93" t="s">
        <v>48</v>
      </c>
      <c r="B10" s="97">
        <f>Assumption!C10</f>
        <v>5.7500000000000002E-2</v>
      </c>
      <c r="C10" s="30"/>
      <c r="D10" s="30"/>
      <c r="E10" s="97"/>
      <c r="F10" s="97">
        <f>B10</f>
        <v>5.7500000000000002E-2</v>
      </c>
      <c r="G10" s="97">
        <f>F10</f>
        <v>5.7500000000000002E-2</v>
      </c>
      <c r="H10" s="97">
        <f t="shared" ref="H10:AB10" si="5">G10</f>
        <v>5.7500000000000002E-2</v>
      </c>
      <c r="I10" s="97">
        <f t="shared" si="5"/>
        <v>5.7500000000000002E-2</v>
      </c>
      <c r="J10" s="97">
        <f t="shared" si="5"/>
        <v>5.7500000000000002E-2</v>
      </c>
      <c r="K10" s="97">
        <f t="shared" si="5"/>
        <v>5.7500000000000002E-2</v>
      </c>
      <c r="L10" s="97">
        <f t="shared" si="5"/>
        <v>5.7500000000000002E-2</v>
      </c>
      <c r="M10" s="97">
        <f t="shared" si="5"/>
        <v>5.7500000000000002E-2</v>
      </c>
      <c r="N10" s="97">
        <f t="shared" si="5"/>
        <v>5.7500000000000002E-2</v>
      </c>
      <c r="O10" s="97">
        <f t="shared" si="5"/>
        <v>5.7500000000000002E-2</v>
      </c>
      <c r="P10" s="97">
        <f t="shared" si="5"/>
        <v>5.7500000000000002E-2</v>
      </c>
      <c r="Q10" s="97">
        <f t="shared" si="5"/>
        <v>5.7500000000000002E-2</v>
      </c>
      <c r="R10" s="97">
        <f t="shared" si="5"/>
        <v>5.7500000000000002E-2</v>
      </c>
      <c r="S10" s="97">
        <f t="shared" si="5"/>
        <v>5.7500000000000002E-2</v>
      </c>
      <c r="T10" s="97">
        <f t="shared" si="5"/>
        <v>5.7500000000000002E-2</v>
      </c>
      <c r="U10" s="97">
        <f t="shared" si="5"/>
        <v>5.7500000000000002E-2</v>
      </c>
      <c r="V10" s="97">
        <f t="shared" si="5"/>
        <v>5.7500000000000002E-2</v>
      </c>
      <c r="W10" s="97">
        <f t="shared" si="5"/>
        <v>5.7500000000000002E-2</v>
      </c>
      <c r="X10" s="97">
        <f t="shared" si="5"/>
        <v>5.7500000000000002E-2</v>
      </c>
      <c r="Y10" s="97">
        <f t="shared" si="5"/>
        <v>5.7500000000000002E-2</v>
      </c>
      <c r="Z10" s="97">
        <f t="shared" si="5"/>
        <v>5.7500000000000002E-2</v>
      </c>
      <c r="AA10" s="97">
        <f t="shared" si="5"/>
        <v>5.7500000000000002E-2</v>
      </c>
      <c r="AB10" s="97">
        <f t="shared" si="5"/>
        <v>5.7500000000000002E-2</v>
      </c>
    </row>
    <row r="11" spans="1:28" s="1" customFormat="1" ht="12.75">
      <c r="A11" s="93" t="s">
        <v>642</v>
      </c>
      <c r="B11" s="97">
        <f>'FGD Input'!D126</f>
        <v>1.0999999999999999E-2</v>
      </c>
      <c r="C11" s="30"/>
      <c r="D11" s="30"/>
      <c r="E11" s="96"/>
      <c r="F11" s="96">
        <f>IF(Assumption!$F$1="With FGD",'FGD Input'!D145,0)</f>
        <v>0</v>
      </c>
      <c r="G11" s="96">
        <f>IF(Assumption!$F$1="With FGD",'FGD Input'!E145,0)</f>
        <v>0</v>
      </c>
      <c r="H11" s="96">
        <f>IF(Assumption!$F$1="With FGD",'FGD Input'!F145,0)</f>
        <v>0</v>
      </c>
      <c r="I11" s="96">
        <f>IF(Assumption!$F$1="With FGD",'FGD Input'!G145,0)</f>
        <v>50.727599999999995</v>
      </c>
      <c r="J11" s="96">
        <f>IF(Assumption!$F$1="With FGD",'FGD Input'!H145,0)</f>
        <v>86.961600000000004</v>
      </c>
      <c r="K11" s="96">
        <f>IF(Assumption!$F$1="With FGD",'FGD Input'!I145,0)</f>
        <v>86.72399999999999</v>
      </c>
      <c r="L11" s="96">
        <f>IF(Assumption!$F$1="With FGD",'FGD Input'!J145,0)</f>
        <v>86.72399999999999</v>
      </c>
      <c r="M11" s="96">
        <f>IF(Assumption!$F$1="With FGD",'FGD Input'!K145,0)</f>
        <v>86.72399999999999</v>
      </c>
      <c r="N11" s="96">
        <f>IF(Assumption!$F$1="With FGD",'FGD Input'!L145,0)</f>
        <v>86.961600000000004</v>
      </c>
      <c r="O11" s="96">
        <f>IF(Assumption!$F$1="With FGD",'FGD Input'!M145,0)</f>
        <v>86.72399999999999</v>
      </c>
      <c r="P11" s="96">
        <f>IF(Assumption!$F$1="With FGD",'FGD Input'!N145,0)</f>
        <v>86.72399999999999</v>
      </c>
      <c r="Q11" s="96">
        <f>IF(Assumption!$F$1="With FGD",'FGD Input'!O145,0)</f>
        <v>86.72399999999999</v>
      </c>
      <c r="R11" s="96">
        <f>IF(Assumption!$F$1="With FGD",'FGD Input'!P145,0)</f>
        <v>86.961600000000004</v>
      </c>
      <c r="S11" s="96">
        <f>IF(Assumption!$F$1="With FGD",'FGD Input'!Q145,0)</f>
        <v>86.72399999999999</v>
      </c>
      <c r="T11" s="96">
        <f>IF(Assumption!$F$1="With FGD",'FGD Input'!R145,0)</f>
        <v>86.72399999999999</v>
      </c>
      <c r="U11" s="96">
        <f>IF(Assumption!$F$1="With FGD",'FGD Input'!S145,0)</f>
        <v>86.72399999999999</v>
      </c>
      <c r="V11" s="96">
        <f>IF(Assumption!$F$1="With FGD",'FGD Input'!T145,0)</f>
        <v>86.961600000000004</v>
      </c>
      <c r="W11" s="96">
        <f>IF(Assumption!$F$1="With FGD",'FGD Input'!U145,0)</f>
        <v>86.72399999999999</v>
      </c>
      <c r="X11" s="96">
        <f>IF(Assumption!$F$1="With FGD",'FGD Input'!V145,0)</f>
        <v>86.72399999999999</v>
      </c>
      <c r="Y11" s="96">
        <f>IF(Assumption!$F$1="With FGD",'FGD Input'!W145,0)</f>
        <v>86.72399999999999</v>
      </c>
      <c r="Z11" s="96">
        <f>IF(Assumption!$F$1="With FGD",'FGD Input'!X145,0)</f>
        <v>86.961600000000004</v>
      </c>
      <c r="AA11" s="96">
        <f>IF(Assumption!$F$1="With FGD",'FGD Input'!Y145,0)</f>
        <v>86.72399999999999</v>
      </c>
      <c r="AB11" s="96">
        <f>IF(Assumption!$F$1="With FGD",'FGD Input'!Z145,0)</f>
        <v>86.72399999999999</v>
      </c>
    </row>
    <row r="12" spans="1:28" s="3" customFormat="1" ht="12.75">
      <c r="A12" s="93" t="s">
        <v>54</v>
      </c>
      <c r="B12" s="5"/>
      <c r="C12" s="30"/>
      <c r="D12" s="30"/>
      <c r="E12" s="96"/>
      <c r="F12" s="96">
        <f t="shared" ref="F12:I12" si="6">(F9*(1-F10))-F11</f>
        <v>6159.5164800000002</v>
      </c>
      <c r="G12" s="96">
        <f t="shared" si="6"/>
        <v>7606.0338119999988</v>
      </c>
      <c r="H12" s="96">
        <f t="shared" si="6"/>
        <v>7430.67</v>
      </c>
      <c r="I12" s="96">
        <f t="shared" si="6"/>
        <v>7379.9423999999999</v>
      </c>
      <c r="J12" s="96">
        <f t="shared" ref="J12" si="7">(J9*(1-J10))-J11</f>
        <v>7364.0664000000006</v>
      </c>
      <c r="K12" s="96">
        <f t="shared" ref="K12" si="8">(K9*(1-K10))-K11</f>
        <v>7343.9459999999999</v>
      </c>
      <c r="L12" s="96">
        <f t="shared" ref="L12" si="9">(L9*(1-L10))-L11</f>
        <v>7343.9459999999999</v>
      </c>
      <c r="M12" s="96">
        <f t="shared" ref="M12" si="10">(M9*(1-M10))-M11</f>
        <v>7343.9459999999999</v>
      </c>
      <c r="N12" s="96">
        <f t="shared" ref="N12" si="11">(N9*(1-N10))-N11</f>
        <v>7364.0664000000006</v>
      </c>
      <c r="O12" s="96">
        <f t="shared" ref="O12" si="12">(O9*(1-O10))-O11</f>
        <v>7343.9459999999999</v>
      </c>
      <c r="P12" s="96">
        <f t="shared" ref="P12" si="13">(P9*(1-P10))-P11</f>
        <v>7343.9459999999999</v>
      </c>
      <c r="Q12" s="96">
        <f t="shared" ref="Q12" si="14">(Q9*(1-Q10))-Q11</f>
        <v>7343.9459999999999</v>
      </c>
      <c r="R12" s="96">
        <f t="shared" ref="R12" si="15">(R9*(1-R10))-R11</f>
        <v>7364.0664000000006</v>
      </c>
      <c r="S12" s="96">
        <f t="shared" ref="S12" si="16">(S9*(1-S10))-S11</f>
        <v>7343.9459999999999</v>
      </c>
      <c r="T12" s="96">
        <f t="shared" ref="T12" si="17">(T9*(1-T10))-T11</f>
        <v>7343.9459999999999</v>
      </c>
      <c r="U12" s="96">
        <f t="shared" ref="U12" si="18">(U9*(1-U10))-U11</f>
        <v>7343.9459999999999</v>
      </c>
      <c r="V12" s="96">
        <f t="shared" ref="V12" si="19">(V9*(1-V10))-V11</f>
        <v>7364.0664000000006</v>
      </c>
      <c r="W12" s="96">
        <f t="shared" ref="W12" si="20">(W9*(1-W10))-W11</f>
        <v>7343.9459999999999</v>
      </c>
      <c r="X12" s="96">
        <f t="shared" ref="X12" si="21">(X9*(1-X10))-X11</f>
        <v>7343.9459999999999</v>
      </c>
      <c r="Y12" s="96">
        <f t="shared" ref="Y12" si="22">(Y9*(1-Y10))-Y11</f>
        <v>7343.9459999999999</v>
      </c>
      <c r="Z12" s="96">
        <f t="shared" ref="Z12" si="23">(Z9*(1-Z10))-Z11</f>
        <v>7364.0664000000006</v>
      </c>
      <c r="AA12" s="96">
        <f t="shared" ref="AA12" si="24">(AA9*(1-AA10))-AA11</f>
        <v>7343.9459999999999</v>
      </c>
      <c r="AB12" s="96">
        <f t="shared" ref="AB12" si="25">(AB9*(1-AB10))-AB11</f>
        <v>7343.9459999999999</v>
      </c>
    </row>
    <row r="13" spans="1:28" s="1" customFormat="1" ht="12.75">
      <c r="A13" s="107" t="s">
        <v>47</v>
      </c>
      <c r="B13" s="113">
        <f>Assumption!C8</f>
        <v>2325</v>
      </c>
      <c r="C13" s="108"/>
      <c r="D13" s="108"/>
      <c r="E13" s="113"/>
      <c r="F13" s="113">
        <f>B13</f>
        <v>2325</v>
      </c>
      <c r="G13" s="113">
        <f>'Coal Cost'!G97</f>
        <v>2325</v>
      </c>
      <c r="H13" s="113">
        <f>'Coal Cost'!H97</f>
        <v>2325</v>
      </c>
      <c r="I13" s="113">
        <f>'Coal Cost'!I97</f>
        <v>2325</v>
      </c>
      <c r="J13" s="113">
        <f>'Coal Cost'!J97</f>
        <v>2325</v>
      </c>
      <c r="K13" s="113">
        <f>'Coal Cost'!K97</f>
        <v>2325</v>
      </c>
      <c r="L13" s="113">
        <f>'Coal Cost'!L97</f>
        <v>2325</v>
      </c>
      <c r="M13" s="113">
        <f>'Coal Cost'!M97</f>
        <v>2325</v>
      </c>
      <c r="N13" s="113">
        <f>'Coal Cost'!N97</f>
        <v>2325</v>
      </c>
      <c r="O13" s="113">
        <f>'Coal Cost'!O97</f>
        <v>2325</v>
      </c>
      <c r="P13" s="113">
        <f>'Coal Cost'!P97</f>
        <v>2325</v>
      </c>
      <c r="Q13" s="113">
        <f>'Coal Cost'!Q97</f>
        <v>2325</v>
      </c>
      <c r="R13" s="113">
        <f>'Coal Cost'!R97</f>
        <v>2325</v>
      </c>
      <c r="S13" s="113">
        <f>'Coal Cost'!S97</f>
        <v>2325</v>
      </c>
      <c r="T13" s="113">
        <f>'Coal Cost'!T97</f>
        <v>2325</v>
      </c>
      <c r="U13" s="113">
        <f>'Coal Cost'!U97</f>
        <v>2325</v>
      </c>
      <c r="V13" s="113">
        <f>'Coal Cost'!V97</f>
        <v>2325</v>
      </c>
      <c r="W13" s="113">
        <f>'Coal Cost'!W97</f>
        <v>2325</v>
      </c>
      <c r="X13" s="113">
        <f>'Coal Cost'!X97</f>
        <v>2325</v>
      </c>
      <c r="Y13" s="113">
        <f>'Coal Cost'!Y97</f>
        <v>2325</v>
      </c>
      <c r="Z13" s="113">
        <f>'Coal Cost'!Z97</f>
        <v>2325</v>
      </c>
      <c r="AA13" s="113">
        <f>'Coal Cost'!AA97</f>
        <v>2325</v>
      </c>
      <c r="AB13" s="113">
        <f>'Coal Cost'!AB97</f>
        <v>2325</v>
      </c>
    </row>
    <row r="14" spans="1:28" s="1" customFormat="1" ht="12.75">
      <c r="A14" s="62"/>
      <c r="B14" s="62"/>
      <c r="C14" s="62"/>
      <c r="D14" s="62"/>
      <c r="E14" s="11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s="1" customFormat="1" ht="16.5" thickBot="1">
      <c r="A15" s="109" t="s">
        <v>62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pans="1:28" s="1" customFormat="1" ht="13.5" thickTop="1">
      <c r="A16" s="62" t="s">
        <v>63</v>
      </c>
      <c r="B16" s="478">
        <f>Assumption!C15</f>
        <v>2.774</v>
      </c>
      <c r="C16" s="30"/>
      <c r="D16" s="30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s="1" customFormat="1" ht="12.75">
      <c r="A17" s="62" t="s">
        <v>64</v>
      </c>
      <c r="B17" s="62"/>
      <c r="C17" s="30"/>
      <c r="D17" s="30"/>
      <c r="E17" s="110"/>
      <c r="F17" s="110">
        <f t="shared" ref="F17:AB17" si="26">(208+311)/(1-F10)/600</f>
        <v>0.91777188328912473</v>
      </c>
      <c r="G17" s="110">
        <f t="shared" si="26"/>
        <v>0.91777188328912473</v>
      </c>
      <c r="H17" s="110">
        <f>(208+311)/(1-H10)/600</f>
        <v>0.91777188328912473</v>
      </c>
      <c r="I17" s="110">
        <f t="shared" si="26"/>
        <v>0.91777188328912473</v>
      </c>
      <c r="J17" s="110">
        <f t="shared" si="26"/>
        <v>0.91777188328912473</v>
      </c>
      <c r="K17" s="110">
        <f t="shared" si="26"/>
        <v>0.91777188328912473</v>
      </c>
      <c r="L17" s="110">
        <f t="shared" si="26"/>
        <v>0.91777188328912473</v>
      </c>
      <c r="M17" s="110">
        <f t="shared" si="26"/>
        <v>0.91777188328912473</v>
      </c>
      <c r="N17" s="110">
        <f t="shared" si="26"/>
        <v>0.91777188328912473</v>
      </c>
      <c r="O17" s="110">
        <f t="shared" si="26"/>
        <v>0.91777188328912473</v>
      </c>
      <c r="P17" s="110">
        <f t="shared" si="26"/>
        <v>0.91777188328912473</v>
      </c>
      <c r="Q17" s="110">
        <f t="shared" si="26"/>
        <v>0.91777188328912473</v>
      </c>
      <c r="R17" s="110">
        <f t="shared" si="26"/>
        <v>0.91777188328912473</v>
      </c>
      <c r="S17" s="110">
        <f t="shared" si="26"/>
        <v>0.91777188328912473</v>
      </c>
      <c r="T17" s="110">
        <f t="shared" si="26"/>
        <v>0.91777188328912473</v>
      </c>
      <c r="U17" s="110">
        <f t="shared" si="26"/>
        <v>0.91777188328912473</v>
      </c>
      <c r="V17" s="110">
        <f t="shared" si="26"/>
        <v>0.91777188328912473</v>
      </c>
      <c r="W17" s="110">
        <f t="shared" si="26"/>
        <v>0.91777188328912473</v>
      </c>
      <c r="X17" s="110">
        <f t="shared" si="26"/>
        <v>0.91777188328912473</v>
      </c>
      <c r="Y17" s="110">
        <f t="shared" si="26"/>
        <v>0.91777188328912473</v>
      </c>
      <c r="Z17" s="110">
        <f t="shared" si="26"/>
        <v>0.91777188328912473</v>
      </c>
      <c r="AA17" s="110">
        <f t="shared" si="26"/>
        <v>0.91777188328912473</v>
      </c>
      <c r="AB17" s="110">
        <f t="shared" si="26"/>
        <v>0.91777188328912473</v>
      </c>
    </row>
    <row r="18" spans="1:28" s="1" customFormat="1" ht="12.75">
      <c r="A18" s="62" t="s">
        <v>67</v>
      </c>
      <c r="B18" s="586">
        <f>Assumption!C16</f>
        <v>0.9</v>
      </c>
      <c r="C18" s="30"/>
      <c r="D18" s="30"/>
      <c r="E18" s="112"/>
      <c r="F18" s="112">
        <f t="shared" ref="F18:AB18" si="27">$B$16*$B$18*F17</f>
        <v>2.2913092838196287</v>
      </c>
      <c r="G18" s="112">
        <f t="shared" si="27"/>
        <v>2.2913092838196287</v>
      </c>
      <c r="H18" s="112">
        <f t="shared" si="27"/>
        <v>2.2913092838196287</v>
      </c>
      <c r="I18" s="112">
        <f t="shared" si="27"/>
        <v>2.2913092838196287</v>
      </c>
      <c r="J18" s="112">
        <f t="shared" si="27"/>
        <v>2.2913092838196287</v>
      </c>
      <c r="K18" s="112">
        <f t="shared" si="27"/>
        <v>2.2913092838196287</v>
      </c>
      <c r="L18" s="112">
        <f t="shared" si="27"/>
        <v>2.2913092838196287</v>
      </c>
      <c r="M18" s="112">
        <f t="shared" si="27"/>
        <v>2.2913092838196287</v>
      </c>
      <c r="N18" s="112">
        <f t="shared" si="27"/>
        <v>2.2913092838196287</v>
      </c>
      <c r="O18" s="112">
        <f t="shared" si="27"/>
        <v>2.2913092838196287</v>
      </c>
      <c r="P18" s="112">
        <f t="shared" si="27"/>
        <v>2.2913092838196287</v>
      </c>
      <c r="Q18" s="112">
        <f t="shared" si="27"/>
        <v>2.2913092838196287</v>
      </c>
      <c r="R18" s="112">
        <f t="shared" si="27"/>
        <v>2.2913092838196287</v>
      </c>
      <c r="S18" s="112">
        <f t="shared" si="27"/>
        <v>2.2913092838196287</v>
      </c>
      <c r="T18" s="112">
        <f t="shared" si="27"/>
        <v>2.2913092838196287</v>
      </c>
      <c r="U18" s="112">
        <f t="shared" si="27"/>
        <v>2.2913092838196287</v>
      </c>
      <c r="V18" s="112">
        <f t="shared" si="27"/>
        <v>2.2913092838196287</v>
      </c>
      <c r="W18" s="112">
        <f t="shared" si="27"/>
        <v>2.2913092838196287</v>
      </c>
      <c r="X18" s="112">
        <f t="shared" si="27"/>
        <v>2.2913092838196287</v>
      </c>
      <c r="Y18" s="112">
        <f t="shared" si="27"/>
        <v>2.2913092838196287</v>
      </c>
      <c r="Z18" s="112">
        <f t="shared" si="27"/>
        <v>2.2913092838196287</v>
      </c>
      <c r="AA18" s="112">
        <f t="shared" si="27"/>
        <v>2.2913092838196287</v>
      </c>
      <c r="AB18" s="112">
        <f t="shared" si="27"/>
        <v>2.2913092838196287</v>
      </c>
    </row>
    <row r="19" spans="1:28" s="1" customFormat="1" ht="12.75">
      <c r="A19" s="62" t="s">
        <v>68</v>
      </c>
      <c r="B19" s="114">
        <f>Assumption!C17</f>
        <v>3400</v>
      </c>
      <c r="C19" s="30"/>
      <c r="D19" s="30"/>
      <c r="E19" s="114"/>
      <c r="F19" s="114">
        <f>'Coal Cost'!F31</f>
        <v>3400</v>
      </c>
      <c r="G19" s="114">
        <f>'Coal Cost'!G31</f>
        <v>3400</v>
      </c>
      <c r="H19" s="114">
        <f>'Coal Cost'!H31</f>
        <v>3400</v>
      </c>
      <c r="I19" s="114">
        <f>'Coal Cost'!I31</f>
        <v>3400</v>
      </c>
      <c r="J19" s="114">
        <f>'Coal Cost'!J31</f>
        <v>3400</v>
      </c>
      <c r="K19" s="114">
        <f>'Coal Cost'!K31</f>
        <v>3400</v>
      </c>
      <c r="L19" s="114">
        <f>'Coal Cost'!L31</f>
        <v>3400</v>
      </c>
      <c r="M19" s="114">
        <f>'Coal Cost'!M31</f>
        <v>3400</v>
      </c>
      <c r="N19" s="114">
        <f>'Coal Cost'!N31</f>
        <v>3400</v>
      </c>
      <c r="O19" s="114">
        <f>'Coal Cost'!O31</f>
        <v>3400</v>
      </c>
      <c r="P19" s="114">
        <f>'Coal Cost'!P31</f>
        <v>3400</v>
      </c>
      <c r="Q19" s="114">
        <f>'Coal Cost'!Q31</f>
        <v>3400</v>
      </c>
      <c r="R19" s="114">
        <f>'Coal Cost'!R31</f>
        <v>3400</v>
      </c>
      <c r="S19" s="114">
        <f>'Coal Cost'!S31</f>
        <v>3400</v>
      </c>
      <c r="T19" s="114">
        <f>'Coal Cost'!T31</f>
        <v>3400</v>
      </c>
      <c r="U19" s="114">
        <f>'Coal Cost'!U31</f>
        <v>3400</v>
      </c>
      <c r="V19" s="114">
        <f>'Coal Cost'!V31</f>
        <v>3400</v>
      </c>
      <c r="W19" s="114">
        <f>'Coal Cost'!W31</f>
        <v>3400</v>
      </c>
      <c r="X19" s="114">
        <f>'Coal Cost'!X31</f>
        <v>3400</v>
      </c>
      <c r="Y19" s="114">
        <f>'Coal Cost'!Y31</f>
        <v>3400</v>
      </c>
      <c r="Z19" s="114">
        <f>'Coal Cost'!Z31</f>
        <v>3400</v>
      </c>
      <c r="AA19" s="114">
        <f>'Coal Cost'!AA31</f>
        <v>3400</v>
      </c>
      <c r="AB19" s="114">
        <f>'Coal Cost'!AB31</f>
        <v>3400</v>
      </c>
    </row>
    <row r="20" spans="1:28" s="1" customFormat="1" ht="12.75">
      <c r="A20" s="62" t="s">
        <v>69</v>
      </c>
      <c r="B20" s="62"/>
      <c r="C20" s="30"/>
      <c r="D20" s="30"/>
      <c r="E20" s="114"/>
      <c r="F20" s="114">
        <f t="shared" ref="F20:AB20" si="28">F18/(F13/F19)*1000</f>
        <v>3350.7318559082742</v>
      </c>
      <c r="G20" s="114">
        <f t="shared" si="28"/>
        <v>3350.7318559082742</v>
      </c>
      <c r="H20" s="114">
        <f t="shared" si="28"/>
        <v>3350.7318559082742</v>
      </c>
      <c r="I20" s="114">
        <f t="shared" si="28"/>
        <v>3350.7318559082742</v>
      </c>
      <c r="J20" s="114">
        <f t="shared" si="28"/>
        <v>3350.7318559082742</v>
      </c>
      <c r="K20" s="114">
        <f t="shared" si="28"/>
        <v>3350.7318559082742</v>
      </c>
      <c r="L20" s="114">
        <f t="shared" si="28"/>
        <v>3350.7318559082742</v>
      </c>
      <c r="M20" s="114">
        <f t="shared" si="28"/>
        <v>3350.7318559082742</v>
      </c>
      <c r="N20" s="114">
        <f t="shared" si="28"/>
        <v>3350.7318559082742</v>
      </c>
      <c r="O20" s="114">
        <f t="shared" si="28"/>
        <v>3350.7318559082742</v>
      </c>
      <c r="P20" s="114">
        <f t="shared" si="28"/>
        <v>3350.7318559082742</v>
      </c>
      <c r="Q20" s="114">
        <f t="shared" si="28"/>
        <v>3350.7318559082742</v>
      </c>
      <c r="R20" s="114">
        <f t="shared" si="28"/>
        <v>3350.7318559082742</v>
      </c>
      <c r="S20" s="114">
        <f t="shared" si="28"/>
        <v>3350.7318559082742</v>
      </c>
      <c r="T20" s="114">
        <f t="shared" si="28"/>
        <v>3350.7318559082742</v>
      </c>
      <c r="U20" s="114">
        <f t="shared" si="28"/>
        <v>3350.7318559082742</v>
      </c>
      <c r="V20" s="114">
        <f t="shared" si="28"/>
        <v>3350.7318559082742</v>
      </c>
      <c r="W20" s="114">
        <f t="shared" si="28"/>
        <v>3350.7318559082742</v>
      </c>
      <c r="X20" s="114">
        <f t="shared" si="28"/>
        <v>3350.7318559082742</v>
      </c>
      <c r="Y20" s="114">
        <f t="shared" si="28"/>
        <v>3350.7318559082742</v>
      </c>
      <c r="Z20" s="114">
        <f t="shared" si="28"/>
        <v>3350.7318559082742</v>
      </c>
      <c r="AA20" s="114">
        <f t="shared" si="28"/>
        <v>3350.7318559082742</v>
      </c>
      <c r="AB20" s="114">
        <f t="shared" si="28"/>
        <v>3350.7318559082742</v>
      </c>
    </row>
    <row r="21" spans="1:28" s="1" customFormat="1" ht="12.75">
      <c r="A21" s="62" t="s">
        <v>70</v>
      </c>
      <c r="B21" s="62"/>
      <c r="C21" s="30"/>
      <c r="D21" s="30"/>
      <c r="E21" s="114"/>
      <c r="F21" s="114">
        <f>'Coal Cost'!F30</f>
        <v>2267.8597</v>
      </c>
      <c r="G21" s="114">
        <f>'Coal Cost'!G30</f>
        <v>2316.703411</v>
      </c>
      <c r="H21" s="114">
        <f>'Coal Cost'!H30</f>
        <v>2367.01243333</v>
      </c>
      <c r="I21" s="114">
        <f>'Coal Cost'!I30</f>
        <v>2418.8307263298998</v>
      </c>
      <c r="J21" s="114">
        <f>'Coal Cost'!J30</f>
        <v>2472.2035681197967</v>
      </c>
      <c r="K21" s="114">
        <f>'Coal Cost'!K30</f>
        <v>2527.1775951633908</v>
      </c>
      <c r="L21" s="114">
        <f>'Coal Cost'!L30</f>
        <v>2583.8008430182931</v>
      </c>
      <c r="M21" s="114">
        <f>'Coal Cost'!M30</f>
        <v>2642.1227883088418</v>
      </c>
      <c r="N21" s="114">
        <f>'Coal Cost'!N30</f>
        <v>2702.1943919581067</v>
      </c>
      <c r="O21" s="114">
        <f>'Coal Cost'!O30</f>
        <v>2764.0681437168496</v>
      </c>
      <c r="P21" s="114">
        <f>'Coal Cost'!P30</f>
        <v>2827.7981080283553</v>
      </c>
      <c r="Q21" s="114">
        <f>'Coal Cost'!Q30</f>
        <v>2893.4399712692066</v>
      </c>
      <c r="R21" s="114">
        <f>'Coal Cost'!R30</f>
        <v>2961.0510904072826</v>
      </c>
      <c r="S21" s="114">
        <f>'Coal Cost'!S30</f>
        <v>3030.6905431195009</v>
      </c>
      <c r="T21" s="114">
        <f>'Coal Cost'!T30</f>
        <v>3102.4191794130857</v>
      </c>
      <c r="U21" s="114">
        <f>'Coal Cost'!U30</f>
        <v>3176.2996747954785</v>
      </c>
      <c r="V21" s="114">
        <f>'Coal Cost'!V30</f>
        <v>3252.3965850393424</v>
      </c>
      <c r="W21" s="114">
        <f>'Coal Cost'!W30</f>
        <v>3330.7764025905226</v>
      </c>
      <c r="X21" s="114">
        <f>'Coal Cost'!X30</f>
        <v>3411.5076146682386</v>
      </c>
      <c r="Y21" s="114">
        <f>'Coal Cost'!Y30</f>
        <v>3494.6607631082866</v>
      </c>
      <c r="Z21" s="114">
        <f>'Coal Cost'!Z30</f>
        <v>3580.3085060015346</v>
      </c>
      <c r="AA21" s="114">
        <f>'Coal Cost'!AA30</f>
        <v>3668.5256811815807</v>
      </c>
      <c r="AB21" s="114">
        <f>'Coal Cost'!AB30</f>
        <v>3759.3893716170278</v>
      </c>
    </row>
    <row r="22" spans="1:28" s="4" customFormat="1" ht="15.75" thickBot="1">
      <c r="A22" s="71" t="s">
        <v>71</v>
      </c>
      <c r="B22" s="72"/>
      <c r="C22" s="73"/>
      <c r="D22" s="73"/>
      <c r="E22" s="74"/>
      <c r="F22" s="74">
        <f t="shared" ref="F22:AB22" si="29">F21*F18/10</f>
        <v>519.63679850103983</v>
      </c>
      <c r="G22" s="74">
        <f t="shared" si="29"/>
        <v>530.82840334809009</v>
      </c>
      <c r="H22" s="74">
        <f t="shared" si="29"/>
        <v>542.35575634055192</v>
      </c>
      <c r="I22" s="74">
        <f t="shared" si="29"/>
        <v>554.22892992278753</v>
      </c>
      <c r="J22" s="74">
        <f t="shared" si="29"/>
        <v>566.4582987124902</v>
      </c>
      <c r="K22" s="74">
        <f t="shared" si="29"/>
        <v>579.05454856588403</v>
      </c>
      <c r="L22" s="74">
        <f t="shared" si="29"/>
        <v>592.02868591487982</v>
      </c>
      <c r="M22" s="74">
        <f t="shared" si="29"/>
        <v>605.39204738434523</v>
      </c>
      <c r="N22" s="74">
        <f t="shared" si="29"/>
        <v>619.15630969789459</v>
      </c>
      <c r="O22" s="74">
        <f t="shared" si="29"/>
        <v>633.33349988085058</v>
      </c>
      <c r="P22" s="74">
        <f t="shared" si="29"/>
        <v>647.93600576929521</v>
      </c>
      <c r="Q22" s="74">
        <f t="shared" si="29"/>
        <v>662.97658683439329</v>
      </c>
      <c r="R22" s="74">
        <f t="shared" si="29"/>
        <v>678.4683853314441</v>
      </c>
      <c r="S22" s="74">
        <f t="shared" si="29"/>
        <v>694.42493778340645</v>
      </c>
      <c r="T22" s="74">
        <f t="shared" si="29"/>
        <v>710.86018680892778</v>
      </c>
      <c r="U22" s="74">
        <f t="shared" si="29"/>
        <v>727.78849330521473</v>
      </c>
      <c r="V22" s="74">
        <f t="shared" si="29"/>
        <v>745.22464899639021</v>
      </c>
      <c r="W22" s="74">
        <f t="shared" si="29"/>
        <v>763.18388935830103</v>
      </c>
      <c r="X22" s="74">
        <f t="shared" si="29"/>
        <v>781.68190693106919</v>
      </c>
      <c r="Y22" s="74">
        <f t="shared" si="29"/>
        <v>800.73486503102049</v>
      </c>
      <c r="Z22" s="74">
        <f t="shared" si="29"/>
        <v>820.3594118739702</v>
      </c>
      <c r="AA22" s="74">
        <f t="shared" si="29"/>
        <v>840.5726951222083</v>
      </c>
      <c r="AB22" s="74">
        <f t="shared" si="29"/>
        <v>861.39237686789363</v>
      </c>
    </row>
    <row r="23" spans="1:28" s="1" customFormat="1" ht="13.5" thickTop="1">
      <c r="A23" s="62"/>
      <c r="B23" s="62"/>
      <c r="C23" s="62"/>
      <c r="D23" s="62"/>
      <c r="E23" s="62"/>
      <c r="F23" s="529">
        <v>3193.5619406177802</v>
      </c>
      <c r="G23" s="530">
        <f>G22/G20*10/(1-G10)</f>
        <v>1.6808661040958026</v>
      </c>
      <c r="H23" s="62"/>
      <c r="I23" s="62"/>
      <c r="J23" s="62"/>
      <c r="K23" s="62"/>
      <c r="L23" s="62"/>
      <c r="M23" s="62"/>
      <c r="N23" s="62"/>
      <c r="O23" s="62"/>
      <c r="P23" s="115">
        <f>P22/P20/0.93*10</f>
        <v>2.0792633147267319</v>
      </c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s="1" customFormat="1" ht="12.75">
      <c r="A24" s="62"/>
      <c r="B24" s="62"/>
      <c r="C24" s="62"/>
      <c r="D24" s="62"/>
      <c r="E24" s="62"/>
      <c r="F24" s="534">
        <v>906.67572516471319</v>
      </c>
      <c r="G24" s="531">
        <f>G55</f>
        <v>1.7706075273541115</v>
      </c>
      <c r="H24" s="112"/>
      <c r="I24" s="112">
        <f>(F24+F23)*(1-5.75%)</f>
        <v>3864.4740000000002</v>
      </c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s="1" customFormat="1" ht="16.5" thickBot="1">
      <c r="A25" s="109" t="s">
        <v>72</v>
      </c>
      <c r="B25" s="91"/>
      <c r="C25" s="91"/>
      <c r="D25" s="91"/>
      <c r="E25" s="91"/>
      <c r="F25" s="532"/>
      <c r="G25" s="533">
        <f>SUMPRODUCT(G23:G24,F23:F24)/SUM(F23:F24)</f>
        <v>1.7007104098757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s="1" customFormat="1" ht="13.5" thickTop="1">
      <c r="A26" s="62" t="s">
        <v>73</v>
      </c>
      <c r="B26" s="62"/>
      <c r="C26" s="30"/>
      <c r="D26" s="30"/>
      <c r="E26" s="114"/>
      <c r="F26" s="114">
        <f>Revenue!F58</f>
        <v>0</v>
      </c>
      <c r="G26" s="114">
        <f>Revenue!G58</f>
        <v>0</v>
      </c>
      <c r="H26" s="114">
        <f>Revenue!H58</f>
        <v>0</v>
      </c>
      <c r="I26" s="114">
        <f>Revenue!I58</f>
        <v>0</v>
      </c>
      <c r="J26" s="114">
        <f>Revenue!J58</f>
        <v>0</v>
      </c>
      <c r="K26" s="114">
        <f>Revenue!K58</f>
        <v>0</v>
      </c>
      <c r="L26" s="114">
        <f>Revenue!L58</f>
        <v>0</v>
      </c>
      <c r="M26" s="114">
        <f>Revenue!M58</f>
        <v>0</v>
      </c>
      <c r="N26" s="114">
        <f>Revenue!N58</f>
        <v>0</v>
      </c>
      <c r="O26" s="114">
        <f>Revenue!O58</f>
        <v>0</v>
      </c>
      <c r="P26" s="114">
        <f>Revenue!P58</f>
        <v>0</v>
      </c>
      <c r="Q26" s="114">
        <f>Revenue!Q58</f>
        <v>0</v>
      </c>
      <c r="R26" s="114">
        <f>Revenue!R58</f>
        <v>0</v>
      </c>
      <c r="S26" s="114">
        <f>Revenue!S58</f>
        <v>0</v>
      </c>
      <c r="T26" s="114">
        <f>Revenue!T58</f>
        <v>0</v>
      </c>
      <c r="U26" s="114">
        <f>Revenue!U58</f>
        <v>0</v>
      </c>
      <c r="V26" s="114">
        <f>Revenue!V58</f>
        <v>0</v>
      </c>
      <c r="W26" s="114">
        <f>Revenue!W58</f>
        <v>0</v>
      </c>
      <c r="X26" s="114">
        <f>Revenue!X58</f>
        <v>0</v>
      </c>
      <c r="Y26" s="114">
        <f>Revenue!Y58</f>
        <v>0</v>
      </c>
      <c r="Z26" s="114">
        <f>Revenue!Z58</f>
        <v>0</v>
      </c>
      <c r="AA26" s="114">
        <f>Revenue!AA58</f>
        <v>0</v>
      </c>
      <c r="AB26" s="114">
        <f>Revenue!AB58</f>
        <v>0</v>
      </c>
    </row>
    <row r="27" spans="1:28" s="1" customFormat="1" ht="12.75">
      <c r="A27" s="62" t="s">
        <v>53</v>
      </c>
      <c r="B27" s="62"/>
      <c r="C27" s="30"/>
      <c r="D27" s="30"/>
      <c r="E27" s="114"/>
      <c r="F27" s="114">
        <f t="shared" ref="F27:AB27" si="30">F26/(1-F10)</f>
        <v>0</v>
      </c>
      <c r="G27" s="114">
        <f t="shared" si="30"/>
        <v>0</v>
      </c>
      <c r="H27" s="114">
        <f t="shared" si="30"/>
        <v>0</v>
      </c>
      <c r="I27" s="114">
        <f t="shared" si="30"/>
        <v>0</v>
      </c>
      <c r="J27" s="114">
        <f t="shared" si="30"/>
        <v>0</v>
      </c>
      <c r="K27" s="114">
        <f t="shared" si="30"/>
        <v>0</v>
      </c>
      <c r="L27" s="114">
        <f t="shared" si="30"/>
        <v>0</v>
      </c>
      <c r="M27" s="114">
        <f t="shared" si="30"/>
        <v>0</v>
      </c>
      <c r="N27" s="114">
        <f t="shared" si="30"/>
        <v>0</v>
      </c>
      <c r="O27" s="114">
        <f t="shared" si="30"/>
        <v>0</v>
      </c>
      <c r="P27" s="114">
        <f t="shared" si="30"/>
        <v>0</v>
      </c>
      <c r="Q27" s="114">
        <f t="shared" si="30"/>
        <v>0</v>
      </c>
      <c r="R27" s="114">
        <f t="shared" si="30"/>
        <v>0</v>
      </c>
      <c r="S27" s="114">
        <f t="shared" si="30"/>
        <v>0</v>
      </c>
      <c r="T27" s="114">
        <f t="shared" si="30"/>
        <v>0</v>
      </c>
      <c r="U27" s="114">
        <f t="shared" si="30"/>
        <v>0</v>
      </c>
      <c r="V27" s="114">
        <f t="shared" si="30"/>
        <v>0</v>
      </c>
      <c r="W27" s="114">
        <f t="shared" si="30"/>
        <v>0</v>
      </c>
      <c r="X27" s="114">
        <f t="shared" si="30"/>
        <v>0</v>
      </c>
      <c r="Y27" s="114">
        <f t="shared" si="30"/>
        <v>0</v>
      </c>
      <c r="Z27" s="114">
        <f t="shared" si="30"/>
        <v>0</v>
      </c>
      <c r="AA27" s="114">
        <f t="shared" si="30"/>
        <v>0</v>
      </c>
      <c r="AB27" s="114">
        <f t="shared" si="30"/>
        <v>0</v>
      </c>
    </row>
    <row r="28" spans="1:28" s="1" customFormat="1" ht="12.75">
      <c r="A28" s="62" t="s">
        <v>75</v>
      </c>
      <c r="B28" s="62">
        <f>Assumption!C17</f>
        <v>3400</v>
      </c>
      <c r="C28" s="30"/>
      <c r="D28" s="30"/>
      <c r="E28" s="114"/>
      <c r="F28" s="114">
        <f>B28</f>
        <v>3400</v>
      </c>
      <c r="G28" s="114">
        <f t="shared" ref="G28:AB28" si="31">F28</f>
        <v>3400</v>
      </c>
      <c r="H28" s="114">
        <f t="shared" si="31"/>
        <v>3400</v>
      </c>
      <c r="I28" s="114">
        <f t="shared" si="31"/>
        <v>3400</v>
      </c>
      <c r="J28" s="114">
        <f t="shared" si="31"/>
        <v>3400</v>
      </c>
      <c r="K28" s="114">
        <f t="shared" si="31"/>
        <v>3400</v>
      </c>
      <c r="L28" s="114">
        <f t="shared" si="31"/>
        <v>3400</v>
      </c>
      <c r="M28" s="114">
        <f t="shared" si="31"/>
        <v>3400</v>
      </c>
      <c r="N28" s="114">
        <f t="shared" si="31"/>
        <v>3400</v>
      </c>
      <c r="O28" s="114">
        <f t="shared" si="31"/>
        <v>3400</v>
      </c>
      <c r="P28" s="114">
        <f t="shared" si="31"/>
        <v>3400</v>
      </c>
      <c r="Q28" s="114">
        <f t="shared" si="31"/>
        <v>3400</v>
      </c>
      <c r="R28" s="114">
        <f t="shared" si="31"/>
        <v>3400</v>
      </c>
      <c r="S28" s="114">
        <f t="shared" si="31"/>
        <v>3400</v>
      </c>
      <c r="T28" s="114">
        <f t="shared" si="31"/>
        <v>3400</v>
      </c>
      <c r="U28" s="114">
        <f t="shared" si="31"/>
        <v>3400</v>
      </c>
      <c r="V28" s="114">
        <f t="shared" si="31"/>
        <v>3400</v>
      </c>
      <c r="W28" s="114">
        <f t="shared" si="31"/>
        <v>3400</v>
      </c>
      <c r="X28" s="114">
        <f t="shared" si="31"/>
        <v>3400</v>
      </c>
      <c r="Y28" s="114">
        <f t="shared" si="31"/>
        <v>3400</v>
      </c>
      <c r="Z28" s="114">
        <f t="shared" si="31"/>
        <v>3400</v>
      </c>
      <c r="AA28" s="114">
        <f t="shared" si="31"/>
        <v>3400</v>
      </c>
      <c r="AB28" s="114">
        <f t="shared" si="31"/>
        <v>3400</v>
      </c>
    </row>
    <row r="29" spans="1:28" s="1" customFormat="1" ht="12.75">
      <c r="A29" s="62" t="s">
        <v>74</v>
      </c>
      <c r="B29" s="114" t="s">
        <v>77</v>
      </c>
      <c r="C29" s="30"/>
      <c r="D29" s="30"/>
      <c r="E29" s="112"/>
      <c r="F29" s="112">
        <f t="shared" ref="F29:AB29" si="32">F27*(F13/F28)/1000</f>
        <v>0</v>
      </c>
      <c r="G29" s="112">
        <f t="shared" si="32"/>
        <v>0</v>
      </c>
      <c r="H29" s="112">
        <f t="shared" si="32"/>
        <v>0</v>
      </c>
      <c r="I29" s="112">
        <f t="shared" si="32"/>
        <v>0</v>
      </c>
      <c r="J29" s="112">
        <f t="shared" si="32"/>
        <v>0</v>
      </c>
      <c r="K29" s="112">
        <f t="shared" si="32"/>
        <v>0</v>
      </c>
      <c r="L29" s="112">
        <f t="shared" si="32"/>
        <v>0</v>
      </c>
      <c r="M29" s="112">
        <f t="shared" si="32"/>
        <v>0</v>
      </c>
      <c r="N29" s="112">
        <f t="shared" si="32"/>
        <v>0</v>
      </c>
      <c r="O29" s="112">
        <f t="shared" si="32"/>
        <v>0</v>
      </c>
      <c r="P29" s="112">
        <f t="shared" si="32"/>
        <v>0</v>
      </c>
      <c r="Q29" s="112">
        <f t="shared" si="32"/>
        <v>0</v>
      </c>
      <c r="R29" s="112">
        <f t="shared" si="32"/>
        <v>0</v>
      </c>
      <c r="S29" s="112">
        <f t="shared" si="32"/>
        <v>0</v>
      </c>
      <c r="T29" s="112">
        <f t="shared" si="32"/>
        <v>0</v>
      </c>
      <c r="U29" s="112">
        <f t="shared" si="32"/>
        <v>0</v>
      </c>
      <c r="V29" s="112">
        <f t="shared" si="32"/>
        <v>0</v>
      </c>
      <c r="W29" s="112">
        <f t="shared" si="32"/>
        <v>0</v>
      </c>
      <c r="X29" s="112">
        <f t="shared" si="32"/>
        <v>0</v>
      </c>
      <c r="Y29" s="112">
        <f t="shared" si="32"/>
        <v>0</v>
      </c>
      <c r="Z29" s="112">
        <f t="shared" si="32"/>
        <v>0</v>
      </c>
      <c r="AA29" s="112">
        <f t="shared" si="32"/>
        <v>0</v>
      </c>
      <c r="AB29" s="112">
        <f t="shared" si="32"/>
        <v>0</v>
      </c>
    </row>
    <row r="30" spans="1:28" s="1" customFormat="1" ht="12.75">
      <c r="A30" s="62" t="s">
        <v>70</v>
      </c>
      <c r="B30" s="62"/>
      <c r="C30" s="30"/>
      <c r="D30" s="30"/>
      <c r="E30" s="114"/>
      <c r="F30" s="114">
        <f>'Coal Cost'!F30</f>
        <v>2267.8597</v>
      </c>
      <c r="G30" s="114">
        <f>'Coal Cost'!G30</f>
        <v>2316.703411</v>
      </c>
      <c r="H30" s="114">
        <f>'Coal Cost'!H30</f>
        <v>2367.01243333</v>
      </c>
      <c r="I30" s="114">
        <f>'Coal Cost'!I30</f>
        <v>2418.8307263298998</v>
      </c>
      <c r="J30" s="114">
        <f>'Coal Cost'!J30</f>
        <v>2472.2035681197967</v>
      </c>
      <c r="K30" s="114">
        <f>'Coal Cost'!K30</f>
        <v>2527.1775951633908</v>
      </c>
      <c r="L30" s="114">
        <f>'Coal Cost'!L30</f>
        <v>2583.8008430182931</v>
      </c>
      <c r="M30" s="114">
        <f>'Coal Cost'!M30</f>
        <v>2642.1227883088418</v>
      </c>
      <c r="N30" s="114">
        <f>'Coal Cost'!N30</f>
        <v>2702.1943919581067</v>
      </c>
      <c r="O30" s="114">
        <f>'Coal Cost'!O30</f>
        <v>2764.0681437168496</v>
      </c>
      <c r="P30" s="114">
        <f>'Coal Cost'!P30</f>
        <v>2827.7981080283553</v>
      </c>
      <c r="Q30" s="114">
        <f>'Coal Cost'!Q30</f>
        <v>2893.4399712692066</v>
      </c>
      <c r="R30" s="114">
        <f>'Coal Cost'!R30</f>
        <v>2961.0510904072826</v>
      </c>
      <c r="S30" s="114">
        <f>'Coal Cost'!S30</f>
        <v>3030.6905431195009</v>
      </c>
      <c r="T30" s="114">
        <f>'Coal Cost'!T30</f>
        <v>3102.4191794130857</v>
      </c>
      <c r="U30" s="114">
        <f>'Coal Cost'!U30</f>
        <v>3176.2996747954785</v>
      </c>
      <c r="V30" s="114">
        <f>'Coal Cost'!V30</f>
        <v>3252.3965850393424</v>
      </c>
      <c r="W30" s="114">
        <f>'Coal Cost'!W30</f>
        <v>3330.7764025905226</v>
      </c>
      <c r="X30" s="114">
        <f>'Coal Cost'!X30</f>
        <v>3411.5076146682386</v>
      </c>
      <c r="Y30" s="114">
        <f>'Coal Cost'!Y30</f>
        <v>3494.6607631082866</v>
      </c>
      <c r="Z30" s="114">
        <f>'Coal Cost'!Z30</f>
        <v>3580.3085060015346</v>
      </c>
      <c r="AA30" s="114">
        <f>'Coal Cost'!AA30</f>
        <v>3668.5256811815807</v>
      </c>
      <c r="AB30" s="114">
        <f>'Coal Cost'!AB30</f>
        <v>3759.3893716170278</v>
      </c>
    </row>
    <row r="31" spans="1:28" s="1" customFormat="1" ht="12.75">
      <c r="A31" s="62"/>
      <c r="B31" s="62"/>
      <c r="C31" s="30"/>
      <c r="D31" s="30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</row>
    <row r="32" spans="1:28" s="4" customFormat="1" ht="15.75" thickBot="1">
      <c r="A32" s="71" t="s">
        <v>85</v>
      </c>
      <c r="B32" s="72"/>
      <c r="C32" s="73"/>
      <c r="D32" s="73"/>
      <c r="E32" s="74"/>
      <c r="F32" s="74">
        <f t="shared" ref="F32:AB32" si="33">F30*F29/10</f>
        <v>0</v>
      </c>
      <c r="G32" s="74">
        <f t="shared" si="33"/>
        <v>0</v>
      </c>
      <c r="H32" s="74">
        <f t="shared" si="33"/>
        <v>0</v>
      </c>
      <c r="I32" s="74">
        <f t="shared" si="33"/>
        <v>0</v>
      </c>
      <c r="J32" s="74">
        <f t="shared" si="33"/>
        <v>0</v>
      </c>
      <c r="K32" s="74">
        <f t="shared" si="33"/>
        <v>0</v>
      </c>
      <c r="L32" s="74">
        <f t="shared" si="33"/>
        <v>0</v>
      </c>
      <c r="M32" s="74">
        <f t="shared" si="33"/>
        <v>0</v>
      </c>
      <c r="N32" s="74">
        <f t="shared" si="33"/>
        <v>0</v>
      </c>
      <c r="O32" s="74">
        <f t="shared" si="33"/>
        <v>0</v>
      </c>
      <c r="P32" s="74">
        <f t="shared" si="33"/>
        <v>0</v>
      </c>
      <c r="Q32" s="74">
        <f t="shared" si="33"/>
        <v>0</v>
      </c>
      <c r="R32" s="74">
        <f t="shared" si="33"/>
        <v>0</v>
      </c>
      <c r="S32" s="74">
        <f t="shared" si="33"/>
        <v>0</v>
      </c>
      <c r="T32" s="74">
        <f t="shared" si="33"/>
        <v>0</v>
      </c>
      <c r="U32" s="74">
        <f t="shared" si="33"/>
        <v>0</v>
      </c>
      <c r="V32" s="74">
        <f t="shared" si="33"/>
        <v>0</v>
      </c>
      <c r="W32" s="74">
        <f t="shared" si="33"/>
        <v>0</v>
      </c>
      <c r="X32" s="74">
        <f t="shared" si="33"/>
        <v>0</v>
      </c>
      <c r="Y32" s="74">
        <f t="shared" si="33"/>
        <v>0</v>
      </c>
      <c r="Z32" s="74">
        <f t="shared" si="33"/>
        <v>0</v>
      </c>
      <c r="AA32" s="74">
        <f t="shared" si="33"/>
        <v>0</v>
      </c>
      <c r="AB32" s="74">
        <f t="shared" si="33"/>
        <v>0</v>
      </c>
    </row>
    <row r="33" spans="1:28" s="1" customFormat="1" ht="13.5" thickTop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 spans="1:28" s="1" customFormat="1" ht="12.75">
      <c r="A34" s="62"/>
      <c r="B34" s="62"/>
      <c r="C34" s="62"/>
      <c r="D34" s="62"/>
      <c r="E34" s="62"/>
      <c r="F34" s="62"/>
      <c r="G34" s="115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</row>
    <row r="35" spans="1:28" s="1" customFormat="1" ht="16.5" thickBot="1">
      <c r="A35" s="109" t="s">
        <v>78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s="1" customFormat="1" ht="13.5" thickTop="1">
      <c r="A36" s="62" t="s">
        <v>73</v>
      </c>
      <c r="B36" s="62"/>
      <c r="C36" s="30"/>
      <c r="D36" s="30"/>
      <c r="E36" s="112"/>
      <c r="F36" s="112">
        <f>Revenue!F69</f>
        <v>0</v>
      </c>
      <c r="G36" s="114">
        <f>Revenue!G69</f>
        <v>0</v>
      </c>
      <c r="H36" s="114">
        <f>Revenue!H69</f>
        <v>0</v>
      </c>
      <c r="I36" s="114">
        <f>Revenue!I69</f>
        <v>0</v>
      </c>
      <c r="J36" s="114">
        <f>Revenue!J69</f>
        <v>0</v>
      </c>
      <c r="K36" s="114">
        <f>Revenue!K69</f>
        <v>0</v>
      </c>
      <c r="L36" s="114">
        <f>Revenue!L69</f>
        <v>0</v>
      </c>
      <c r="M36" s="114">
        <f>Revenue!M69</f>
        <v>0</v>
      </c>
      <c r="N36" s="114">
        <f>Revenue!N69</f>
        <v>0</v>
      </c>
      <c r="O36" s="114">
        <f>Revenue!O69</f>
        <v>0</v>
      </c>
      <c r="P36" s="114">
        <f>Revenue!P69</f>
        <v>0</v>
      </c>
      <c r="Q36" s="114">
        <f>Revenue!Q69</f>
        <v>0</v>
      </c>
      <c r="R36" s="114">
        <f>Revenue!R69</f>
        <v>0</v>
      </c>
      <c r="S36" s="114">
        <f>Revenue!S69</f>
        <v>0</v>
      </c>
      <c r="T36" s="114">
        <f>Revenue!T69</f>
        <v>0</v>
      </c>
      <c r="U36" s="114">
        <f>Revenue!U69</f>
        <v>0</v>
      </c>
      <c r="V36" s="114">
        <f>Revenue!V69</f>
        <v>0</v>
      </c>
      <c r="W36" s="114">
        <f>Revenue!W69</f>
        <v>0</v>
      </c>
      <c r="X36" s="114">
        <f>Revenue!X69</f>
        <v>0</v>
      </c>
      <c r="Y36" s="114">
        <f>Revenue!Y69</f>
        <v>0</v>
      </c>
      <c r="Z36" s="114">
        <f>Revenue!Z69</f>
        <v>0</v>
      </c>
      <c r="AA36" s="114">
        <f>Revenue!AA69</f>
        <v>0</v>
      </c>
      <c r="AB36" s="114">
        <f>Revenue!AB69</f>
        <v>0</v>
      </c>
    </row>
    <row r="37" spans="1:28" s="1" customFormat="1" ht="12.75">
      <c r="A37" s="62" t="s">
        <v>53</v>
      </c>
      <c r="B37" s="62"/>
      <c r="C37" s="30"/>
      <c r="D37" s="30"/>
      <c r="E37" s="112"/>
      <c r="F37" s="112">
        <f t="shared" ref="F37:AB37" si="34">F36/(1-F10)</f>
        <v>0</v>
      </c>
      <c r="G37" s="114">
        <f t="shared" si="34"/>
        <v>0</v>
      </c>
      <c r="H37" s="114">
        <f t="shared" si="34"/>
        <v>0</v>
      </c>
      <c r="I37" s="114">
        <f t="shared" si="34"/>
        <v>0</v>
      </c>
      <c r="J37" s="114">
        <f t="shared" si="34"/>
        <v>0</v>
      </c>
      <c r="K37" s="114">
        <f t="shared" si="34"/>
        <v>0</v>
      </c>
      <c r="L37" s="114">
        <f t="shared" si="34"/>
        <v>0</v>
      </c>
      <c r="M37" s="114">
        <f t="shared" si="34"/>
        <v>0</v>
      </c>
      <c r="N37" s="114">
        <f t="shared" si="34"/>
        <v>0</v>
      </c>
      <c r="O37" s="114">
        <f t="shared" si="34"/>
        <v>0</v>
      </c>
      <c r="P37" s="114">
        <f t="shared" si="34"/>
        <v>0</v>
      </c>
      <c r="Q37" s="114">
        <f t="shared" si="34"/>
        <v>0</v>
      </c>
      <c r="R37" s="114">
        <f t="shared" si="34"/>
        <v>0</v>
      </c>
      <c r="S37" s="114">
        <f t="shared" si="34"/>
        <v>0</v>
      </c>
      <c r="T37" s="114">
        <f t="shared" si="34"/>
        <v>0</v>
      </c>
      <c r="U37" s="114">
        <f t="shared" si="34"/>
        <v>0</v>
      </c>
      <c r="V37" s="114">
        <f t="shared" si="34"/>
        <v>0</v>
      </c>
      <c r="W37" s="114">
        <f t="shared" si="34"/>
        <v>0</v>
      </c>
      <c r="X37" s="114">
        <f t="shared" si="34"/>
        <v>0</v>
      </c>
      <c r="Y37" s="114">
        <f t="shared" si="34"/>
        <v>0</v>
      </c>
      <c r="Z37" s="114">
        <f t="shared" si="34"/>
        <v>0</v>
      </c>
      <c r="AA37" s="114">
        <f t="shared" si="34"/>
        <v>0</v>
      </c>
      <c r="AB37" s="114">
        <f t="shared" si="34"/>
        <v>0</v>
      </c>
    </row>
    <row r="38" spans="1:28" s="1" customFormat="1" ht="12.75">
      <c r="A38" s="62" t="s">
        <v>75</v>
      </c>
      <c r="B38" s="114">
        <f>'Coal Cost'!B63</f>
        <v>3600</v>
      </c>
      <c r="C38" s="30"/>
      <c r="D38" s="30"/>
      <c r="E38" s="114"/>
      <c r="F38" s="114">
        <f>'Coal Cost'!F63</f>
        <v>3600</v>
      </c>
      <c r="G38" s="114">
        <f>'Coal Cost'!G63</f>
        <v>3600</v>
      </c>
      <c r="H38" s="114">
        <f>'Coal Cost'!H63</f>
        <v>3600</v>
      </c>
      <c r="I38" s="114">
        <f>'Coal Cost'!I63</f>
        <v>3600</v>
      </c>
      <c r="J38" s="114">
        <f>'Coal Cost'!J63</f>
        <v>3600</v>
      </c>
      <c r="K38" s="114">
        <f>'Coal Cost'!K63</f>
        <v>3600</v>
      </c>
      <c r="L38" s="114">
        <f>'Coal Cost'!L63</f>
        <v>3600</v>
      </c>
      <c r="M38" s="114">
        <f>'Coal Cost'!M63</f>
        <v>3600</v>
      </c>
      <c r="N38" s="114">
        <f>'Coal Cost'!N63</f>
        <v>3600</v>
      </c>
      <c r="O38" s="114">
        <f>'Coal Cost'!O63</f>
        <v>3600</v>
      </c>
      <c r="P38" s="114">
        <f>'Coal Cost'!P63</f>
        <v>3600</v>
      </c>
      <c r="Q38" s="114">
        <f>'Coal Cost'!Q63</f>
        <v>3600</v>
      </c>
      <c r="R38" s="114">
        <f>'Coal Cost'!R63</f>
        <v>3600</v>
      </c>
      <c r="S38" s="114">
        <f>'Coal Cost'!S63</f>
        <v>3600</v>
      </c>
      <c r="T38" s="114">
        <f>'Coal Cost'!T63</f>
        <v>3600</v>
      </c>
      <c r="U38" s="114">
        <f>'Coal Cost'!U63</f>
        <v>3600</v>
      </c>
      <c r="V38" s="114">
        <f>'Coal Cost'!V63</f>
        <v>3600</v>
      </c>
      <c r="W38" s="114">
        <f>'Coal Cost'!W63</f>
        <v>3600</v>
      </c>
      <c r="X38" s="114">
        <f>'Coal Cost'!X63</f>
        <v>3600</v>
      </c>
      <c r="Y38" s="114">
        <f>'Coal Cost'!Y63</f>
        <v>3600</v>
      </c>
      <c r="Z38" s="114">
        <f>'Coal Cost'!Z63</f>
        <v>3600</v>
      </c>
      <c r="AA38" s="114">
        <f>'Coal Cost'!AA63</f>
        <v>3600</v>
      </c>
      <c r="AB38" s="114">
        <f>'Coal Cost'!AB63</f>
        <v>3600</v>
      </c>
    </row>
    <row r="39" spans="1:28" s="1" customFormat="1" ht="12.75">
      <c r="A39" s="62" t="s">
        <v>74</v>
      </c>
      <c r="B39" s="114" t="s">
        <v>77</v>
      </c>
      <c r="C39" s="30"/>
      <c r="D39" s="30"/>
      <c r="E39" s="112"/>
      <c r="F39" s="112">
        <f t="shared" ref="F39:AB39" si="35">F37*(F13/F38)/1000</f>
        <v>0</v>
      </c>
      <c r="G39" s="112">
        <f t="shared" si="35"/>
        <v>0</v>
      </c>
      <c r="H39" s="112">
        <f t="shared" si="35"/>
        <v>0</v>
      </c>
      <c r="I39" s="112">
        <f t="shared" si="35"/>
        <v>0</v>
      </c>
      <c r="J39" s="112">
        <f t="shared" si="35"/>
        <v>0</v>
      </c>
      <c r="K39" s="112">
        <f t="shared" si="35"/>
        <v>0</v>
      </c>
      <c r="L39" s="112">
        <f t="shared" si="35"/>
        <v>0</v>
      </c>
      <c r="M39" s="112">
        <f t="shared" si="35"/>
        <v>0</v>
      </c>
      <c r="N39" s="112">
        <f t="shared" si="35"/>
        <v>0</v>
      </c>
      <c r="O39" s="112">
        <f t="shared" si="35"/>
        <v>0</v>
      </c>
      <c r="P39" s="112">
        <f t="shared" si="35"/>
        <v>0</v>
      </c>
      <c r="Q39" s="112">
        <f t="shared" si="35"/>
        <v>0</v>
      </c>
      <c r="R39" s="112">
        <f t="shared" si="35"/>
        <v>0</v>
      </c>
      <c r="S39" s="112">
        <f t="shared" si="35"/>
        <v>0</v>
      </c>
      <c r="T39" s="112">
        <f t="shared" si="35"/>
        <v>0</v>
      </c>
      <c r="U39" s="112">
        <f t="shared" si="35"/>
        <v>0</v>
      </c>
      <c r="V39" s="112">
        <f t="shared" si="35"/>
        <v>0</v>
      </c>
      <c r="W39" s="112">
        <f t="shared" si="35"/>
        <v>0</v>
      </c>
      <c r="X39" s="112">
        <f t="shared" si="35"/>
        <v>0</v>
      </c>
      <c r="Y39" s="112">
        <f t="shared" si="35"/>
        <v>0</v>
      </c>
      <c r="Z39" s="112">
        <f t="shared" si="35"/>
        <v>0</v>
      </c>
      <c r="AA39" s="112">
        <f t="shared" si="35"/>
        <v>0</v>
      </c>
      <c r="AB39" s="112">
        <f t="shared" si="35"/>
        <v>0</v>
      </c>
    </row>
    <row r="40" spans="1:28" s="1" customFormat="1" ht="12.75">
      <c r="A40" s="62" t="s">
        <v>70</v>
      </c>
      <c r="B40" s="62"/>
      <c r="C40" s="30"/>
      <c r="D40" s="30"/>
      <c r="E40" s="114"/>
      <c r="F40" s="114">
        <f>'Coal Cost'!F62</f>
        <v>2861.8888000000002</v>
      </c>
      <c r="G40" s="114">
        <f>'Coal Cost'!G62</f>
        <v>2928.5533839999998</v>
      </c>
      <c r="H40" s="114">
        <f>'Coal Cost'!H62</f>
        <v>2997.2179055199999</v>
      </c>
      <c r="I40" s="114">
        <f>'Coal Cost'!I62</f>
        <v>3067.9423626855996</v>
      </c>
      <c r="J40" s="114">
        <f>'Coal Cost'!J62</f>
        <v>3140.788553566168</v>
      </c>
      <c r="K40" s="114">
        <f>'Coal Cost'!K62</f>
        <v>3215.8201301731528</v>
      </c>
      <c r="L40" s="114">
        <f>'Coal Cost'!L62</f>
        <v>3293.1026540783473</v>
      </c>
      <c r="M40" s="114">
        <f>'Coal Cost'!M62</f>
        <v>3372.7036537006975</v>
      </c>
      <c r="N40" s="114">
        <f>'Coal Cost'!N62</f>
        <v>3454.6926833117191</v>
      </c>
      <c r="O40" s="114">
        <f>'Coal Cost'!O62</f>
        <v>3539.1413838110702</v>
      </c>
      <c r="P40" s="114">
        <f>'Coal Cost'!P62</f>
        <v>3626.123545325403</v>
      </c>
      <c r="Q40" s="114">
        <f>'Coal Cost'!Q62</f>
        <v>3715.7151716851649</v>
      </c>
      <c r="R40" s="114">
        <f>'Coal Cost'!R62</f>
        <v>3807.9945468357196</v>
      </c>
      <c r="S40" s="114">
        <f>'Coal Cost'!S62</f>
        <v>3903.0423032407907</v>
      </c>
      <c r="T40" s="114">
        <f>'Coal Cost'!T62</f>
        <v>4000.9414923380145</v>
      </c>
      <c r="U40" s="114">
        <f>'Coal Cost'!U62</f>
        <v>4101.7776571081549</v>
      </c>
      <c r="V40" s="114">
        <f>'Coal Cost'!V62</f>
        <v>4205.6389068214003</v>
      </c>
      <c r="W40" s="114">
        <f>'Coal Cost'!W62</f>
        <v>4312.6159940260413</v>
      </c>
      <c r="X40" s="114">
        <f>'Coal Cost'!X62</f>
        <v>4422.8023938468232</v>
      </c>
      <c r="Y40" s="114">
        <f>'Coal Cost'!Y62</f>
        <v>4536.2943856622287</v>
      </c>
      <c r="Z40" s="114">
        <f>'Coal Cost'!Z62</f>
        <v>4653.1911372320947</v>
      </c>
      <c r="AA40" s="114">
        <f>'Coal Cost'!AA62</f>
        <v>4773.5947913490581</v>
      </c>
      <c r="AB40" s="114">
        <f>'Coal Cost'!AB62</f>
        <v>4897.61055508953</v>
      </c>
    </row>
    <row r="41" spans="1:28" s="1" customFormat="1" ht="12.75">
      <c r="A41" s="62"/>
      <c r="B41" s="62"/>
      <c r="C41" s="30"/>
      <c r="D41" s="30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</row>
    <row r="42" spans="1:28" s="4" customFormat="1" ht="15.75" thickBot="1">
      <c r="A42" s="71" t="s">
        <v>84</v>
      </c>
      <c r="B42" s="72"/>
      <c r="C42" s="73"/>
      <c r="D42" s="73"/>
      <c r="E42" s="74"/>
      <c r="F42" s="74">
        <f t="shared" ref="F42:AB42" si="36">F40*F39/10</f>
        <v>0</v>
      </c>
      <c r="G42" s="74">
        <f t="shared" si="36"/>
        <v>0</v>
      </c>
      <c r="H42" s="74">
        <f t="shared" si="36"/>
        <v>0</v>
      </c>
      <c r="I42" s="74">
        <f t="shared" si="36"/>
        <v>0</v>
      </c>
      <c r="J42" s="74">
        <f t="shared" si="36"/>
        <v>0</v>
      </c>
      <c r="K42" s="74">
        <f t="shared" si="36"/>
        <v>0</v>
      </c>
      <c r="L42" s="74">
        <f t="shared" si="36"/>
        <v>0</v>
      </c>
      <c r="M42" s="74">
        <f t="shared" si="36"/>
        <v>0</v>
      </c>
      <c r="N42" s="74">
        <f t="shared" si="36"/>
        <v>0</v>
      </c>
      <c r="O42" s="74">
        <f t="shared" si="36"/>
        <v>0</v>
      </c>
      <c r="P42" s="74">
        <f t="shared" si="36"/>
        <v>0</v>
      </c>
      <c r="Q42" s="74">
        <f t="shared" si="36"/>
        <v>0</v>
      </c>
      <c r="R42" s="74">
        <f t="shared" si="36"/>
        <v>0</v>
      </c>
      <c r="S42" s="74">
        <f t="shared" si="36"/>
        <v>0</v>
      </c>
      <c r="T42" s="74">
        <f t="shared" si="36"/>
        <v>0</v>
      </c>
      <c r="U42" s="74">
        <f t="shared" si="36"/>
        <v>0</v>
      </c>
      <c r="V42" s="74">
        <f t="shared" si="36"/>
        <v>0</v>
      </c>
      <c r="W42" s="74">
        <f t="shared" si="36"/>
        <v>0</v>
      </c>
      <c r="X42" s="74">
        <f t="shared" si="36"/>
        <v>0</v>
      </c>
      <c r="Y42" s="74">
        <f t="shared" si="36"/>
        <v>0</v>
      </c>
      <c r="Z42" s="74">
        <f t="shared" si="36"/>
        <v>0</v>
      </c>
      <c r="AA42" s="74">
        <f t="shared" si="36"/>
        <v>0</v>
      </c>
      <c r="AB42" s="74">
        <f t="shared" si="36"/>
        <v>0</v>
      </c>
    </row>
    <row r="43" spans="1:28" s="1" customFormat="1" ht="13.5" thickTop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</row>
    <row r="44" spans="1:28" s="1" customFormat="1" ht="12.7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</row>
    <row r="45" spans="1:28" s="1" customFormat="1" ht="16.5" thickBot="1">
      <c r="A45" s="109" t="s">
        <v>79</v>
      </c>
      <c r="B45" s="91"/>
      <c r="C45" s="91"/>
      <c r="D45" s="91"/>
      <c r="E45" s="192"/>
      <c r="F45" s="192"/>
      <c r="G45" s="192"/>
      <c r="H45" s="192"/>
      <c r="I45" s="192"/>
      <c r="J45" s="192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s="1" customFormat="1" ht="13.5" thickTop="1">
      <c r="A46" s="62" t="s">
        <v>80</v>
      </c>
      <c r="B46" s="62"/>
      <c r="C46" s="30"/>
      <c r="D46" s="30"/>
      <c r="E46" s="116"/>
      <c r="F46" s="116">
        <f t="shared" ref="F46:AB46" si="37">F9-F20-F27-F37</f>
        <v>3184.5641440917261</v>
      </c>
      <c r="G46" s="116">
        <f t="shared" si="37"/>
        <v>4719.3305440917247</v>
      </c>
      <c r="H46" s="116">
        <f>H9-H20-H27-H37</f>
        <v>4533.2681440917258</v>
      </c>
      <c r="I46" s="116">
        <f t="shared" si="37"/>
        <v>4533.2681440917258</v>
      </c>
      <c r="J46" s="116">
        <f t="shared" si="37"/>
        <v>4554.8681440917262</v>
      </c>
      <c r="K46" s="116">
        <f t="shared" si="37"/>
        <v>4533.2681440917258</v>
      </c>
      <c r="L46" s="116">
        <f t="shared" si="37"/>
        <v>4533.2681440917258</v>
      </c>
      <c r="M46" s="116">
        <f t="shared" si="37"/>
        <v>4533.2681440917258</v>
      </c>
      <c r="N46" s="116">
        <f t="shared" si="37"/>
        <v>4554.8681440917262</v>
      </c>
      <c r="O46" s="116">
        <f t="shared" si="37"/>
        <v>4533.2681440917258</v>
      </c>
      <c r="P46" s="116">
        <f t="shared" si="37"/>
        <v>4533.2681440917258</v>
      </c>
      <c r="Q46" s="116">
        <f t="shared" si="37"/>
        <v>4533.2681440917258</v>
      </c>
      <c r="R46" s="116">
        <f t="shared" si="37"/>
        <v>4554.8681440917262</v>
      </c>
      <c r="S46" s="116">
        <f t="shared" si="37"/>
        <v>4533.2681440917258</v>
      </c>
      <c r="T46" s="116">
        <f t="shared" si="37"/>
        <v>4533.2681440917258</v>
      </c>
      <c r="U46" s="116">
        <f t="shared" si="37"/>
        <v>4533.2681440917258</v>
      </c>
      <c r="V46" s="116">
        <f t="shared" si="37"/>
        <v>4554.8681440917262</v>
      </c>
      <c r="W46" s="116">
        <f t="shared" si="37"/>
        <v>4533.2681440917258</v>
      </c>
      <c r="X46" s="116">
        <f t="shared" si="37"/>
        <v>4533.2681440917258</v>
      </c>
      <c r="Y46" s="116">
        <f t="shared" si="37"/>
        <v>4533.2681440917258</v>
      </c>
      <c r="Z46" s="116">
        <f t="shared" si="37"/>
        <v>4554.8681440917262</v>
      </c>
      <c r="AA46" s="116">
        <f t="shared" si="37"/>
        <v>4533.2681440917258</v>
      </c>
      <c r="AB46" s="116">
        <f t="shared" si="37"/>
        <v>4533.2681440917258</v>
      </c>
    </row>
    <row r="47" spans="1:28" s="1" customFormat="1" ht="12.75">
      <c r="A47" s="62" t="s">
        <v>75</v>
      </c>
      <c r="B47" s="114">
        <f>'Coal Cost'!B73</f>
        <v>0.18479999999999999</v>
      </c>
      <c r="C47" s="30"/>
      <c r="D47" s="30"/>
      <c r="E47" s="114"/>
      <c r="F47" s="114">
        <f>'Coal Cost'!F95</f>
        <v>3200</v>
      </c>
      <c r="G47" s="114">
        <f>'Coal Cost'!G95</f>
        <v>3200</v>
      </c>
      <c r="H47" s="114">
        <f>'Coal Cost'!H95</f>
        <v>3200</v>
      </c>
      <c r="I47" s="114">
        <f>'Coal Cost'!I95</f>
        <v>3200</v>
      </c>
      <c r="J47" s="114">
        <f>'Coal Cost'!J95</f>
        <v>3200</v>
      </c>
      <c r="K47" s="114">
        <f>'Coal Cost'!K95</f>
        <v>3200</v>
      </c>
      <c r="L47" s="114">
        <f>'Coal Cost'!L95</f>
        <v>3200</v>
      </c>
      <c r="M47" s="114">
        <f>'Coal Cost'!M95</f>
        <v>3200</v>
      </c>
      <c r="N47" s="114">
        <f>'Coal Cost'!N95</f>
        <v>3200</v>
      </c>
      <c r="O47" s="114">
        <f>'Coal Cost'!O95</f>
        <v>3200</v>
      </c>
      <c r="P47" s="114">
        <f>'Coal Cost'!P95</f>
        <v>3200</v>
      </c>
      <c r="Q47" s="114">
        <f>'Coal Cost'!Q95</f>
        <v>3200</v>
      </c>
      <c r="R47" s="114">
        <f>'Coal Cost'!R95</f>
        <v>3200</v>
      </c>
      <c r="S47" s="114">
        <f>'Coal Cost'!S95</f>
        <v>3200</v>
      </c>
      <c r="T47" s="114">
        <f>'Coal Cost'!T95</f>
        <v>3200</v>
      </c>
      <c r="U47" s="114">
        <f>'Coal Cost'!U95</f>
        <v>3200</v>
      </c>
      <c r="V47" s="114">
        <f>'Coal Cost'!V95</f>
        <v>3200</v>
      </c>
      <c r="W47" s="114">
        <f>'Coal Cost'!W95</f>
        <v>3200</v>
      </c>
      <c r="X47" s="114">
        <f>'Coal Cost'!X95</f>
        <v>3200</v>
      </c>
      <c r="Y47" s="114">
        <f>'Coal Cost'!Y95</f>
        <v>3200</v>
      </c>
      <c r="Z47" s="114">
        <f>'Coal Cost'!Z95</f>
        <v>3200</v>
      </c>
      <c r="AA47" s="114">
        <f>'Coal Cost'!AA95</f>
        <v>3200</v>
      </c>
      <c r="AB47" s="114">
        <f>'Coal Cost'!AB95</f>
        <v>3200</v>
      </c>
    </row>
    <row r="48" spans="1:28" s="1" customFormat="1" ht="12.75">
      <c r="A48" s="62" t="s">
        <v>74</v>
      </c>
      <c r="B48" s="114" t="s">
        <v>77</v>
      </c>
      <c r="C48" s="30"/>
      <c r="D48" s="30"/>
      <c r="E48" s="112"/>
      <c r="F48" s="112">
        <f t="shared" ref="F48:AB48" si="38">F46*(F13/F47)/1000</f>
        <v>2.313784885941645</v>
      </c>
      <c r="G48" s="112">
        <f t="shared" si="38"/>
        <v>3.428888598441644</v>
      </c>
      <c r="H48" s="112">
        <f t="shared" si="38"/>
        <v>3.2937026359416444</v>
      </c>
      <c r="I48" s="112">
        <f t="shared" si="38"/>
        <v>3.2937026359416444</v>
      </c>
      <c r="J48" s="112">
        <f t="shared" si="38"/>
        <v>3.3093963859416449</v>
      </c>
      <c r="K48" s="112">
        <f t="shared" si="38"/>
        <v>3.2937026359416444</v>
      </c>
      <c r="L48" s="112">
        <f t="shared" si="38"/>
        <v>3.2937026359416444</v>
      </c>
      <c r="M48" s="112">
        <f t="shared" si="38"/>
        <v>3.2937026359416444</v>
      </c>
      <c r="N48" s="112">
        <f t="shared" si="38"/>
        <v>3.3093963859416449</v>
      </c>
      <c r="O48" s="112">
        <f t="shared" si="38"/>
        <v>3.2937026359416444</v>
      </c>
      <c r="P48" s="112">
        <f t="shared" si="38"/>
        <v>3.2937026359416444</v>
      </c>
      <c r="Q48" s="112">
        <f t="shared" si="38"/>
        <v>3.2937026359416444</v>
      </c>
      <c r="R48" s="112">
        <f t="shared" si="38"/>
        <v>3.3093963859416449</v>
      </c>
      <c r="S48" s="112">
        <f t="shared" si="38"/>
        <v>3.2937026359416444</v>
      </c>
      <c r="T48" s="112">
        <f t="shared" si="38"/>
        <v>3.2937026359416444</v>
      </c>
      <c r="U48" s="112">
        <f t="shared" si="38"/>
        <v>3.2937026359416444</v>
      </c>
      <c r="V48" s="112">
        <f t="shared" si="38"/>
        <v>3.3093963859416449</v>
      </c>
      <c r="W48" s="112">
        <f t="shared" si="38"/>
        <v>3.2937026359416444</v>
      </c>
      <c r="X48" s="112">
        <f t="shared" si="38"/>
        <v>3.2937026359416444</v>
      </c>
      <c r="Y48" s="112">
        <f t="shared" si="38"/>
        <v>3.2937026359416444</v>
      </c>
      <c r="Z48" s="112">
        <f t="shared" si="38"/>
        <v>3.3093963859416449</v>
      </c>
      <c r="AA48" s="112">
        <f t="shared" si="38"/>
        <v>3.2937026359416444</v>
      </c>
      <c r="AB48" s="112">
        <f t="shared" si="38"/>
        <v>3.2937026359416444</v>
      </c>
    </row>
    <row r="49" spans="1:28" s="1" customFormat="1" ht="12.75">
      <c r="A49" s="62"/>
      <c r="B49" s="114"/>
      <c r="C49" s="30"/>
      <c r="D49" s="30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</row>
    <row r="50" spans="1:28" s="1" customFormat="1" ht="12.75">
      <c r="A50" s="62" t="s">
        <v>81</v>
      </c>
      <c r="B50" s="117">
        <f>Assumption!C37</f>
        <v>0.75</v>
      </c>
      <c r="C50" s="30"/>
      <c r="D50" s="30"/>
      <c r="E50" s="116"/>
      <c r="F50" s="116">
        <f>'Coal Cost'!F94</f>
        <v>2296.8397</v>
      </c>
      <c r="G50" s="116">
        <f>'Coal Cost'!G94</f>
        <v>2296.8397</v>
      </c>
      <c r="H50" s="116">
        <f>'Coal Cost'!H94</f>
        <v>2296.8397</v>
      </c>
      <c r="I50" s="116">
        <f>'Coal Cost'!I94</f>
        <v>2296.8397</v>
      </c>
      <c r="J50" s="116">
        <f>'Coal Cost'!J94</f>
        <v>2296.8397</v>
      </c>
      <c r="K50" s="116">
        <f>'Coal Cost'!K94</f>
        <v>2296.8397</v>
      </c>
      <c r="L50" s="116">
        <f>'Coal Cost'!L94</f>
        <v>2296.8397</v>
      </c>
      <c r="M50" s="116">
        <f>'Coal Cost'!M94</f>
        <v>2296.8397</v>
      </c>
      <c r="N50" s="116">
        <f>'Coal Cost'!N94</f>
        <v>2296.8397</v>
      </c>
      <c r="O50" s="116">
        <f>'Coal Cost'!O94</f>
        <v>2296.8397</v>
      </c>
      <c r="P50" s="116">
        <f>'Coal Cost'!P94</f>
        <v>2296.8397</v>
      </c>
      <c r="Q50" s="116">
        <f>'Coal Cost'!Q94</f>
        <v>2296.8397</v>
      </c>
      <c r="R50" s="116">
        <f>'Coal Cost'!R94</f>
        <v>2296.8397</v>
      </c>
      <c r="S50" s="116">
        <f>'Coal Cost'!S94</f>
        <v>2296.8397</v>
      </c>
      <c r="T50" s="116">
        <f>'Coal Cost'!T94</f>
        <v>2296.8397</v>
      </c>
      <c r="U50" s="116">
        <f>'Coal Cost'!U94</f>
        <v>2296.8397</v>
      </c>
      <c r="V50" s="116">
        <f>'Coal Cost'!V94</f>
        <v>2296.8397</v>
      </c>
      <c r="W50" s="116">
        <f>'Coal Cost'!W94</f>
        <v>2296.8397</v>
      </c>
      <c r="X50" s="116">
        <f>'Coal Cost'!X94</f>
        <v>2296.8397</v>
      </c>
      <c r="Y50" s="116">
        <f>'Coal Cost'!Y94</f>
        <v>2296.8397</v>
      </c>
      <c r="Z50" s="116">
        <f>'Coal Cost'!Z94</f>
        <v>2296.8397</v>
      </c>
      <c r="AA50" s="116">
        <f>'Coal Cost'!AA94</f>
        <v>2296.8397</v>
      </c>
      <c r="AB50" s="116">
        <f>'Coal Cost'!AB94</f>
        <v>2296.8397</v>
      </c>
    </row>
    <row r="51" spans="1:28" s="1" customFormat="1" ht="12.75">
      <c r="A51" s="62" t="s">
        <v>25</v>
      </c>
      <c r="B51" s="117">
        <f>Assumption!C38</f>
        <v>0.25</v>
      </c>
      <c r="C51" s="30"/>
      <c r="D51" s="30"/>
      <c r="E51" s="116"/>
      <c r="F51" s="116">
        <f>'Coal Cost'!F126</f>
        <v>2296.8397</v>
      </c>
      <c r="G51" s="116">
        <f>'Coal Cost'!G126</f>
        <v>2296.8397</v>
      </c>
      <c r="H51" s="116">
        <f>'Coal Cost'!H126</f>
        <v>2296.8397</v>
      </c>
      <c r="I51" s="116">
        <f>'Coal Cost'!I126</f>
        <v>2296.8397</v>
      </c>
      <c r="J51" s="116">
        <f>'Coal Cost'!J126</f>
        <v>2296.8397</v>
      </c>
      <c r="K51" s="116">
        <f>'Coal Cost'!K126</f>
        <v>2296.8397</v>
      </c>
      <c r="L51" s="116">
        <f>'Coal Cost'!L126</f>
        <v>2296.8397</v>
      </c>
      <c r="M51" s="116">
        <f>'Coal Cost'!M126</f>
        <v>2296.8397</v>
      </c>
      <c r="N51" s="116">
        <f>'Coal Cost'!N126</f>
        <v>2296.8397</v>
      </c>
      <c r="O51" s="116">
        <f>'Coal Cost'!O126</f>
        <v>2296.8397</v>
      </c>
      <c r="P51" s="116">
        <f>'Coal Cost'!P126</f>
        <v>2296.8397</v>
      </c>
      <c r="Q51" s="116">
        <f>'Coal Cost'!Q126</f>
        <v>2296.8397</v>
      </c>
      <c r="R51" s="116">
        <f>'Coal Cost'!R126</f>
        <v>2296.8397</v>
      </c>
      <c r="S51" s="116">
        <f>'Coal Cost'!S126</f>
        <v>2296.8397</v>
      </c>
      <c r="T51" s="116">
        <f>'Coal Cost'!T126</f>
        <v>2296.8397</v>
      </c>
      <c r="U51" s="116">
        <f>'Coal Cost'!U126</f>
        <v>2296.8397</v>
      </c>
      <c r="V51" s="116">
        <f>'Coal Cost'!V126</f>
        <v>2296.8397</v>
      </c>
      <c r="W51" s="116">
        <f>'Coal Cost'!W126</f>
        <v>2296.8397</v>
      </c>
      <c r="X51" s="116">
        <f>'Coal Cost'!X126</f>
        <v>2296.8397</v>
      </c>
      <c r="Y51" s="116">
        <f>'Coal Cost'!Y126</f>
        <v>2296.8397</v>
      </c>
      <c r="Z51" s="116">
        <f>'Coal Cost'!Z126</f>
        <v>2296.8397</v>
      </c>
      <c r="AA51" s="116">
        <f>'Coal Cost'!AA126</f>
        <v>2296.8397</v>
      </c>
      <c r="AB51" s="116">
        <f>'Coal Cost'!AB126</f>
        <v>2296.8397</v>
      </c>
    </row>
    <row r="52" spans="1:28" s="1" customFormat="1" ht="12.75">
      <c r="A52" s="62" t="s">
        <v>82</v>
      </c>
      <c r="B52" s="62"/>
      <c r="C52" s="30"/>
      <c r="D52" s="30"/>
      <c r="E52" s="118"/>
      <c r="F52" s="118">
        <f t="shared" ref="F52:AB52" si="39">SUMPRODUCT(F50:F51,$B$50:$B$51)</f>
        <v>2296.8397</v>
      </c>
      <c r="G52" s="118">
        <f t="shared" si="39"/>
        <v>2296.8397</v>
      </c>
      <c r="H52" s="118">
        <f t="shared" si="39"/>
        <v>2296.8397</v>
      </c>
      <c r="I52" s="118">
        <f t="shared" si="39"/>
        <v>2296.8397</v>
      </c>
      <c r="J52" s="118">
        <f t="shared" si="39"/>
        <v>2296.8397</v>
      </c>
      <c r="K52" s="118">
        <f t="shared" si="39"/>
        <v>2296.8397</v>
      </c>
      <c r="L52" s="118">
        <f t="shared" si="39"/>
        <v>2296.8397</v>
      </c>
      <c r="M52" s="118">
        <f t="shared" si="39"/>
        <v>2296.8397</v>
      </c>
      <c r="N52" s="118">
        <f t="shared" si="39"/>
        <v>2296.8397</v>
      </c>
      <c r="O52" s="118">
        <f t="shared" si="39"/>
        <v>2296.8397</v>
      </c>
      <c r="P52" s="118">
        <f t="shared" si="39"/>
        <v>2296.8397</v>
      </c>
      <c r="Q52" s="118">
        <f t="shared" si="39"/>
        <v>2296.8397</v>
      </c>
      <c r="R52" s="118">
        <f t="shared" si="39"/>
        <v>2296.8397</v>
      </c>
      <c r="S52" s="118">
        <f t="shared" si="39"/>
        <v>2296.8397</v>
      </c>
      <c r="T52" s="118">
        <f t="shared" si="39"/>
        <v>2296.8397</v>
      </c>
      <c r="U52" s="118">
        <f t="shared" si="39"/>
        <v>2296.8397</v>
      </c>
      <c r="V52" s="118">
        <f t="shared" si="39"/>
        <v>2296.8397</v>
      </c>
      <c r="W52" s="118">
        <f t="shared" si="39"/>
        <v>2296.8397</v>
      </c>
      <c r="X52" s="118">
        <f t="shared" si="39"/>
        <v>2296.8397</v>
      </c>
      <c r="Y52" s="118">
        <f t="shared" si="39"/>
        <v>2296.8397</v>
      </c>
      <c r="Z52" s="118">
        <f t="shared" si="39"/>
        <v>2296.8397</v>
      </c>
      <c r="AA52" s="118">
        <f t="shared" si="39"/>
        <v>2296.8397</v>
      </c>
      <c r="AB52" s="118">
        <f t="shared" si="39"/>
        <v>2296.8397</v>
      </c>
    </row>
    <row r="53" spans="1:28" s="1" customFormat="1" ht="12.75">
      <c r="A53" s="62"/>
      <c r="B53" s="62"/>
      <c r="C53" s="30"/>
      <c r="D53" s="30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</row>
    <row r="54" spans="1:28" s="1" customFormat="1" ht="12.75">
      <c r="A54" s="62" t="s">
        <v>257</v>
      </c>
      <c r="B54" s="62"/>
      <c r="C54" s="30"/>
      <c r="D54" s="30"/>
      <c r="E54" s="112"/>
      <c r="F54" s="112">
        <f t="shared" ref="F54:AB54" si="40">F13/F47*F52/1000</f>
        <v>1.6687975945312501</v>
      </c>
      <c r="G54" s="112">
        <f t="shared" si="40"/>
        <v>1.6687975945312501</v>
      </c>
      <c r="H54" s="112">
        <f t="shared" si="40"/>
        <v>1.6687975945312501</v>
      </c>
      <c r="I54" s="112">
        <f t="shared" si="40"/>
        <v>1.6687975945312501</v>
      </c>
      <c r="J54" s="112">
        <f t="shared" si="40"/>
        <v>1.6687975945312501</v>
      </c>
      <c r="K54" s="112">
        <f t="shared" si="40"/>
        <v>1.6687975945312501</v>
      </c>
      <c r="L54" s="112">
        <f t="shared" si="40"/>
        <v>1.6687975945312501</v>
      </c>
      <c r="M54" s="112">
        <f t="shared" si="40"/>
        <v>1.6687975945312501</v>
      </c>
      <c r="N54" s="112">
        <f t="shared" si="40"/>
        <v>1.6687975945312501</v>
      </c>
      <c r="O54" s="112">
        <f t="shared" si="40"/>
        <v>1.6687975945312501</v>
      </c>
      <c r="P54" s="112">
        <f t="shared" si="40"/>
        <v>1.6687975945312501</v>
      </c>
      <c r="Q54" s="112">
        <f t="shared" si="40"/>
        <v>1.6687975945312501</v>
      </c>
      <c r="R54" s="112">
        <f t="shared" si="40"/>
        <v>1.6687975945312501</v>
      </c>
      <c r="S54" s="112">
        <f t="shared" si="40"/>
        <v>1.6687975945312501</v>
      </c>
      <c r="T54" s="112">
        <f t="shared" si="40"/>
        <v>1.6687975945312501</v>
      </c>
      <c r="U54" s="112">
        <f t="shared" si="40"/>
        <v>1.6687975945312501</v>
      </c>
      <c r="V54" s="112">
        <f t="shared" si="40"/>
        <v>1.6687975945312501</v>
      </c>
      <c r="W54" s="112">
        <f t="shared" si="40"/>
        <v>1.6687975945312501</v>
      </c>
      <c r="X54" s="112">
        <f t="shared" si="40"/>
        <v>1.6687975945312501</v>
      </c>
      <c r="Y54" s="112">
        <f t="shared" si="40"/>
        <v>1.6687975945312501</v>
      </c>
      <c r="Z54" s="112">
        <f t="shared" si="40"/>
        <v>1.6687975945312501</v>
      </c>
      <c r="AA54" s="112">
        <f t="shared" si="40"/>
        <v>1.6687975945312501</v>
      </c>
      <c r="AB54" s="112">
        <f t="shared" si="40"/>
        <v>1.6687975945312501</v>
      </c>
    </row>
    <row r="55" spans="1:28" s="1" customFormat="1" ht="12.75">
      <c r="A55" s="62"/>
      <c r="B55" s="62"/>
      <c r="C55" s="30"/>
      <c r="D55" s="30"/>
      <c r="E55" s="112"/>
      <c r="F55" s="112">
        <f t="shared" ref="F55:AB55" si="41">F54/(1-F10)</f>
        <v>1.7706075273541115</v>
      </c>
      <c r="G55" s="112">
        <f t="shared" si="41"/>
        <v>1.7706075273541115</v>
      </c>
      <c r="H55" s="112">
        <f t="shared" si="41"/>
        <v>1.7706075273541115</v>
      </c>
      <c r="I55" s="112">
        <f t="shared" si="41"/>
        <v>1.7706075273541115</v>
      </c>
      <c r="J55" s="112">
        <f t="shared" si="41"/>
        <v>1.7706075273541115</v>
      </c>
      <c r="K55" s="112">
        <f t="shared" si="41"/>
        <v>1.7706075273541115</v>
      </c>
      <c r="L55" s="112">
        <f t="shared" si="41"/>
        <v>1.7706075273541115</v>
      </c>
      <c r="M55" s="112">
        <f t="shared" si="41"/>
        <v>1.7706075273541115</v>
      </c>
      <c r="N55" s="112">
        <f t="shared" si="41"/>
        <v>1.7706075273541115</v>
      </c>
      <c r="O55" s="112">
        <f t="shared" si="41"/>
        <v>1.7706075273541115</v>
      </c>
      <c r="P55" s="112">
        <f t="shared" si="41"/>
        <v>1.7706075273541115</v>
      </c>
      <c r="Q55" s="112">
        <f t="shared" si="41"/>
        <v>1.7706075273541115</v>
      </c>
      <c r="R55" s="112">
        <f t="shared" si="41"/>
        <v>1.7706075273541115</v>
      </c>
      <c r="S55" s="112">
        <f t="shared" si="41"/>
        <v>1.7706075273541115</v>
      </c>
      <c r="T55" s="112">
        <f t="shared" si="41"/>
        <v>1.7706075273541115</v>
      </c>
      <c r="U55" s="112">
        <f t="shared" si="41"/>
        <v>1.7706075273541115</v>
      </c>
      <c r="V55" s="112">
        <f t="shared" si="41"/>
        <v>1.7706075273541115</v>
      </c>
      <c r="W55" s="112">
        <f t="shared" si="41"/>
        <v>1.7706075273541115</v>
      </c>
      <c r="X55" s="112">
        <f t="shared" si="41"/>
        <v>1.7706075273541115</v>
      </c>
      <c r="Y55" s="112">
        <f t="shared" si="41"/>
        <v>1.7706075273541115</v>
      </c>
      <c r="Z55" s="112">
        <f t="shared" si="41"/>
        <v>1.7706075273541115</v>
      </c>
      <c r="AA55" s="112">
        <f t="shared" si="41"/>
        <v>1.7706075273541115</v>
      </c>
      <c r="AB55" s="112">
        <f t="shared" si="41"/>
        <v>1.7706075273541115</v>
      </c>
    </row>
    <row r="56" spans="1:28" s="1" customFormat="1" ht="12.75">
      <c r="A56" s="62"/>
      <c r="B56" s="62"/>
      <c r="C56" s="30"/>
      <c r="D56" s="30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</row>
    <row r="57" spans="1:28" s="4" customFormat="1" ht="15.75" thickBot="1">
      <c r="A57" s="71" t="s">
        <v>83</v>
      </c>
      <c r="B57" s="72"/>
      <c r="C57" s="73"/>
      <c r="D57" s="73"/>
      <c r="E57" s="74">
        <f>E52*E48/10</f>
        <v>0</v>
      </c>
      <c r="F57" s="74">
        <f t="shared" ref="F57:AB57" si="42">F52*F48/10</f>
        <v>531.43929832907429</v>
      </c>
      <c r="G57" s="74">
        <f t="shared" si="42"/>
        <v>787.56074597781264</v>
      </c>
      <c r="H57" s="74">
        <f t="shared" si="42"/>
        <v>756.51069742254163</v>
      </c>
      <c r="I57" s="74">
        <f t="shared" si="42"/>
        <v>756.51069742254163</v>
      </c>
      <c r="J57" s="74">
        <f t="shared" si="42"/>
        <v>760.11530022672912</v>
      </c>
      <c r="K57" s="74">
        <f t="shared" si="42"/>
        <v>756.51069742254163</v>
      </c>
      <c r="L57" s="74">
        <f t="shared" si="42"/>
        <v>756.51069742254163</v>
      </c>
      <c r="M57" s="74">
        <f t="shared" si="42"/>
        <v>756.51069742254163</v>
      </c>
      <c r="N57" s="74">
        <f t="shared" si="42"/>
        <v>760.11530022672912</v>
      </c>
      <c r="O57" s="74">
        <f t="shared" si="42"/>
        <v>756.51069742254163</v>
      </c>
      <c r="P57" s="74">
        <f t="shared" si="42"/>
        <v>756.51069742254163</v>
      </c>
      <c r="Q57" s="74">
        <f t="shared" si="42"/>
        <v>756.51069742254163</v>
      </c>
      <c r="R57" s="74">
        <f t="shared" si="42"/>
        <v>760.11530022672912</v>
      </c>
      <c r="S57" s="74">
        <f t="shared" si="42"/>
        <v>756.51069742254163</v>
      </c>
      <c r="T57" s="74">
        <f t="shared" si="42"/>
        <v>756.51069742254163</v>
      </c>
      <c r="U57" s="74">
        <f t="shared" si="42"/>
        <v>756.51069742254163</v>
      </c>
      <c r="V57" s="74">
        <f t="shared" si="42"/>
        <v>760.11530022672912</v>
      </c>
      <c r="W57" s="74">
        <f t="shared" si="42"/>
        <v>756.51069742254163</v>
      </c>
      <c r="X57" s="74">
        <f t="shared" si="42"/>
        <v>756.51069742254163</v>
      </c>
      <c r="Y57" s="74">
        <f t="shared" si="42"/>
        <v>756.51069742254163</v>
      </c>
      <c r="Z57" s="74">
        <f t="shared" si="42"/>
        <v>760.11530022672912</v>
      </c>
      <c r="AA57" s="74">
        <f t="shared" si="42"/>
        <v>756.51069742254163</v>
      </c>
      <c r="AB57" s="74">
        <f t="shared" si="42"/>
        <v>756.51069742254163</v>
      </c>
    </row>
    <row r="58" spans="1:28" s="1" customFormat="1" ht="13.5" thickTop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</row>
    <row r="59" spans="1:28" s="4" customFormat="1" ht="15.75" thickBot="1">
      <c r="A59" s="71" t="s">
        <v>86</v>
      </c>
      <c r="B59" s="72"/>
      <c r="C59" s="73"/>
      <c r="D59" s="73"/>
      <c r="E59" s="74">
        <f>E57+E42+E32+E22</f>
        <v>0</v>
      </c>
      <c r="F59" s="74">
        <f t="shared" ref="F59:AB59" si="43">F57+F42+F32+F22</f>
        <v>1051.0760968301142</v>
      </c>
      <c r="G59" s="74">
        <f t="shared" si="43"/>
        <v>1318.3891493259027</v>
      </c>
      <c r="H59" s="74">
        <f t="shared" si="43"/>
        <v>1298.8664537630934</v>
      </c>
      <c r="I59" s="74">
        <f t="shared" si="43"/>
        <v>1310.7396273453292</v>
      </c>
      <c r="J59" s="74">
        <f t="shared" si="43"/>
        <v>1326.5735989392192</v>
      </c>
      <c r="K59" s="74">
        <f t="shared" si="43"/>
        <v>1335.5652459884257</v>
      </c>
      <c r="L59" s="74">
        <f t="shared" si="43"/>
        <v>1348.5393833374214</v>
      </c>
      <c r="M59" s="74">
        <f t="shared" si="43"/>
        <v>1361.9027448068869</v>
      </c>
      <c r="N59" s="74">
        <f t="shared" si="43"/>
        <v>1379.2716099246236</v>
      </c>
      <c r="O59" s="74">
        <f t="shared" si="43"/>
        <v>1389.8441973033923</v>
      </c>
      <c r="P59" s="74">
        <f t="shared" si="43"/>
        <v>1404.4467031918368</v>
      </c>
      <c r="Q59" s="74">
        <f t="shared" si="43"/>
        <v>1419.4872842569348</v>
      </c>
      <c r="R59" s="74">
        <f t="shared" si="43"/>
        <v>1438.5836855581733</v>
      </c>
      <c r="S59" s="74">
        <f t="shared" si="43"/>
        <v>1450.9356352059481</v>
      </c>
      <c r="T59" s="74">
        <f t="shared" si="43"/>
        <v>1467.3708842314695</v>
      </c>
      <c r="U59" s="74">
        <f t="shared" si="43"/>
        <v>1484.2991907277565</v>
      </c>
      <c r="V59" s="74">
        <f t="shared" si="43"/>
        <v>1505.3399492231192</v>
      </c>
      <c r="W59" s="74">
        <f t="shared" si="43"/>
        <v>1519.6945867808427</v>
      </c>
      <c r="X59" s="74">
        <f t="shared" si="43"/>
        <v>1538.1926043536109</v>
      </c>
      <c r="Y59" s="74">
        <f t="shared" si="43"/>
        <v>1557.2455624535621</v>
      </c>
      <c r="Z59" s="74">
        <f t="shared" si="43"/>
        <v>1580.4747121006994</v>
      </c>
      <c r="AA59" s="74">
        <f t="shared" si="43"/>
        <v>1597.08339254475</v>
      </c>
      <c r="AB59" s="74">
        <f t="shared" si="43"/>
        <v>1617.9030742904351</v>
      </c>
    </row>
    <row r="60" spans="1:28" s="1" customFormat="1" ht="13.5" thickTop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</row>
    <row r="61" spans="1:28" s="4" customFormat="1" ht="15.75" thickBot="1">
      <c r="A61" s="71" t="s">
        <v>97</v>
      </c>
      <c r="B61" s="72"/>
      <c r="C61" s="73"/>
      <c r="D61" s="73"/>
      <c r="E61" s="121"/>
      <c r="F61" s="121">
        <f t="shared" ref="F61:AB61" si="44">F59/F12*10</f>
        <v>1.7064263083684683</v>
      </c>
      <c r="G61" s="121">
        <f t="shared" si="44"/>
        <v>1.7333464219497516</v>
      </c>
      <c r="H61" s="121">
        <f t="shared" si="44"/>
        <v>1.7479802679476997</v>
      </c>
      <c r="I61" s="121">
        <f t="shared" si="44"/>
        <v>1.7760838178700813</v>
      </c>
      <c r="J61" s="121">
        <f t="shared" si="44"/>
        <v>1.8014144996563572</v>
      </c>
      <c r="K61" s="121">
        <f t="shared" si="44"/>
        <v>1.8185934999909117</v>
      </c>
      <c r="L61" s="121">
        <f t="shared" si="44"/>
        <v>1.8362599389176084</v>
      </c>
      <c r="M61" s="121">
        <f t="shared" si="44"/>
        <v>1.8544563710121056</v>
      </c>
      <c r="N61" s="121">
        <f t="shared" si="44"/>
        <v>1.8729755205963696</v>
      </c>
      <c r="O61" s="121">
        <f t="shared" si="44"/>
        <v>1.89250329087849</v>
      </c>
      <c r="P61" s="121">
        <f t="shared" si="44"/>
        <v>1.9123870235318137</v>
      </c>
      <c r="Q61" s="121">
        <f t="shared" si="44"/>
        <v>1.9328672681647372</v>
      </c>
      <c r="R61" s="121">
        <f t="shared" si="44"/>
        <v>1.9535180801169492</v>
      </c>
      <c r="S61" s="121">
        <f t="shared" si="44"/>
        <v>1.9756894116677164</v>
      </c>
      <c r="T61" s="121">
        <f t="shared" si="44"/>
        <v>1.9980687279447173</v>
      </c>
      <c r="U61" s="121">
        <f t="shared" si="44"/>
        <v>2.0211194237100281</v>
      </c>
      <c r="V61" s="121">
        <f t="shared" si="44"/>
        <v>2.0441694404373094</v>
      </c>
      <c r="W61" s="121">
        <f t="shared" si="44"/>
        <v>2.0693161234857156</v>
      </c>
      <c r="X61" s="121">
        <f t="shared" si="44"/>
        <v>2.0945042411172561</v>
      </c>
      <c r="Y61" s="121">
        <f t="shared" si="44"/>
        <v>2.120448002277743</v>
      </c>
      <c r="Z61" s="121">
        <f t="shared" si="44"/>
        <v>2.1461983451163604</v>
      </c>
      <c r="AA61" s="121">
        <f t="shared" si="44"/>
        <v>2.1746938124882047</v>
      </c>
      <c r="AB61" s="121">
        <f t="shared" si="44"/>
        <v>2.2030432607898196</v>
      </c>
    </row>
    <row r="62" spans="1:28" s="1" customFormat="1" ht="13.5" thickTop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</row>
    <row r="63" spans="1:28" s="1" customFormat="1" ht="16.5" thickBot="1">
      <c r="A63" s="109" t="s">
        <v>87</v>
      </c>
      <c r="B63" s="91"/>
      <c r="C63" s="91"/>
      <c r="D63" s="91"/>
      <c r="E63" s="91"/>
      <c r="F63" s="192"/>
      <c r="G63" s="192"/>
      <c r="H63" s="245"/>
      <c r="I63" s="91"/>
      <c r="J63" s="245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s="1" customFormat="1" ht="16.5" thickTop="1">
      <c r="A64" s="119" t="s">
        <v>88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s="1" customFormat="1" ht="12.75">
      <c r="A65" s="62" t="s">
        <v>89</v>
      </c>
      <c r="B65" s="62" t="s">
        <v>92</v>
      </c>
      <c r="C65" s="30"/>
      <c r="D65" s="30"/>
      <c r="E65" s="116"/>
      <c r="F65" s="116">
        <f>Assumption!K30</f>
        <v>30</v>
      </c>
      <c r="G65" s="116">
        <f t="shared" ref="G65:AB65" si="45">F65</f>
        <v>30</v>
      </c>
      <c r="H65" s="116">
        <f t="shared" si="45"/>
        <v>30</v>
      </c>
      <c r="I65" s="116">
        <f t="shared" si="45"/>
        <v>30</v>
      </c>
      <c r="J65" s="116">
        <f t="shared" si="45"/>
        <v>30</v>
      </c>
      <c r="K65" s="116">
        <f t="shared" si="45"/>
        <v>30</v>
      </c>
      <c r="L65" s="116">
        <f t="shared" si="45"/>
        <v>30</v>
      </c>
      <c r="M65" s="116">
        <f t="shared" si="45"/>
        <v>30</v>
      </c>
      <c r="N65" s="116">
        <f t="shared" si="45"/>
        <v>30</v>
      </c>
      <c r="O65" s="116">
        <f t="shared" si="45"/>
        <v>30</v>
      </c>
      <c r="P65" s="116">
        <f t="shared" si="45"/>
        <v>30</v>
      </c>
      <c r="Q65" s="116">
        <f t="shared" si="45"/>
        <v>30</v>
      </c>
      <c r="R65" s="116">
        <f t="shared" si="45"/>
        <v>30</v>
      </c>
      <c r="S65" s="116">
        <f t="shared" si="45"/>
        <v>30</v>
      </c>
      <c r="T65" s="116">
        <f t="shared" si="45"/>
        <v>30</v>
      </c>
      <c r="U65" s="116">
        <f t="shared" si="45"/>
        <v>30</v>
      </c>
      <c r="V65" s="116">
        <f t="shared" si="45"/>
        <v>30</v>
      </c>
      <c r="W65" s="116">
        <f t="shared" si="45"/>
        <v>30</v>
      </c>
      <c r="X65" s="116">
        <f t="shared" si="45"/>
        <v>30</v>
      </c>
      <c r="Y65" s="116">
        <f t="shared" si="45"/>
        <v>30</v>
      </c>
      <c r="Z65" s="116">
        <f t="shared" si="45"/>
        <v>30</v>
      </c>
      <c r="AA65" s="116">
        <f t="shared" si="45"/>
        <v>30</v>
      </c>
      <c r="AB65" s="116">
        <f t="shared" si="45"/>
        <v>30</v>
      </c>
    </row>
    <row r="66" spans="1:28" s="1" customFormat="1" ht="12.75">
      <c r="A66" s="62" t="s">
        <v>90</v>
      </c>
      <c r="B66" s="591">
        <f>Assumption!K31</f>
        <v>0.9</v>
      </c>
      <c r="C66" s="30"/>
      <c r="D66" s="30"/>
      <c r="E66" s="110">
        <v>0</v>
      </c>
      <c r="F66" s="110">
        <f>E66</f>
        <v>0</v>
      </c>
      <c r="G66" s="110">
        <f t="shared" ref="G66:AB66" si="46">F66</f>
        <v>0</v>
      </c>
      <c r="H66" s="110">
        <f t="shared" si="46"/>
        <v>0</v>
      </c>
      <c r="I66" s="110">
        <f t="shared" si="46"/>
        <v>0</v>
      </c>
      <c r="J66" s="110">
        <f t="shared" si="46"/>
        <v>0</v>
      </c>
      <c r="K66" s="110">
        <f t="shared" si="46"/>
        <v>0</v>
      </c>
      <c r="L66" s="110">
        <f t="shared" si="46"/>
        <v>0</v>
      </c>
      <c r="M66" s="110">
        <f t="shared" si="46"/>
        <v>0</v>
      </c>
      <c r="N66" s="110">
        <f t="shared" si="46"/>
        <v>0</v>
      </c>
      <c r="O66" s="110">
        <f t="shared" si="46"/>
        <v>0</v>
      </c>
      <c r="P66" s="110">
        <f t="shared" si="46"/>
        <v>0</v>
      </c>
      <c r="Q66" s="110">
        <f t="shared" si="46"/>
        <v>0</v>
      </c>
      <c r="R66" s="110">
        <f t="shared" si="46"/>
        <v>0</v>
      </c>
      <c r="S66" s="110">
        <f t="shared" si="46"/>
        <v>0</v>
      </c>
      <c r="T66" s="110">
        <f t="shared" si="46"/>
        <v>0</v>
      </c>
      <c r="U66" s="110">
        <f t="shared" si="46"/>
        <v>0</v>
      </c>
      <c r="V66" s="110">
        <f t="shared" si="46"/>
        <v>0</v>
      </c>
      <c r="W66" s="110">
        <f t="shared" si="46"/>
        <v>0</v>
      </c>
      <c r="X66" s="110">
        <f t="shared" si="46"/>
        <v>0</v>
      </c>
      <c r="Y66" s="110">
        <f t="shared" si="46"/>
        <v>0</v>
      </c>
      <c r="Z66" s="110">
        <f t="shared" si="46"/>
        <v>0</v>
      </c>
      <c r="AA66" s="110">
        <f t="shared" si="46"/>
        <v>0</v>
      </c>
      <c r="AB66" s="110">
        <f t="shared" si="46"/>
        <v>0</v>
      </c>
    </row>
    <row r="67" spans="1:28" s="1" customFormat="1" ht="12.75">
      <c r="A67" s="62" t="s">
        <v>91</v>
      </c>
      <c r="B67" s="110">
        <f>Assumption!K33</f>
        <v>0.05</v>
      </c>
      <c r="C67" s="30"/>
      <c r="D67" s="30"/>
      <c r="E67" s="112"/>
      <c r="F67" s="112">
        <f>Assumption!K32</f>
        <v>5.5</v>
      </c>
      <c r="G67" s="112">
        <f t="shared" ref="G67:AB67" si="47">F67*(1+$B$67)</f>
        <v>5.7750000000000004</v>
      </c>
      <c r="H67" s="112">
        <f t="shared" si="47"/>
        <v>6.0637500000000006</v>
      </c>
      <c r="I67" s="112">
        <f t="shared" si="47"/>
        <v>6.3669375000000006</v>
      </c>
      <c r="J67" s="112">
        <f t="shared" si="47"/>
        <v>6.6852843750000011</v>
      </c>
      <c r="K67" s="112">
        <f t="shared" si="47"/>
        <v>7.0195485937500015</v>
      </c>
      <c r="L67" s="112">
        <f t="shared" si="47"/>
        <v>7.3705260234375016</v>
      </c>
      <c r="M67" s="112">
        <f t="shared" si="47"/>
        <v>7.7390523246093768</v>
      </c>
      <c r="N67" s="112">
        <f t="shared" si="47"/>
        <v>8.1260049408398451</v>
      </c>
      <c r="O67" s="112">
        <f t="shared" si="47"/>
        <v>8.5323051878818372</v>
      </c>
      <c r="P67" s="112">
        <f t="shared" si="47"/>
        <v>8.9589204472759292</v>
      </c>
      <c r="Q67" s="112">
        <f t="shared" si="47"/>
        <v>9.4068664696397253</v>
      </c>
      <c r="R67" s="112">
        <f t="shared" si="47"/>
        <v>9.8772097931217111</v>
      </c>
      <c r="S67" s="112">
        <f t="shared" si="47"/>
        <v>10.371070282777797</v>
      </c>
      <c r="T67" s="112">
        <f t="shared" si="47"/>
        <v>10.889623796916688</v>
      </c>
      <c r="U67" s="112">
        <f t="shared" si="47"/>
        <v>11.434104986762522</v>
      </c>
      <c r="V67" s="112">
        <f t="shared" si="47"/>
        <v>12.005810236100649</v>
      </c>
      <c r="W67" s="112">
        <f t="shared" si="47"/>
        <v>12.606100747905682</v>
      </c>
      <c r="X67" s="112">
        <f t="shared" si="47"/>
        <v>13.236405785300967</v>
      </c>
      <c r="Y67" s="112">
        <f t="shared" si="47"/>
        <v>13.898226074566017</v>
      </c>
      <c r="Z67" s="112">
        <f t="shared" si="47"/>
        <v>14.593137378294317</v>
      </c>
      <c r="AA67" s="112">
        <f t="shared" si="47"/>
        <v>15.322794247209034</v>
      </c>
      <c r="AB67" s="112">
        <f t="shared" si="47"/>
        <v>16.088933959569488</v>
      </c>
    </row>
    <row r="68" spans="1:28" s="4" customFormat="1">
      <c r="A68" s="37" t="s">
        <v>113</v>
      </c>
      <c r="B68" s="50"/>
      <c r="C68" s="9"/>
      <c r="D68" s="9"/>
      <c r="E68" s="10"/>
      <c r="F68" s="10">
        <f>(F65*F66*F67)/10</f>
        <v>0</v>
      </c>
      <c r="G68" s="10">
        <f>(G65*G66*G67)/10</f>
        <v>0</v>
      </c>
      <c r="H68" s="10">
        <f t="shared" ref="H68:AB68" si="48">(H65*H66*H67)/10</f>
        <v>0</v>
      </c>
      <c r="I68" s="10">
        <f t="shared" si="48"/>
        <v>0</v>
      </c>
      <c r="J68" s="10">
        <f t="shared" si="48"/>
        <v>0</v>
      </c>
      <c r="K68" s="10">
        <f t="shared" si="48"/>
        <v>0</v>
      </c>
      <c r="L68" s="10">
        <f t="shared" si="48"/>
        <v>0</v>
      </c>
      <c r="M68" s="10">
        <f t="shared" si="48"/>
        <v>0</v>
      </c>
      <c r="N68" s="10">
        <f t="shared" si="48"/>
        <v>0</v>
      </c>
      <c r="O68" s="10">
        <f t="shared" si="48"/>
        <v>0</v>
      </c>
      <c r="P68" s="10">
        <f t="shared" si="48"/>
        <v>0</v>
      </c>
      <c r="Q68" s="10">
        <f t="shared" si="48"/>
        <v>0</v>
      </c>
      <c r="R68" s="10">
        <f t="shared" si="48"/>
        <v>0</v>
      </c>
      <c r="S68" s="10">
        <f t="shared" si="48"/>
        <v>0</v>
      </c>
      <c r="T68" s="10">
        <f t="shared" si="48"/>
        <v>0</v>
      </c>
      <c r="U68" s="10">
        <f t="shared" si="48"/>
        <v>0</v>
      </c>
      <c r="V68" s="10">
        <f t="shared" si="48"/>
        <v>0</v>
      </c>
      <c r="W68" s="10">
        <f t="shared" si="48"/>
        <v>0</v>
      </c>
      <c r="X68" s="10">
        <f t="shared" si="48"/>
        <v>0</v>
      </c>
      <c r="Y68" s="10">
        <f t="shared" si="48"/>
        <v>0</v>
      </c>
      <c r="Z68" s="10">
        <f t="shared" si="48"/>
        <v>0</v>
      </c>
      <c r="AA68" s="10">
        <f t="shared" si="48"/>
        <v>0</v>
      </c>
      <c r="AB68" s="10">
        <f t="shared" si="48"/>
        <v>0</v>
      </c>
    </row>
    <row r="69" spans="1:28" s="1" customFormat="1" ht="12.7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</row>
    <row r="70" spans="1:28" s="1" customFormat="1" ht="12.75">
      <c r="A70" s="62"/>
      <c r="B70" s="62"/>
      <c r="C70" s="62"/>
      <c r="D70" s="62"/>
      <c r="E70" s="115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</row>
    <row r="71" spans="1:28" s="1" customFormat="1" ht="15.75">
      <c r="A71" s="119" t="s">
        <v>93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 spans="1:28" s="1" customFormat="1" ht="12.75">
      <c r="A72" s="62" t="s">
        <v>48</v>
      </c>
      <c r="B72" s="62"/>
      <c r="C72" s="30"/>
      <c r="D72" s="30"/>
      <c r="E72" s="116"/>
      <c r="F72" s="116">
        <f t="shared" ref="F72:AB72" si="49">F9-F12</f>
        <v>375.77952000000005</v>
      </c>
      <c r="G72" s="116">
        <f t="shared" si="49"/>
        <v>464.02858800000013</v>
      </c>
      <c r="H72" s="116">
        <f t="shared" si="49"/>
        <v>453.32999999999993</v>
      </c>
      <c r="I72" s="116">
        <f t="shared" si="49"/>
        <v>504.05760000000009</v>
      </c>
      <c r="J72" s="116">
        <f t="shared" si="49"/>
        <v>541.53359999999975</v>
      </c>
      <c r="K72" s="116">
        <f t="shared" si="49"/>
        <v>540.05400000000009</v>
      </c>
      <c r="L72" s="116">
        <f t="shared" si="49"/>
        <v>540.05400000000009</v>
      </c>
      <c r="M72" s="116">
        <f t="shared" si="49"/>
        <v>540.05400000000009</v>
      </c>
      <c r="N72" s="116">
        <f t="shared" si="49"/>
        <v>541.53359999999975</v>
      </c>
      <c r="O72" s="116">
        <f t="shared" si="49"/>
        <v>540.05400000000009</v>
      </c>
      <c r="P72" s="116">
        <f t="shared" si="49"/>
        <v>540.05400000000009</v>
      </c>
      <c r="Q72" s="116">
        <f t="shared" si="49"/>
        <v>540.05400000000009</v>
      </c>
      <c r="R72" s="116">
        <f t="shared" si="49"/>
        <v>541.53359999999975</v>
      </c>
      <c r="S72" s="116">
        <f t="shared" si="49"/>
        <v>540.05400000000009</v>
      </c>
      <c r="T72" s="116">
        <f t="shared" si="49"/>
        <v>540.05400000000009</v>
      </c>
      <c r="U72" s="116">
        <f t="shared" si="49"/>
        <v>540.05400000000009</v>
      </c>
      <c r="V72" s="116">
        <f t="shared" si="49"/>
        <v>541.53359999999975</v>
      </c>
      <c r="W72" s="116">
        <f t="shared" si="49"/>
        <v>540.05400000000009</v>
      </c>
      <c r="X72" s="116">
        <f t="shared" si="49"/>
        <v>540.05400000000009</v>
      </c>
      <c r="Y72" s="116">
        <f t="shared" si="49"/>
        <v>540.05400000000009</v>
      </c>
      <c r="Z72" s="116">
        <f t="shared" si="49"/>
        <v>541.53359999999975</v>
      </c>
      <c r="AA72" s="116">
        <f t="shared" si="49"/>
        <v>540.05400000000009</v>
      </c>
      <c r="AB72" s="116">
        <f t="shared" si="49"/>
        <v>540.05400000000009</v>
      </c>
    </row>
    <row r="73" spans="1:28" s="1" customFormat="1" ht="12.75">
      <c r="A73" s="62" t="s">
        <v>94</v>
      </c>
      <c r="B73" s="110">
        <f>Assumption!K36</f>
        <v>0.1</v>
      </c>
      <c r="C73" s="30"/>
      <c r="D73" s="30"/>
      <c r="E73" s="116"/>
      <c r="F73" s="116">
        <f t="shared" ref="F73:AB73" si="50">F72*$B$73</f>
        <v>37.577952000000003</v>
      </c>
      <c r="G73" s="116">
        <f t="shared" si="50"/>
        <v>46.402858800000018</v>
      </c>
      <c r="H73" s="116">
        <f t="shared" si="50"/>
        <v>45.332999999999998</v>
      </c>
      <c r="I73" s="116">
        <f t="shared" si="50"/>
        <v>50.405760000000015</v>
      </c>
      <c r="J73" s="116">
        <f t="shared" si="50"/>
        <v>54.153359999999978</v>
      </c>
      <c r="K73" s="116">
        <f t="shared" si="50"/>
        <v>54.005400000000009</v>
      </c>
      <c r="L73" s="116">
        <f t="shared" si="50"/>
        <v>54.005400000000009</v>
      </c>
      <c r="M73" s="116">
        <f t="shared" si="50"/>
        <v>54.005400000000009</v>
      </c>
      <c r="N73" s="116">
        <f t="shared" si="50"/>
        <v>54.153359999999978</v>
      </c>
      <c r="O73" s="116">
        <f t="shared" si="50"/>
        <v>54.005400000000009</v>
      </c>
      <c r="P73" s="116">
        <f t="shared" si="50"/>
        <v>54.005400000000009</v>
      </c>
      <c r="Q73" s="116">
        <f t="shared" si="50"/>
        <v>54.005400000000009</v>
      </c>
      <c r="R73" s="116">
        <f t="shared" si="50"/>
        <v>54.153359999999978</v>
      </c>
      <c r="S73" s="116">
        <f t="shared" si="50"/>
        <v>54.005400000000009</v>
      </c>
      <c r="T73" s="116">
        <f t="shared" si="50"/>
        <v>54.005400000000009</v>
      </c>
      <c r="U73" s="116">
        <f t="shared" si="50"/>
        <v>54.005400000000009</v>
      </c>
      <c r="V73" s="116">
        <f t="shared" si="50"/>
        <v>54.153359999999978</v>
      </c>
      <c r="W73" s="116">
        <f t="shared" si="50"/>
        <v>54.005400000000009</v>
      </c>
      <c r="X73" s="116">
        <f t="shared" si="50"/>
        <v>54.005400000000009</v>
      </c>
      <c r="Y73" s="116">
        <f t="shared" si="50"/>
        <v>54.005400000000009</v>
      </c>
      <c r="Z73" s="116">
        <f t="shared" si="50"/>
        <v>54.153359999999978</v>
      </c>
      <c r="AA73" s="116">
        <f t="shared" si="50"/>
        <v>54.005400000000009</v>
      </c>
      <c r="AB73" s="116">
        <f t="shared" si="50"/>
        <v>54.005400000000009</v>
      </c>
    </row>
    <row r="74" spans="1:28" s="1" customFormat="1" ht="12.75">
      <c r="A74" s="62" t="s">
        <v>352</v>
      </c>
      <c r="B74" s="110">
        <f>Assumption!K38</f>
        <v>0.05</v>
      </c>
      <c r="C74" s="30"/>
      <c r="D74" s="30"/>
      <c r="E74" s="116"/>
      <c r="F74" s="116">
        <f>Assumption!K37</f>
        <v>6.41</v>
      </c>
      <c r="G74" s="116">
        <f t="shared" ref="G74:AB74" si="51">F74*(1+$B$67)</f>
        <v>6.7305000000000001</v>
      </c>
      <c r="H74" s="116">
        <f t="shared" si="51"/>
        <v>7.0670250000000001</v>
      </c>
      <c r="I74" s="116">
        <f t="shared" si="51"/>
        <v>7.4203762500000003</v>
      </c>
      <c r="J74" s="116">
        <f t="shared" si="51"/>
        <v>7.7913950625000004</v>
      </c>
      <c r="K74" s="116">
        <f t="shared" si="51"/>
        <v>8.1809648156249999</v>
      </c>
      <c r="L74" s="116">
        <f t="shared" si="51"/>
        <v>8.5900130564062511</v>
      </c>
      <c r="M74" s="116">
        <f t="shared" si="51"/>
        <v>9.0195137092265636</v>
      </c>
      <c r="N74" s="116">
        <f t="shared" si="51"/>
        <v>9.4704893946878919</v>
      </c>
      <c r="O74" s="116">
        <f t="shared" si="51"/>
        <v>9.9440138644222866</v>
      </c>
      <c r="P74" s="116">
        <f t="shared" si="51"/>
        <v>10.441214557643402</v>
      </c>
      <c r="Q74" s="116">
        <f t="shared" si="51"/>
        <v>10.963275285525572</v>
      </c>
      <c r="R74" s="116">
        <f t="shared" si="51"/>
        <v>11.511439049801851</v>
      </c>
      <c r="S74" s="116">
        <f t="shared" si="51"/>
        <v>12.087011002291943</v>
      </c>
      <c r="T74" s="116">
        <f t="shared" si="51"/>
        <v>12.691361552406541</v>
      </c>
      <c r="U74" s="116">
        <f t="shared" si="51"/>
        <v>13.325929630026868</v>
      </c>
      <c r="V74" s="116">
        <f t="shared" si="51"/>
        <v>13.992226111528213</v>
      </c>
      <c r="W74" s="116">
        <f t="shared" si="51"/>
        <v>14.691837417104624</v>
      </c>
      <c r="X74" s="116">
        <f t="shared" si="51"/>
        <v>15.426429287959856</v>
      </c>
      <c r="Y74" s="116">
        <f t="shared" si="51"/>
        <v>16.197750752357848</v>
      </c>
      <c r="Z74" s="116">
        <f t="shared" si="51"/>
        <v>17.007638289975741</v>
      </c>
      <c r="AA74" s="116">
        <f t="shared" si="51"/>
        <v>17.858020204474528</v>
      </c>
      <c r="AB74" s="116">
        <f t="shared" si="51"/>
        <v>18.750921214698256</v>
      </c>
    </row>
    <row r="75" spans="1:28" s="4" customFormat="1">
      <c r="A75" s="37" t="s">
        <v>112</v>
      </c>
      <c r="B75" s="50"/>
      <c r="C75" s="9"/>
      <c r="D75" s="9"/>
      <c r="E75" s="10"/>
      <c r="F75" s="10">
        <f t="shared" ref="F75:AB75" si="52">(F73*F74)/10</f>
        <v>24.087467232000002</v>
      </c>
      <c r="G75" s="10">
        <f t="shared" si="52"/>
        <v>31.231444115340015</v>
      </c>
      <c r="H75" s="10">
        <f t="shared" si="52"/>
        <v>32.0369444325</v>
      </c>
      <c r="I75" s="10">
        <f t="shared" si="52"/>
        <v>37.402970436720011</v>
      </c>
      <c r="J75" s="10">
        <f t="shared" si="52"/>
        <v>42.193022172178487</v>
      </c>
      <c r="K75" s="10">
        <f t="shared" si="52"/>
        <v>44.181627725375442</v>
      </c>
      <c r="L75" s="10">
        <f t="shared" si="52"/>
        <v>46.390709111644227</v>
      </c>
      <c r="M75" s="10">
        <f t="shared" si="52"/>
        <v>48.710244567226432</v>
      </c>
      <c r="N75" s="10">
        <f t="shared" si="52"/>
        <v>51.285882156671526</v>
      </c>
      <c r="O75" s="10">
        <f t="shared" si="52"/>
        <v>53.703044635367142</v>
      </c>
      <c r="P75" s="10">
        <f t="shared" si="52"/>
        <v>56.388196867135505</v>
      </c>
      <c r="Q75" s="10">
        <f t="shared" si="52"/>
        <v>59.207606710492279</v>
      </c>
      <c r="R75" s="10">
        <f t="shared" si="52"/>
        <v>62.338310298197733</v>
      </c>
      <c r="S75" s="10">
        <f t="shared" si="52"/>
        <v>65.27638639831774</v>
      </c>
      <c r="T75" s="10">
        <f t="shared" si="52"/>
        <v>68.540205718233636</v>
      </c>
      <c r="U75" s="10">
        <f t="shared" si="52"/>
        <v>71.967216004145314</v>
      </c>
      <c r="V75" s="10">
        <f t="shared" si="52"/>
        <v>75.772605781898704</v>
      </c>
      <c r="W75" s="10">
        <f t="shared" si="52"/>
        <v>79.343855644570212</v>
      </c>
      <c r="X75" s="10">
        <f t="shared" si="52"/>
        <v>83.311048426798735</v>
      </c>
      <c r="Y75" s="10">
        <f t="shared" si="52"/>
        <v>87.476600848138659</v>
      </c>
      <c r="Z75" s="10">
        <f t="shared" si="52"/>
        <v>92.102075906684036</v>
      </c>
      <c r="AA75" s="10">
        <f t="shared" si="52"/>
        <v>96.442952435072883</v>
      </c>
      <c r="AB75" s="10">
        <f t="shared" si="52"/>
        <v>101.26510005682653</v>
      </c>
    </row>
    <row r="76" spans="1:28" s="1" customFormat="1" ht="12.7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</row>
    <row r="77" spans="1:28" s="1" customFormat="1" ht="12.7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</row>
    <row r="78" spans="1:28" s="1" customFormat="1" ht="15.75">
      <c r="A78" s="119" t="s">
        <v>95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spans="1:28" s="1" customFormat="1" ht="12.75">
      <c r="A79" s="62" t="s">
        <v>96</v>
      </c>
      <c r="B79" s="62"/>
      <c r="C79" s="30"/>
      <c r="D79" s="30"/>
      <c r="E79" s="112"/>
      <c r="F79" s="112">
        <f t="shared" ref="F79:AB79" si="53">F18+F29+F39+F48</f>
        <v>4.6050941697612737</v>
      </c>
      <c r="G79" s="112">
        <f t="shared" si="53"/>
        <v>5.7201978822612727</v>
      </c>
      <c r="H79" s="112">
        <f t="shared" si="53"/>
        <v>5.5850119197612731</v>
      </c>
      <c r="I79" s="112">
        <f t="shared" si="53"/>
        <v>5.5850119197612731</v>
      </c>
      <c r="J79" s="112">
        <f t="shared" si="53"/>
        <v>5.6007056697612736</v>
      </c>
      <c r="K79" s="112">
        <f t="shared" si="53"/>
        <v>5.5850119197612731</v>
      </c>
      <c r="L79" s="112">
        <f t="shared" si="53"/>
        <v>5.5850119197612731</v>
      </c>
      <c r="M79" s="112">
        <f t="shared" si="53"/>
        <v>5.5850119197612731</v>
      </c>
      <c r="N79" s="112">
        <f t="shared" si="53"/>
        <v>5.6007056697612736</v>
      </c>
      <c r="O79" s="112">
        <f t="shared" si="53"/>
        <v>5.5850119197612731</v>
      </c>
      <c r="P79" s="112">
        <f t="shared" si="53"/>
        <v>5.5850119197612731</v>
      </c>
      <c r="Q79" s="112">
        <f t="shared" si="53"/>
        <v>5.5850119197612731</v>
      </c>
      <c r="R79" s="112">
        <f t="shared" si="53"/>
        <v>5.6007056697612736</v>
      </c>
      <c r="S79" s="112">
        <f t="shared" si="53"/>
        <v>5.5850119197612731</v>
      </c>
      <c r="T79" s="112">
        <f t="shared" si="53"/>
        <v>5.5850119197612731</v>
      </c>
      <c r="U79" s="112">
        <f t="shared" si="53"/>
        <v>5.5850119197612731</v>
      </c>
      <c r="V79" s="112">
        <f t="shared" si="53"/>
        <v>5.6007056697612736</v>
      </c>
      <c r="W79" s="112">
        <f t="shared" si="53"/>
        <v>5.5850119197612731</v>
      </c>
      <c r="X79" s="112">
        <f t="shared" si="53"/>
        <v>5.5850119197612731</v>
      </c>
      <c r="Y79" s="112">
        <f t="shared" si="53"/>
        <v>5.5850119197612731</v>
      </c>
      <c r="Z79" s="112">
        <f t="shared" si="53"/>
        <v>5.6007056697612736</v>
      </c>
      <c r="AA79" s="112">
        <f t="shared" si="53"/>
        <v>5.5850119197612731</v>
      </c>
      <c r="AB79" s="112">
        <f t="shared" si="53"/>
        <v>5.5850119197612731</v>
      </c>
    </row>
    <row r="80" spans="1:28" s="1" customFormat="1" ht="12.75">
      <c r="A80" s="62" t="s">
        <v>98</v>
      </c>
      <c r="B80" s="111">
        <f>Assumption!K41</f>
        <v>0.44</v>
      </c>
      <c r="C80" s="30"/>
      <c r="D80" s="30"/>
      <c r="E80" s="112"/>
      <c r="F80" s="112">
        <f t="shared" ref="F80:AB80" si="54">F79*$B$80</f>
        <v>2.0262414346949607</v>
      </c>
      <c r="G80" s="112">
        <f t="shared" si="54"/>
        <v>2.51688706819496</v>
      </c>
      <c r="H80" s="112">
        <f t="shared" si="54"/>
        <v>2.4574052446949604</v>
      </c>
      <c r="I80" s="112">
        <f t="shared" si="54"/>
        <v>2.4574052446949604</v>
      </c>
      <c r="J80" s="112">
        <f t="shared" si="54"/>
        <v>2.4643104946949603</v>
      </c>
      <c r="K80" s="112">
        <f t="shared" si="54"/>
        <v>2.4574052446949604</v>
      </c>
      <c r="L80" s="112">
        <f t="shared" si="54"/>
        <v>2.4574052446949604</v>
      </c>
      <c r="M80" s="112">
        <f t="shared" si="54"/>
        <v>2.4574052446949604</v>
      </c>
      <c r="N80" s="112">
        <f t="shared" si="54"/>
        <v>2.4643104946949603</v>
      </c>
      <c r="O80" s="112">
        <f t="shared" si="54"/>
        <v>2.4574052446949604</v>
      </c>
      <c r="P80" s="112">
        <f t="shared" si="54"/>
        <v>2.4574052446949604</v>
      </c>
      <c r="Q80" s="112">
        <f t="shared" si="54"/>
        <v>2.4574052446949604</v>
      </c>
      <c r="R80" s="112">
        <f t="shared" si="54"/>
        <v>2.4643104946949603</v>
      </c>
      <c r="S80" s="112">
        <f t="shared" si="54"/>
        <v>2.4574052446949604</v>
      </c>
      <c r="T80" s="112">
        <f t="shared" si="54"/>
        <v>2.4574052446949604</v>
      </c>
      <c r="U80" s="112">
        <f t="shared" si="54"/>
        <v>2.4574052446949604</v>
      </c>
      <c r="V80" s="112">
        <f t="shared" si="54"/>
        <v>2.4643104946949603</v>
      </c>
      <c r="W80" s="112">
        <f t="shared" si="54"/>
        <v>2.4574052446949604</v>
      </c>
      <c r="X80" s="112">
        <f t="shared" si="54"/>
        <v>2.4574052446949604</v>
      </c>
      <c r="Y80" s="112">
        <f t="shared" si="54"/>
        <v>2.4574052446949604</v>
      </c>
      <c r="Z80" s="112">
        <f t="shared" si="54"/>
        <v>2.4643104946949603</v>
      </c>
      <c r="AA80" s="112">
        <f t="shared" si="54"/>
        <v>2.4574052446949604</v>
      </c>
      <c r="AB80" s="112">
        <f t="shared" si="54"/>
        <v>2.4574052446949604</v>
      </c>
    </row>
    <row r="81" spans="1:28" s="1" customFormat="1" ht="12.75">
      <c r="A81" s="62" t="s">
        <v>99</v>
      </c>
      <c r="B81" s="111">
        <f>Assumption!K42</f>
        <v>0.8</v>
      </c>
      <c r="C81" s="30"/>
      <c r="D81" s="30"/>
      <c r="E81" s="112"/>
      <c r="F81" s="112">
        <f t="shared" ref="F81:AB81" si="55">F80*$B$81</f>
        <v>1.6209931477559687</v>
      </c>
      <c r="G81" s="112">
        <f t="shared" si="55"/>
        <v>2.0135096545559681</v>
      </c>
      <c r="H81" s="112">
        <f t="shared" si="55"/>
        <v>1.9659241957559683</v>
      </c>
      <c r="I81" s="112">
        <f t="shared" si="55"/>
        <v>1.9659241957559683</v>
      </c>
      <c r="J81" s="112">
        <f t="shared" si="55"/>
        <v>1.9714483957559683</v>
      </c>
      <c r="K81" s="112">
        <f t="shared" si="55"/>
        <v>1.9659241957559683</v>
      </c>
      <c r="L81" s="112">
        <f t="shared" si="55"/>
        <v>1.9659241957559683</v>
      </c>
      <c r="M81" s="112">
        <f t="shared" si="55"/>
        <v>1.9659241957559683</v>
      </c>
      <c r="N81" s="112">
        <f t="shared" si="55"/>
        <v>1.9714483957559683</v>
      </c>
      <c r="O81" s="112">
        <f t="shared" si="55"/>
        <v>1.9659241957559683</v>
      </c>
      <c r="P81" s="112">
        <f t="shared" si="55"/>
        <v>1.9659241957559683</v>
      </c>
      <c r="Q81" s="112">
        <f t="shared" si="55"/>
        <v>1.9659241957559683</v>
      </c>
      <c r="R81" s="112">
        <f t="shared" si="55"/>
        <v>1.9714483957559683</v>
      </c>
      <c r="S81" s="112">
        <f t="shared" si="55"/>
        <v>1.9659241957559683</v>
      </c>
      <c r="T81" s="112">
        <f t="shared" si="55"/>
        <v>1.9659241957559683</v>
      </c>
      <c r="U81" s="112">
        <f t="shared" si="55"/>
        <v>1.9659241957559683</v>
      </c>
      <c r="V81" s="112">
        <f t="shared" si="55"/>
        <v>1.9714483957559683</v>
      </c>
      <c r="W81" s="112">
        <f t="shared" si="55"/>
        <v>1.9659241957559683</v>
      </c>
      <c r="X81" s="112">
        <f t="shared" si="55"/>
        <v>1.9659241957559683</v>
      </c>
      <c r="Y81" s="112">
        <f t="shared" si="55"/>
        <v>1.9659241957559683</v>
      </c>
      <c r="Z81" s="112">
        <f t="shared" si="55"/>
        <v>1.9714483957559683</v>
      </c>
      <c r="AA81" s="112">
        <f t="shared" si="55"/>
        <v>1.9659241957559683</v>
      </c>
      <c r="AB81" s="112">
        <f t="shared" si="55"/>
        <v>1.9659241957559683</v>
      </c>
    </row>
    <row r="82" spans="1:28" s="1" customFormat="1" ht="12.75">
      <c r="A82" s="62" t="s">
        <v>19</v>
      </c>
      <c r="B82" s="110">
        <f>Assumption!K44</f>
        <v>0.05</v>
      </c>
      <c r="C82" s="30"/>
      <c r="D82" s="30"/>
      <c r="E82" s="116"/>
      <c r="F82" s="116">
        <f>Assumption!K43</f>
        <v>150</v>
      </c>
      <c r="G82" s="116">
        <f>F82*(1+$B$82)</f>
        <v>157.5</v>
      </c>
      <c r="H82" s="116">
        <f t="shared" ref="H82:AB82" si="56">G82*(1+$B$67)</f>
        <v>165.375</v>
      </c>
      <c r="I82" s="116">
        <f t="shared" si="56"/>
        <v>173.64375000000001</v>
      </c>
      <c r="J82" s="116">
        <f t="shared" si="56"/>
        <v>182.32593750000001</v>
      </c>
      <c r="K82" s="116">
        <f t="shared" si="56"/>
        <v>191.44223437500003</v>
      </c>
      <c r="L82" s="116">
        <f t="shared" si="56"/>
        <v>201.01434609375005</v>
      </c>
      <c r="M82" s="116">
        <f t="shared" si="56"/>
        <v>211.06506339843756</v>
      </c>
      <c r="N82" s="116">
        <f t="shared" si="56"/>
        <v>221.61831656835943</v>
      </c>
      <c r="O82" s="116">
        <f t="shared" si="56"/>
        <v>232.6992323967774</v>
      </c>
      <c r="P82" s="116">
        <f t="shared" si="56"/>
        <v>244.33419401661629</v>
      </c>
      <c r="Q82" s="116">
        <f t="shared" si="56"/>
        <v>256.55090371744711</v>
      </c>
      <c r="R82" s="116">
        <f t="shared" si="56"/>
        <v>269.37844890331951</v>
      </c>
      <c r="S82" s="116">
        <f t="shared" si="56"/>
        <v>282.84737134848552</v>
      </c>
      <c r="T82" s="116">
        <f t="shared" si="56"/>
        <v>296.98973991590981</v>
      </c>
      <c r="U82" s="116">
        <f t="shared" si="56"/>
        <v>311.83922691170534</v>
      </c>
      <c r="V82" s="116">
        <f t="shared" si="56"/>
        <v>327.43118825729061</v>
      </c>
      <c r="W82" s="116">
        <f t="shared" si="56"/>
        <v>343.80274767015516</v>
      </c>
      <c r="X82" s="116">
        <f t="shared" si="56"/>
        <v>360.99288505366292</v>
      </c>
      <c r="Y82" s="116">
        <f t="shared" si="56"/>
        <v>379.04252930634607</v>
      </c>
      <c r="Z82" s="116">
        <f t="shared" si="56"/>
        <v>397.99465577166336</v>
      </c>
      <c r="AA82" s="116">
        <f t="shared" si="56"/>
        <v>417.89438856024657</v>
      </c>
      <c r="AB82" s="116">
        <f t="shared" si="56"/>
        <v>438.78910798825893</v>
      </c>
    </row>
    <row r="83" spans="1:28" s="4" customFormat="1">
      <c r="A83" s="37" t="s">
        <v>111</v>
      </c>
      <c r="B83" s="50"/>
      <c r="C83" s="9"/>
      <c r="D83" s="9"/>
      <c r="E83" s="10"/>
      <c r="F83" s="10">
        <f t="shared" ref="F83:AB83" si="57">(F82*F81)/10</f>
        <v>24.314897216339531</v>
      </c>
      <c r="G83" s="10">
        <f t="shared" si="57"/>
        <v>31.712777059256496</v>
      </c>
      <c r="H83" s="10">
        <f t="shared" si="57"/>
        <v>32.51147138731433</v>
      </c>
      <c r="I83" s="10">
        <f t="shared" si="57"/>
        <v>34.137044956680043</v>
      </c>
      <c r="J83" s="10">
        <f t="shared" si="57"/>
        <v>35.944617698907798</v>
      </c>
      <c r="K83" s="10">
        <f t="shared" si="57"/>
        <v>37.636092064739749</v>
      </c>
      <c r="L83" s="10">
        <f t="shared" si="57"/>
        <v>39.517896667976743</v>
      </c>
      <c r="M83" s="10">
        <f t="shared" si="57"/>
        <v>41.493791501375583</v>
      </c>
      <c r="N83" s="10">
        <f t="shared" si="57"/>
        <v>43.690907466883054</v>
      </c>
      <c r="O83" s="10">
        <f t="shared" si="57"/>
        <v>45.746905130266576</v>
      </c>
      <c r="P83" s="10">
        <f t="shared" si="57"/>
        <v>48.03425038677991</v>
      </c>
      <c r="Q83" s="10">
        <f t="shared" si="57"/>
        <v>50.43596290611891</v>
      </c>
      <c r="R83" s="10">
        <f t="shared" si="57"/>
        <v>53.106571094168032</v>
      </c>
      <c r="S83" s="10">
        <f t="shared" si="57"/>
        <v>55.605649103996107</v>
      </c>
      <c r="T83" s="10">
        <f t="shared" si="57"/>
        <v>58.385931559195924</v>
      </c>
      <c r="U83" s="10">
        <f t="shared" si="57"/>
        <v>61.305228137155723</v>
      </c>
      <c r="V83" s="10">
        <f t="shared" si="57"/>
        <v>64.5513690810306</v>
      </c>
      <c r="W83" s="10">
        <f t="shared" si="57"/>
        <v>67.589014021214183</v>
      </c>
      <c r="X83" s="10">
        <f t="shared" si="57"/>
        <v>70.968464722274888</v>
      </c>
      <c r="Y83" s="10">
        <f t="shared" si="57"/>
        <v>74.516887958388651</v>
      </c>
      <c r="Z83" s="10">
        <f t="shared" si="57"/>
        <v>78.462592564049459</v>
      </c>
      <c r="AA83" s="10">
        <f t="shared" si="57"/>
        <v>82.154868974123488</v>
      </c>
      <c r="AB83" s="10">
        <f t="shared" si="57"/>
        <v>86.262612422829676</v>
      </c>
    </row>
    <row r="84" spans="1:28" s="1" customFormat="1" ht="12.7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</row>
    <row r="85" spans="1:28" s="1" customFormat="1" ht="12.7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</row>
    <row r="86" spans="1:28" s="1" customFormat="1" ht="15.75">
      <c r="A86" s="119" t="s">
        <v>100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 spans="1:28" s="1" customFormat="1" ht="12.75">
      <c r="A87" s="62" t="s">
        <v>101</v>
      </c>
      <c r="B87" s="62">
        <f>Assumption!C43</f>
        <v>0.05</v>
      </c>
      <c r="C87" s="30"/>
      <c r="D87" s="30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</row>
    <row r="88" spans="1:28" s="1" customFormat="1" ht="12.75">
      <c r="A88" s="62" t="s">
        <v>102</v>
      </c>
      <c r="B88" s="111"/>
      <c r="C88" s="30"/>
      <c r="D88" s="30"/>
      <c r="E88" s="112"/>
      <c r="F88" s="112">
        <f t="shared" ref="F88:AB88" si="58">$B$87*F9</f>
        <v>326.76480000000004</v>
      </c>
      <c r="G88" s="112">
        <f t="shared" si="58"/>
        <v>403.50311999999997</v>
      </c>
      <c r="H88" s="112">
        <f t="shared" si="58"/>
        <v>394.20000000000005</v>
      </c>
      <c r="I88" s="112">
        <f t="shared" si="58"/>
        <v>394.20000000000005</v>
      </c>
      <c r="J88" s="112">
        <f t="shared" si="58"/>
        <v>395.28000000000003</v>
      </c>
      <c r="K88" s="112">
        <f t="shared" si="58"/>
        <v>394.20000000000005</v>
      </c>
      <c r="L88" s="112">
        <f t="shared" si="58"/>
        <v>394.20000000000005</v>
      </c>
      <c r="M88" s="112">
        <f t="shared" si="58"/>
        <v>394.20000000000005</v>
      </c>
      <c r="N88" s="112">
        <f t="shared" si="58"/>
        <v>395.28000000000003</v>
      </c>
      <c r="O88" s="112">
        <f t="shared" si="58"/>
        <v>394.20000000000005</v>
      </c>
      <c r="P88" s="112">
        <f t="shared" si="58"/>
        <v>394.20000000000005</v>
      </c>
      <c r="Q88" s="112">
        <f t="shared" si="58"/>
        <v>394.20000000000005</v>
      </c>
      <c r="R88" s="112">
        <f t="shared" si="58"/>
        <v>395.28000000000003</v>
      </c>
      <c r="S88" s="112">
        <f t="shared" si="58"/>
        <v>394.20000000000005</v>
      </c>
      <c r="T88" s="112">
        <f t="shared" si="58"/>
        <v>394.20000000000005</v>
      </c>
      <c r="U88" s="112">
        <f t="shared" si="58"/>
        <v>394.20000000000005</v>
      </c>
      <c r="V88" s="112">
        <f t="shared" si="58"/>
        <v>395.28000000000003</v>
      </c>
      <c r="W88" s="112">
        <f t="shared" si="58"/>
        <v>394.20000000000005</v>
      </c>
      <c r="X88" s="112">
        <f t="shared" si="58"/>
        <v>394.20000000000005</v>
      </c>
      <c r="Y88" s="112">
        <f t="shared" si="58"/>
        <v>394.20000000000005</v>
      </c>
      <c r="Z88" s="112">
        <f t="shared" si="58"/>
        <v>395.28000000000003</v>
      </c>
      <c r="AA88" s="112">
        <f t="shared" si="58"/>
        <v>394.20000000000005</v>
      </c>
      <c r="AB88" s="112">
        <f t="shared" si="58"/>
        <v>394.20000000000005</v>
      </c>
    </row>
    <row r="89" spans="1:28" s="1" customFormat="1" ht="12.75">
      <c r="A89" s="62" t="s">
        <v>103</v>
      </c>
      <c r="B89" s="110">
        <f>Assumption!C45</f>
        <v>0.05</v>
      </c>
      <c r="C89" s="30"/>
      <c r="D89" s="30"/>
      <c r="E89" s="116"/>
      <c r="F89" s="116">
        <f>Assumption!C44</f>
        <v>55000</v>
      </c>
      <c r="G89" s="116">
        <f t="shared" ref="G89:AB89" si="59">F89*(1+$B$67)</f>
        <v>57750</v>
      </c>
      <c r="H89" s="116">
        <f t="shared" si="59"/>
        <v>60637.5</v>
      </c>
      <c r="I89" s="116">
        <f t="shared" si="59"/>
        <v>63669.375</v>
      </c>
      <c r="J89" s="116">
        <f t="shared" si="59"/>
        <v>66852.84375</v>
      </c>
      <c r="K89" s="116">
        <f t="shared" si="59"/>
        <v>70195.485937500009</v>
      </c>
      <c r="L89" s="116">
        <f t="shared" si="59"/>
        <v>73705.260234375019</v>
      </c>
      <c r="M89" s="116">
        <f t="shared" si="59"/>
        <v>77390.52324609377</v>
      </c>
      <c r="N89" s="116">
        <f t="shared" si="59"/>
        <v>81260.049408398467</v>
      </c>
      <c r="O89" s="116">
        <f t="shared" si="59"/>
        <v>85323.051878818398</v>
      </c>
      <c r="P89" s="116">
        <f t="shared" si="59"/>
        <v>89589.204472759317</v>
      </c>
      <c r="Q89" s="116">
        <f t="shared" si="59"/>
        <v>94068.664696397289</v>
      </c>
      <c r="R89" s="116">
        <f t="shared" si="59"/>
        <v>98772.097931217155</v>
      </c>
      <c r="S89" s="116">
        <f t="shared" si="59"/>
        <v>103710.70282777802</v>
      </c>
      <c r="T89" s="116">
        <f t="shared" si="59"/>
        <v>108896.23796916692</v>
      </c>
      <c r="U89" s="116">
        <f t="shared" si="59"/>
        <v>114341.04986762528</v>
      </c>
      <c r="V89" s="116">
        <f t="shared" si="59"/>
        <v>120058.10236100655</v>
      </c>
      <c r="W89" s="116">
        <f t="shared" si="59"/>
        <v>126061.00747905688</v>
      </c>
      <c r="X89" s="116">
        <f t="shared" si="59"/>
        <v>132364.05785300973</v>
      </c>
      <c r="Y89" s="116">
        <f t="shared" si="59"/>
        <v>138982.26074566023</v>
      </c>
      <c r="Z89" s="116">
        <f t="shared" si="59"/>
        <v>145931.37378294324</v>
      </c>
      <c r="AA89" s="116">
        <f t="shared" si="59"/>
        <v>153227.94247209039</v>
      </c>
      <c r="AB89" s="116">
        <f t="shared" si="59"/>
        <v>160889.33959569491</v>
      </c>
    </row>
    <row r="90" spans="1:28" s="4" customFormat="1">
      <c r="A90" s="37" t="s">
        <v>110</v>
      </c>
      <c r="B90" s="50"/>
      <c r="C90" s="9"/>
      <c r="D90" s="9"/>
      <c r="E90" s="10"/>
      <c r="F90" s="10">
        <f t="shared" ref="F90:AB90" si="60">(F88*F89)/10^6</f>
        <v>17.972064000000003</v>
      </c>
      <c r="G90" s="10">
        <f t="shared" si="60"/>
        <v>23.302305180000001</v>
      </c>
      <c r="H90" s="10">
        <f t="shared" si="60"/>
        <v>23.903302500000002</v>
      </c>
      <c r="I90" s="10">
        <f t="shared" si="60"/>
        <v>25.098467625000005</v>
      </c>
      <c r="J90" s="10">
        <f t="shared" si="60"/>
        <v>26.425592077499999</v>
      </c>
      <c r="K90" s="10">
        <f t="shared" si="60"/>
        <v>27.671060556562505</v>
      </c>
      <c r="L90" s="10">
        <f t="shared" si="60"/>
        <v>29.054613584390637</v>
      </c>
      <c r="M90" s="10">
        <f t="shared" si="60"/>
        <v>30.507344263610168</v>
      </c>
      <c r="N90" s="10">
        <f t="shared" si="60"/>
        <v>32.120472330151749</v>
      </c>
      <c r="O90" s="10">
        <f t="shared" si="60"/>
        <v>33.634347050630218</v>
      </c>
      <c r="P90" s="10">
        <f t="shared" si="60"/>
        <v>35.316064403161725</v>
      </c>
      <c r="Q90" s="10">
        <f t="shared" si="60"/>
        <v>37.081867623319809</v>
      </c>
      <c r="R90" s="10">
        <f t="shared" si="60"/>
        <v>39.042634870251518</v>
      </c>
      <c r="S90" s="10">
        <f t="shared" si="60"/>
        <v>40.8827590547101</v>
      </c>
      <c r="T90" s="10">
        <f t="shared" si="60"/>
        <v>42.926897007445604</v>
      </c>
      <c r="U90" s="10">
        <f t="shared" si="60"/>
        <v>45.073241857817891</v>
      </c>
      <c r="V90" s="10">
        <f t="shared" si="60"/>
        <v>47.456566701258673</v>
      </c>
      <c r="W90" s="10">
        <f t="shared" si="60"/>
        <v>49.693249148244227</v>
      </c>
      <c r="X90" s="10">
        <f t="shared" si="60"/>
        <v>52.17791160565644</v>
      </c>
      <c r="Y90" s="10">
        <f t="shared" si="60"/>
        <v>54.786807185939267</v>
      </c>
      <c r="Z90" s="10">
        <f t="shared" si="60"/>
        <v>57.683753428921804</v>
      </c>
      <c r="AA90" s="10">
        <f t="shared" si="60"/>
        <v>60.402454922498038</v>
      </c>
      <c r="AB90" s="10">
        <f t="shared" si="60"/>
        <v>63.422577668622942</v>
      </c>
    </row>
    <row r="91" spans="1:28" s="1" customFormat="1" ht="12.7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</row>
    <row r="92" spans="1:28" s="1" customFormat="1" ht="12.7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</row>
    <row r="93" spans="1:28" s="1" customFormat="1" ht="15.75">
      <c r="A93" s="119" t="s">
        <v>104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</row>
    <row r="94" spans="1:28" s="1" customFormat="1" ht="18.75">
      <c r="A94" s="62" t="s">
        <v>105</v>
      </c>
      <c r="B94" s="587">
        <f>1200</f>
        <v>1200</v>
      </c>
      <c r="C94" s="30"/>
      <c r="D94" s="30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</row>
    <row r="95" spans="1:28" s="1" customFormat="1" ht="12.75">
      <c r="A95" s="62" t="s">
        <v>106</v>
      </c>
      <c r="B95" s="110">
        <f>Assumption!K48</f>
        <v>0.05</v>
      </c>
      <c r="C95" s="30"/>
      <c r="D95" s="30"/>
      <c r="E95" s="120"/>
      <c r="F95" s="112">
        <f>Assumption!K47</f>
        <v>0.125</v>
      </c>
      <c r="G95" s="112">
        <f t="shared" ref="G95:AB95" si="61">F95*(1+$B$67)</f>
        <v>0.13125000000000001</v>
      </c>
      <c r="H95" s="112">
        <f t="shared" si="61"/>
        <v>0.1378125</v>
      </c>
      <c r="I95" s="112">
        <f t="shared" si="61"/>
        <v>0.14470312500000002</v>
      </c>
      <c r="J95" s="112">
        <f t="shared" si="61"/>
        <v>0.15193828125000003</v>
      </c>
      <c r="K95" s="112">
        <f t="shared" si="61"/>
        <v>0.15953519531250004</v>
      </c>
      <c r="L95" s="112">
        <f t="shared" si="61"/>
        <v>0.16751195507812505</v>
      </c>
      <c r="M95" s="112">
        <f t="shared" si="61"/>
        <v>0.17588755283203131</v>
      </c>
      <c r="N95" s="112">
        <f t="shared" si="61"/>
        <v>0.18468193047363288</v>
      </c>
      <c r="O95" s="112">
        <f t="shared" si="61"/>
        <v>0.19391602699731453</v>
      </c>
      <c r="P95" s="112">
        <f t="shared" si="61"/>
        <v>0.20361182834718025</v>
      </c>
      <c r="Q95" s="112">
        <f t="shared" si="61"/>
        <v>0.21379241976453928</v>
      </c>
      <c r="R95" s="112">
        <f t="shared" si="61"/>
        <v>0.22448204075276626</v>
      </c>
      <c r="S95" s="112">
        <f t="shared" si="61"/>
        <v>0.23570614279040458</v>
      </c>
      <c r="T95" s="112">
        <f t="shared" si="61"/>
        <v>0.24749144992992483</v>
      </c>
      <c r="U95" s="112">
        <f t="shared" si="61"/>
        <v>0.25986602242642109</v>
      </c>
      <c r="V95" s="112">
        <f t="shared" si="61"/>
        <v>0.27285932354774217</v>
      </c>
      <c r="W95" s="112">
        <f t="shared" si="61"/>
        <v>0.28650228972512931</v>
      </c>
      <c r="X95" s="112">
        <f t="shared" si="61"/>
        <v>0.30082740421138576</v>
      </c>
      <c r="Y95" s="112">
        <f t="shared" si="61"/>
        <v>0.31586877442195505</v>
      </c>
      <c r="Z95" s="112">
        <f t="shared" si="61"/>
        <v>0.33166221314305283</v>
      </c>
      <c r="AA95" s="112">
        <f t="shared" si="61"/>
        <v>0.34824532380020551</v>
      </c>
      <c r="AB95" s="112">
        <f t="shared" si="61"/>
        <v>0.3656575899902158</v>
      </c>
    </row>
    <row r="96" spans="1:28" s="4" customFormat="1">
      <c r="A96" s="37" t="s">
        <v>109</v>
      </c>
      <c r="B96" s="50"/>
      <c r="C96" s="9"/>
      <c r="D96" s="9"/>
      <c r="E96" s="10"/>
      <c r="F96" s="10">
        <f t="shared" ref="F96:AB96" si="62">$B$94*F95</f>
        <v>150</v>
      </c>
      <c r="G96" s="10">
        <f t="shared" si="62"/>
        <v>157.5</v>
      </c>
      <c r="H96" s="10">
        <f t="shared" si="62"/>
        <v>165.375</v>
      </c>
      <c r="I96" s="10">
        <f t="shared" si="62"/>
        <v>173.64375000000001</v>
      </c>
      <c r="J96" s="10">
        <f t="shared" si="62"/>
        <v>182.32593750000004</v>
      </c>
      <c r="K96" s="10">
        <f t="shared" si="62"/>
        <v>191.44223437500006</v>
      </c>
      <c r="L96" s="10">
        <f t="shared" si="62"/>
        <v>201.01434609375005</v>
      </c>
      <c r="M96" s="10">
        <f t="shared" si="62"/>
        <v>211.06506339843756</v>
      </c>
      <c r="N96" s="10">
        <f t="shared" si="62"/>
        <v>221.61831656835946</v>
      </c>
      <c r="O96" s="10">
        <f t="shared" si="62"/>
        <v>232.69923239677743</v>
      </c>
      <c r="P96" s="10">
        <f t="shared" si="62"/>
        <v>244.33419401661629</v>
      </c>
      <c r="Q96" s="10">
        <f t="shared" si="62"/>
        <v>256.55090371744711</v>
      </c>
      <c r="R96" s="10">
        <f t="shared" si="62"/>
        <v>269.37844890331951</v>
      </c>
      <c r="S96" s="10">
        <f t="shared" si="62"/>
        <v>282.84737134848552</v>
      </c>
      <c r="T96" s="10">
        <f t="shared" si="62"/>
        <v>296.98973991590981</v>
      </c>
      <c r="U96" s="10">
        <f t="shared" si="62"/>
        <v>311.83922691170534</v>
      </c>
      <c r="V96" s="10">
        <f t="shared" si="62"/>
        <v>327.43118825729061</v>
      </c>
      <c r="W96" s="10">
        <f t="shared" si="62"/>
        <v>343.80274767015516</v>
      </c>
      <c r="X96" s="10">
        <f t="shared" si="62"/>
        <v>360.99288505366292</v>
      </c>
      <c r="Y96" s="10">
        <f t="shared" si="62"/>
        <v>379.04252930634607</v>
      </c>
      <c r="Z96" s="10">
        <f t="shared" si="62"/>
        <v>397.99465577166342</v>
      </c>
      <c r="AA96" s="10">
        <f t="shared" si="62"/>
        <v>417.89438856024663</v>
      </c>
      <c r="AB96" s="10">
        <f t="shared" si="62"/>
        <v>438.78910798825899</v>
      </c>
    </row>
    <row r="97" spans="1:28" s="1" customFormat="1" ht="12.7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</row>
    <row r="98" spans="1:28" s="4" customFormat="1" ht="15.75" thickBot="1">
      <c r="A98" s="71" t="s">
        <v>108</v>
      </c>
      <c r="B98" s="72"/>
      <c r="C98" s="73"/>
      <c r="D98" s="73"/>
      <c r="E98" s="74"/>
      <c r="F98" s="74">
        <f>F96+F90+F83+F75+F68</f>
        <v>216.37442844833953</v>
      </c>
      <c r="G98" s="74">
        <f>G96+G90+G83+G75+G68</f>
        <v>243.74652635459651</v>
      </c>
      <c r="H98" s="74">
        <f>H96+H90+H83+H75+H68</f>
        <v>253.82671831981432</v>
      </c>
      <c r="I98" s="74">
        <f t="shared" ref="I98:AB98" si="63">I96+I90+I83+I75+I68</f>
        <v>270.28223301840006</v>
      </c>
      <c r="J98" s="74">
        <f t="shared" si="63"/>
        <v>286.8891694485863</v>
      </c>
      <c r="K98" s="74">
        <f t="shared" si="63"/>
        <v>300.93101472167774</v>
      </c>
      <c r="L98" s="74">
        <f t="shared" si="63"/>
        <v>315.97756545776167</v>
      </c>
      <c r="M98" s="74">
        <f t="shared" si="63"/>
        <v>331.77644373064976</v>
      </c>
      <c r="N98" s="74">
        <f t="shared" si="63"/>
        <v>348.71557852206575</v>
      </c>
      <c r="O98" s="74">
        <f t="shared" si="63"/>
        <v>365.78352921304133</v>
      </c>
      <c r="P98" s="74">
        <f t="shared" si="63"/>
        <v>384.07270567369341</v>
      </c>
      <c r="Q98" s="74">
        <f t="shared" si="63"/>
        <v>403.27634095737807</v>
      </c>
      <c r="R98" s="74">
        <f t="shared" si="63"/>
        <v>423.86596516593676</v>
      </c>
      <c r="S98" s="74">
        <f t="shared" si="63"/>
        <v>444.61216590550947</v>
      </c>
      <c r="T98" s="74">
        <f t="shared" si="63"/>
        <v>466.84277420078502</v>
      </c>
      <c r="U98" s="74">
        <f t="shared" si="63"/>
        <v>490.18491291082427</v>
      </c>
      <c r="V98" s="74">
        <f t="shared" si="63"/>
        <v>515.21172982147857</v>
      </c>
      <c r="W98" s="74">
        <f t="shared" si="63"/>
        <v>540.4288664841838</v>
      </c>
      <c r="X98" s="74">
        <f t="shared" si="63"/>
        <v>567.45030980839294</v>
      </c>
      <c r="Y98" s="74">
        <f t="shared" si="63"/>
        <v>595.82282529881263</v>
      </c>
      <c r="Z98" s="74">
        <f t="shared" si="63"/>
        <v>626.2430776713187</v>
      </c>
      <c r="AA98" s="74">
        <f t="shared" si="63"/>
        <v>656.89466489194103</v>
      </c>
      <c r="AB98" s="74">
        <f t="shared" si="63"/>
        <v>689.73939813653817</v>
      </c>
    </row>
    <row r="99" spans="1:28" s="1" customFormat="1" ht="13.5" thickTop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spans="1:28" s="4" customFormat="1" ht="15.75" thickBot="1">
      <c r="A100" s="71" t="s">
        <v>107</v>
      </c>
      <c r="B100" s="72"/>
      <c r="C100" s="73"/>
      <c r="D100" s="73"/>
      <c r="E100" s="121"/>
      <c r="F100" s="121">
        <f t="shared" ref="F100:AB100" si="64">F98/F12*10</f>
        <v>0.35128476261230734</v>
      </c>
      <c r="G100" s="121">
        <f t="shared" si="64"/>
        <v>0.32046468945488898</v>
      </c>
      <c r="H100" s="121">
        <f t="shared" si="64"/>
        <v>0.3415933130119011</v>
      </c>
      <c r="I100" s="121">
        <f t="shared" si="64"/>
        <v>0.36623894655112765</v>
      </c>
      <c r="J100" s="121">
        <f t="shared" si="64"/>
        <v>0.38957982433263538</v>
      </c>
      <c r="K100" s="121">
        <f t="shared" si="64"/>
        <v>0.40976746659313362</v>
      </c>
      <c r="L100" s="121">
        <f t="shared" si="64"/>
        <v>0.43025583992279037</v>
      </c>
      <c r="M100" s="121">
        <f t="shared" si="64"/>
        <v>0.45176863191892991</v>
      </c>
      <c r="N100" s="121">
        <f t="shared" si="64"/>
        <v>0.47353671135022046</v>
      </c>
      <c r="O100" s="121">
        <f t="shared" si="64"/>
        <v>0.49807491669062015</v>
      </c>
      <c r="P100" s="121">
        <f t="shared" si="64"/>
        <v>0.52297866252515113</v>
      </c>
      <c r="Q100" s="121">
        <f t="shared" si="64"/>
        <v>0.54912759565140878</v>
      </c>
      <c r="R100" s="121">
        <f t="shared" si="64"/>
        <v>0.575586832250639</v>
      </c>
      <c r="S100" s="121">
        <f t="shared" si="64"/>
        <v>0.60541317420567831</v>
      </c>
      <c r="T100" s="121">
        <f t="shared" si="64"/>
        <v>0.63568383291596242</v>
      </c>
      <c r="U100" s="121">
        <f t="shared" si="64"/>
        <v>0.66746802456176046</v>
      </c>
      <c r="V100" s="121">
        <f t="shared" si="64"/>
        <v>0.69962939201835361</v>
      </c>
      <c r="W100" s="121">
        <f t="shared" si="64"/>
        <v>0.73588349707934098</v>
      </c>
      <c r="X100" s="121">
        <f t="shared" si="64"/>
        <v>0.77267767193330794</v>
      </c>
      <c r="Y100" s="121">
        <f t="shared" si="64"/>
        <v>0.81131155552997336</v>
      </c>
      <c r="Z100" s="121">
        <f t="shared" si="64"/>
        <v>0.85040389868200894</v>
      </c>
      <c r="AA100" s="121">
        <f t="shared" si="64"/>
        <v>0.89447098997179597</v>
      </c>
      <c r="AB100" s="121">
        <f t="shared" si="64"/>
        <v>0.93919453947038578</v>
      </c>
    </row>
    <row r="101" spans="1:28" s="1" customFormat="1" ht="13.5" thickTop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</row>
    <row r="102" spans="1:28" s="1" customFormat="1" ht="12.7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spans="1:28" s="1" customFormat="1" ht="12.7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spans="1:28" s="1" customFormat="1" ht="12.75">
      <c r="A104" s="123" t="s">
        <v>31</v>
      </c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</row>
  </sheetData>
  <mergeCells count="1">
    <mergeCell ref="A5:A7"/>
  </mergeCells>
  <pageMargins left="0.7" right="0.7" top="0.75" bottom="0.75" header="0.3" footer="0.3"/>
  <pageSetup paperSize="9" orientation="portrait" verticalDpi="0" r:id="rId1"/>
  <ignoredErrors>
    <ignoredError sqref="F9" numberStoredAsText="1"/>
    <ignoredError sqref="J9:AB9 P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80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20" sqref="I20"/>
    </sheetView>
  </sheetViews>
  <sheetFormatPr defaultRowHeight="15"/>
  <cols>
    <col min="1" max="1" width="21.85546875" style="17" customWidth="1"/>
    <col min="2" max="2" width="10.5703125" style="17" customWidth="1"/>
    <col min="3" max="6" width="9.140625" style="17"/>
    <col min="7" max="7" width="9.42578125" style="17" bestFit="1" customWidth="1"/>
    <col min="8" max="8" width="9.140625" style="17"/>
    <col min="9" max="9" width="9.42578125" style="17" bestFit="1" customWidth="1"/>
    <col min="10" max="16384" width="9.140625" style="17"/>
  </cols>
  <sheetData>
    <row r="1" spans="1:71" s="15" customFormat="1" ht="18.75">
      <c r="A1" s="21" t="s">
        <v>29</v>
      </c>
      <c r="B1" s="21"/>
      <c r="C1" s="4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</row>
    <row r="2" spans="1:71" ht="15.75">
      <c r="A2" s="22" t="s">
        <v>114</v>
      </c>
      <c r="B2" s="22"/>
      <c r="C2" s="44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1:71">
      <c r="A3" s="106"/>
      <c r="B3" s="106"/>
      <c r="C3" s="269"/>
      <c r="D3" s="487"/>
      <c r="E3" s="488"/>
      <c r="F3" s="488"/>
      <c r="G3" s="260"/>
      <c r="H3" s="487"/>
      <c r="I3" s="260"/>
      <c r="J3" s="488"/>
      <c r="K3" s="260"/>
      <c r="L3" s="106"/>
      <c r="M3" s="147"/>
      <c r="N3" s="260"/>
      <c r="O3" s="44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</row>
    <row r="4" spans="1:71" s="251" customFormat="1" ht="16.5" thickBot="1">
      <c r="A4" s="506" t="s">
        <v>122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</row>
    <row r="5" spans="1:71" ht="15.75" thickTop="1">
      <c r="A5" s="641" t="s">
        <v>0</v>
      </c>
      <c r="B5" s="18"/>
      <c r="C5" s="46"/>
      <c r="D5" s="19">
        <f>C6+1</f>
        <v>43556</v>
      </c>
      <c r="E5" s="19">
        <f>D6+1</f>
        <v>43647</v>
      </c>
      <c r="F5" s="19">
        <f>E6+1</f>
        <v>43739</v>
      </c>
      <c r="G5" s="19">
        <f>F6+1</f>
        <v>43831</v>
      </c>
      <c r="H5" s="19">
        <f>G6+1</f>
        <v>43922</v>
      </c>
      <c r="I5" s="19">
        <f t="shared" ref="I5:BS5" si="0">H6+1</f>
        <v>44013</v>
      </c>
      <c r="J5" s="19">
        <f t="shared" si="0"/>
        <v>44105</v>
      </c>
      <c r="K5" s="19">
        <f t="shared" si="0"/>
        <v>44197</v>
      </c>
      <c r="L5" s="19">
        <f t="shared" si="0"/>
        <v>44287</v>
      </c>
      <c r="M5" s="19">
        <f t="shared" si="0"/>
        <v>44378</v>
      </c>
      <c r="N5" s="19">
        <f t="shared" si="0"/>
        <v>44470</v>
      </c>
      <c r="O5" s="19">
        <f t="shared" si="0"/>
        <v>44562</v>
      </c>
      <c r="P5" s="19">
        <f t="shared" si="0"/>
        <v>44652</v>
      </c>
      <c r="Q5" s="19">
        <f t="shared" si="0"/>
        <v>44743</v>
      </c>
      <c r="R5" s="19">
        <f t="shared" si="0"/>
        <v>44835</v>
      </c>
      <c r="S5" s="19">
        <f t="shared" si="0"/>
        <v>44927</v>
      </c>
      <c r="T5" s="19">
        <f t="shared" si="0"/>
        <v>45017</v>
      </c>
      <c r="U5" s="19">
        <f t="shared" si="0"/>
        <v>45108</v>
      </c>
      <c r="V5" s="19">
        <f t="shared" si="0"/>
        <v>45200</v>
      </c>
      <c r="W5" s="19">
        <f t="shared" si="0"/>
        <v>45292</v>
      </c>
      <c r="X5" s="19">
        <f t="shared" si="0"/>
        <v>45383</v>
      </c>
      <c r="Y5" s="19">
        <f t="shared" si="0"/>
        <v>45474</v>
      </c>
      <c r="Z5" s="19">
        <f t="shared" si="0"/>
        <v>45566</v>
      </c>
      <c r="AA5" s="19">
        <f t="shared" si="0"/>
        <v>45658</v>
      </c>
      <c r="AB5" s="19">
        <f t="shared" si="0"/>
        <v>45748</v>
      </c>
      <c r="AC5" s="19">
        <f t="shared" si="0"/>
        <v>45839</v>
      </c>
      <c r="AD5" s="19">
        <f t="shared" si="0"/>
        <v>45931</v>
      </c>
      <c r="AE5" s="19">
        <f t="shared" si="0"/>
        <v>46023</v>
      </c>
      <c r="AF5" s="19">
        <f t="shared" si="0"/>
        <v>46113</v>
      </c>
      <c r="AG5" s="19">
        <f t="shared" si="0"/>
        <v>46204</v>
      </c>
      <c r="AH5" s="19">
        <f t="shared" si="0"/>
        <v>46296</v>
      </c>
      <c r="AI5" s="19">
        <f t="shared" si="0"/>
        <v>46388</v>
      </c>
      <c r="AJ5" s="19">
        <f t="shared" si="0"/>
        <v>46478</v>
      </c>
      <c r="AK5" s="19">
        <f t="shared" si="0"/>
        <v>46569</v>
      </c>
      <c r="AL5" s="19">
        <f t="shared" si="0"/>
        <v>46661</v>
      </c>
      <c r="AM5" s="19">
        <f t="shared" si="0"/>
        <v>46753</v>
      </c>
      <c r="AN5" s="19">
        <f t="shared" si="0"/>
        <v>46844</v>
      </c>
      <c r="AO5" s="19">
        <f t="shared" si="0"/>
        <v>46935</v>
      </c>
      <c r="AP5" s="19">
        <f t="shared" si="0"/>
        <v>47027</v>
      </c>
      <c r="AQ5" s="19">
        <f t="shared" si="0"/>
        <v>47119</v>
      </c>
      <c r="AR5" s="19">
        <f t="shared" si="0"/>
        <v>47209</v>
      </c>
      <c r="AS5" s="19">
        <f t="shared" si="0"/>
        <v>47300</v>
      </c>
      <c r="AT5" s="19">
        <f t="shared" si="0"/>
        <v>47392</v>
      </c>
      <c r="AU5" s="19">
        <f t="shared" si="0"/>
        <v>47484</v>
      </c>
      <c r="AV5" s="19">
        <f t="shared" si="0"/>
        <v>47574</v>
      </c>
      <c r="AW5" s="19">
        <f t="shared" si="0"/>
        <v>47665</v>
      </c>
      <c r="AX5" s="19">
        <f t="shared" si="0"/>
        <v>47757</v>
      </c>
      <c r="AY5" s="19">
        <f t="shared" si="0"/>
        <v>47849</v>
      </c>
      <c r="AZ5" s="19">
        <f t="shared" si="0"/>
        <v>47939</v>
      </c>
      <c r="BA5" s="19">
        <f t="shared" si="0"/>
        <v>48030</v>
      </c>
      <c r="BB5" s="19">
        <f t="shared" si="0"/>
        <v>48122</v>
      </c>
      <c r="BC5" s="19">
        <f t="shared" si="0"/>
        <v>48214</v>
      </c>
      <c r="BD5" s="19">
        <f t="shared" si="0"/>
        <v>48305</v>
      </c>
      <c r="BE5" s="19">
        <f t="shared" si="0"/>
        <v>48396</v>
      </c>
      <c r="BF5" s="19">
        <f t="shared" si="0"/>
        <v>48488</v>
      </c>
      <c r="BG5" s="19">
        <f t="shared" si="0"/>
        <v>48580</v>
      </c>
      <c r="BH5" s="19">
        <f t="shared" si="0"/>
        <v>48670</v>
      </c>
      <c r="BI5" s="19">
        <f t="shared" si="0"/>
        <v>48761</v>
      </c>
      <c r="BJ5" s="19">
        <f t="shared" si="0"/>
        <v>48853</v>
      </c>
      <c r="BK5" s="19">
        <f t="shared" si="0"/>
        <v>48945</v>
      </c>
      <c r="BL5" s="19">
        <f t="shared" si="0"/>
        <v>49035</v>
      </c>
      <c r="BM5" s="19">
        <f t="shared" si="0"/>
        <v>49126</v>
      </c>
      <c r="BN5" s="19">
        <f t="shared" si="0"/>
        <v>49218</v>
      </c>
      <c r="BO5" s="19">
        <f t="shared" si="0"/>
        <v>49310</v>
      </c>
      <c r="BP5" s="19">
        <f t="shared" si="0"/>
        <v>49400</v>
      </c>
      <c r="BQ5" s="19">
        <f t="shared" si="0"/>
        <v>49491</v>
      </c>
      <c r="BR5" s="19">
        <f t="shared" si="0"/>
        <v>49583</v>
      </c>
      <c r="BS5" s="19">
        <f t="shared" si="0"/>
        <v>49675</v>
      </c>
    </row>
    <row r="6" spans="1:71">
      <c r="A6" s="642"/>
      <c r="B6" s="75"/>
      <c r="C6" s="6">
        <v>43555</v>
      </c>
      <c r="D6" s="6">
        <f>EOMONTH(C6,3)</f>
        <v>43646</v>
      </c>
      <c r="E6" s="6">
        <f t="shared" ref="E6:AC6" si="1">EOMONTH(D6,3)</f>
        <v>43738</v>
      </c>
      <c r="F6" s="6">
        <f t="shared" si="1"/>
        <v>43830</v>
      </c>
      <c r="G6" s="6">
        <f t="shared" si="1"/>
        <v>43921</v>
      </c>
      <c r="H6" s="6">
        <f t="shared" si="1"/>
        <v>44012</v>
      </c>
      <c r="I6" s="6">
        <f t="shared" si="1"/>
        <v>44104</v>
      </c>
      <c r="J6" s="6">
        <f t="shared" si="1"/>
        <v>44196</v>
      </c>
      <c r="K6" s="6">
        <f t="shared" si="1"/>
        <v>44286</v>
      </c>
      <c r="L6" s="6">
        <f t="shared" si="1"/>
        <v>44377</v>
      </c>
      <c r="M6" s="6">
        <f t="shared" si="1"/>
        <v>44469</v>
      </c>
      <c r="N6" s="6">
        <f t="shared" si="1"/>
        <v>44561</v>
      </c>
      <c r="O6" s="6">
        <f t="shared" si="1"/>
        <v>44651</v>
      </c>
      <c r="P6" s="6">
        <f t="shared" si="1"/>
        <v>44742</v>
      </c>
      <c r="Q6" s="6">
        <f t="shared" si="1"/>
        <v>44834</v>
      </c>
      <c r="R6" s="6">
        <f t="shared" si="1"/>
        <v>44926</v>
      </c>
      <c r="S6" s="6">
        <f t="shared" si="1"/>
        <v>45016</v>
      </c>
      <c r="T6" s="6">
        <f t="shared" si="1"/>
        <v>45107</v>
      </c>
      <c r="U6" s="6">
        <f t="shared" si="1"/>
        <v>45199</v>
      </c>
      <c r="V6" s="6">
        <f t="shared" si="1"/>
        <v>45291</v>
      </c>
      <c r="W6" s="6">
        <f t="shared" si="1"/>
        <v>45382</v>
      </c>
      <c r="X6" s="6">
        <f t="shared" si="1"/>
        <v>45473</v>
      </c>
      <c r="Y6" s="6">
        <f t="shared" si="1"/>
        <v>45565</v>
      </c>
      <c r="Z6" s="6">
        <f t="shared" si="1"/>
        <v>45657</v>
      </c>
      <c r="AA6" s="6">
        <f t="shared" si="1"/>
        <v>45747</v>
      </c>
      <c r="AB6" s="6">
        <f t="shared" si="1"/>
        <v>45838</v>
      </c>
      <c r="AC6" s="6">
        <f t="shared" si="1"/>
        <v>45930</v>
      </c>
      <c r="AD6" s="6">
        <f t="shared" ref="AD6:AX6" si="2">EOMONTH(AC6,3)</f>
        <v>46022</v>
      </c>
      <c r="AE6" s="6">
        <f t="shared" si="2"/>
        <v>46112</v>
      </c>
      <c r="AF6" s="6">
        <f t="shared" si="2"/>
        <v>46203</v>
      </c>
      <c r="AG6" s="6">
        <f t="shared" si="2"/>
        <v>46295</v>
      </c>
      <c r="AH6" s="6">
        <f t="shared" si="2"/>
        <v>46387</v>
      </c>
      <c r="AI6" s="6">
        <f t="shared" si="2"/>
        <v>46477</v>
      </c>
      <c r="AJ6" s="6">
        <f t="shared" si="2"/>
        <v>46568</v>
      </c>
      <c r="AK6" s="6">
        <f t="shared" si="2"/>
        <v>46660</v>
      </c>
      <c r="AL6" s="6">
        <f t="shared" si="2"/>
        <v>46752</v>
      </c>
      <c r="AM6" s="6">
        <f t="shared" si="2"/>
        <v>46843</v>
      </c>
      <c r="AN6" s="6">
        <f t="shared" si="2"/>
        <v>46934</v>
      </c>
      <c r="AO6" s="6">
        <f t="shared" si="2"/>
        <v>47026</v>
      </c>
      <c r="AP6" s="6">
        <f t="shared" si="2"/>
        <v>47118</v>
      </c>
      <c r="AQ6" s="6">
        <f t="shared" si="2"/>
        <v>47208</v>
      </c>
      <c r="AR6" s="6">
        <f t="shared" si="2"/>
        <v>47299</v>
      </c>
      <c r="AS6" s="6">
        <f t="shared" si="2"/>
        <v>47391</v>
      </c>
      <c r="AT6" s="6">
        <f t="shared" si="2"/>
        <v>47483</v>
      </c>
      <c r="AU6" s="6">
        <f t="shared" si="2"/>
        <v>47573</v>
      </c>
      <c r="AV6" s="6">
        <f t="shared" si="2"/>
        <v>47664</v>
      </c>
      <c r="AW6" s="6">
        <f t="shared" si="2"/>
        <v>47756</v>
      </c>
      <c r="AX6" s="6">
        <f t="shared" si="2"/>
        <v>47848</v>
      </c>
      <c r="AY6" s="6">
        <f t="shared" ref="AY6:BL6" si="3">EOMONTH(AX6,3)</f>
        <v>47938</v>
      </c>
      <c r="AZ6" s="6">
        <f t="shared" si="3"/>
        <v>48029</v>
      </c>
      <c r="BA6" s="6">
        <f t="shared" si="3"/>
        <v>48121</v>
      </c>
      <c r="BB6" s="6">
        <f t="shared" si="3"/>
        <v>48213</v>
      </c>
      <c r="BC6" s="6">
        <f t="shared" si="3"/>
        <v>48304</v>
      </c>
      <c r="BD6" s="6">
        <f t="shared" si="3"/>
        <v>48395</v>
      </c>
      <c r="BE6" s="6">
        <f t="shared" si="3"/>
        <v>48487</v>
      </c>
      <c r="BF6" s="6">
        <f t="shared" si="3"/>
        <v>48579</v>
      </c>
      <c r="BG6" s="6">
        <f t="shared" si="3"/>
        <v>48669</v>
      </c>
      <c r="BH6" s="6">
        <f t="shared" si="3"/>
        <v>48760</v>
      </c>
      <c r="BI6" s="6">
        <f t="shared" si="3"/>
        <v>48852</v>
      </c>
      <c r="BJ6" s="6">
        <f t="shared" si="3"/>
        <v>48944</v>
      </c>
      <c r="BK6" s="6">
        <f t="shared" si="3"/>
        <v>49034</v>
      </c>
      <c r="BL6" s="6">
        <f t="shared" si="3"/>
        <v>49125</v>
      </c>
      <c r="BM6" s="6">
        <f t="shared" ref="BM6:BS6" si="4">EOMONTH(BL6,3)</f>
        <v>49217</v>
      </c>
      <c r="BN6" s="6">
        <f t="shared" si="4"/>
        <v>49309</v>
      </c>
      <c r="BO6" s="6">
        <f t="shared" si="4"/>
        <v>49399</v>
      </c>
      <c r="BP6" s="6">
        <f t="shared" si="4"/>
        <v>49490</v>
      </c>
      <c r="BQ6" s="6">
        <f t="shared" si="4"/>
        <v>49582</v>
      </c>
      <c r="BR6" s="6">
        <f t="shared" si="4"/>
        <v>49674</v>
      </c>
      <c r="BS6" s="6">
        <f t="shared" si="4"/>
        <v>49765</v>
      </c>
    </row>
    <row r="7" spans="1:71" s="133" customFormat="1">
      <c r="A7" s="643"/>
      <c r="B7" s="131"/>
      <c r="C7" s="132"/>
      <c r="D7" s="132">
        <f>IF(MONTH(D6)&lt;=3,YEAR(D6),YEAR(D6)+1)</f>
        <v>2020</v>
      </c>
      <c r="E7" s="132">
        <f>IF(MONTH(E6)&lt;=3,YEAR(E6),YEAR(E6)+1)</f>
        <v>2020</v>
      </c>
      <c r="F7" s="132">
        <f>IF(MONTH(F6)&lt;=3,YEAR(F6),YEAR(F6)+1)</f>
        <v>2020</v>
      </c>
      <c r="G7" s="132">
        <f>IF(MONTH(G6)&lt;=3,YEAR(G6),YEAR(G6)+1)</f>
        <v>2020</v>
      </c>
      <c r="H7" s="132">
        <f>IF(MONTH(H6)&lt;=3,YEAR(H6),YEAR(H6)+1)</f>
        <v>2021</v>
      </c>
      <c r="I7" s="132">
        <f t="shared" ref="I7:BS7" si="5">IF(MONTH(I6)&lt;=3,YEAR(I6),YEAR(I6)+1)</f>
        <v>2021</v>
      </c>
      <c r="J7" s="132">
        <f t="shared" si="5"/>
        <v>2021</v>
      </c>
      <c r="K7" s="132">
        <f t="shared" si="5"/>
        <v>2021</v>
      </c>
      <c r="L7" s="132">
        <f t="shared" si="5"/>
        <v>2022</v>
      </c>
      <c r="M7" s="132">
        <f t="shared" si="5"/>
        <v>2022</v>
      </c>
      <c r="N7" s="132">
        <f t="shared" si="5"/>
        <v>2022</v>
      </c>
      <c r="O7" s="132">
        <f t="shared" si="5"/>
        <v>2022</v>
      </c>
      <c r="P7" s="132">
        <f t="shared" si="5"/>
        <v>2023</v>
      </c>
      <c r="Q7" s="132">
        <f t="shared" si="5"/>
        <v>2023</v>
      </c>
      <c r="R7" s="132">
        <f t="shared" si="5"/>
        <v>2023</v>
      </c>
      <c r="S7" s="132">
        <f t="shared" si="5"/>
        <v>2023</v>
      </c>
      <c r="T7" s="132">
        <f t="shared" si="5"/>
        <v>2024</v>
      </c>
      <c r="U7" s="132">
        <f t="shared" si="5"/>
        <v>2024</v>
      </c>
      <c r="V7" s="132">
        <f t="shared" si="5"/>
        <v>2024</v>
      </c>
      <c r="W7" s="132">
        <f t="shared" si="5"/>
        <v>2024</v>
      </c>
      <c r="X7" s="132">
        <f t="shared" si="5"/>
        <v>2025</v>
      </c>
      <c r="Y7" s="132">
        <f t="shared" si="5"/>
        <v>2025</v>
      </c>
      <c r="Z7" s="132">
        <f t="shared" si="5"/>
        <v>2025</v>
      </c>
      <c r="AA7" s="132">
        <f t="shared" si="5"/>
        <v>2025</v>
      </c>
      <c r="AB7" s="132">
        <f t="shared" si="5"/>
        <v>2026</v>
      </c>
      <c r="AC7" s="132">
        <f t="shared" si="5"/>
        <v>2026</v>
      </c>
      <c r="AD7" s="132">
        <f t="shared" si="5"/>
        <v>2026</v>
      </c>
      <c r="AE7" s="132">
        <f t="shared" si="5"/>
        <v>2026</v>
      </c>
      <c r="AF7" s="132">
        <f t="shared" si="5"/>
        <v>2027</v>
      </c>
      <c r="AG7" s="132">
        <f t="shared" si="5"/>
        <v>2027</v>
      </c>
      <c r="AH7" s="132">
        <f t="shared" si="5"/>
        <v>2027</v>
      </c>
      <c r="AI7" s="132">
        <f t="shared" si="5"/>
        <v>2027</v>
      </c>
      <c r="AJ7" s="132">
        <f t="shared" si="5"/>
        <v>2028</v>
      </c>
      <c r="AK7" s="132">
        <f t="shared" si="5"/>
        <v>2028</v>
      </c>
      <c r="AL7" s="132">
        <f t="shared" si="5"/>
        <v>2028</v>
      </c>
      <c r="AM7" s="132">
        <f t="shared" si="5"/>
        <v>2028</v>
      </c>
      <c r="AN7" s="132">
        <f t="shared" si="5"/>
        <v>2029</v>
      </c>
      <c r="AO7" s="132">
        <f t="shared" si="5"/>
        <v>2029</v>
      </c>
      <c r="AP7" s="132">
        <f t="shared" si="5"/>
        <v>2029</v>
      </c>
      <c r="AQ7" s="132">
        <f t="shared" si="5"/>
        <v>2029</v>
      </c>
      <c r="AR7" s="132">
        <f t="shared" si="5"/>
        <v>2030</v>
      </c>
      <c r="AS7" s="132">
        <f t="shared" si="5"/>
        <v>2030</v>
      </c>
      <c r="AT7" s="132">
        <f t="shared" si="5"/>
        <v>2030</v>
      </c>
      <c r="AU7" s="132">
        <f t="shared" si="5"/>
        <v>2030</v>
      </c>
      <c r="AV7" s="132">
        <f t="shared" si="5"/>
        <v>2031</v>
      </c>
      <c r="AW7" s="132">
        <f t="shared" si="5"/>
        <v>2031</v>
      </c>
      <c r="AX7" s="132">
        <f t="shared" si="5"/>
        <v>2031</v>
      </c>
      <c r="AY7" s="132">
        <f t="shared" si="5"/>
        <v>2031</v>
      </c>
      <c r="AZ7" s="132">
        <f t="shared" si="5"/>
        <v>2032</v>
      </c>
      <c r="BA7" s="132">
        <f t="shared" si="5"/>
        <v>2032</v>
      </c>
      <c r="BB7" s="132">
        <f t="shared" si="5"/>
        <v>2032</v>
      </c>
      <c r="BC7" s="132">
        <f t="shared" si="5"/>
        <v>2032</v>
      </c>
      <c r="BD7" s="132">
        <f t="shared" si="5"/>
        <v>2033</v>
      </c>
      <c r="BE7" s="132">
        <f t="shared" si="5"/>
        <v>2033</v>
      </c>
      <c r="BF7" s="132">
        <f t="shared" si="5"/>
        <v>2033</v>
      </c>
      <c r="BG7" s="132">
        <f t="shared" si="5"/>
        <v>2033</v>
      </c>
      <c r="BH7" s="132">
        <f t="shared" si="5"/>
        <v>2034</v>
      </c>
      <c r="BI7" s="132">
        <f t="shared" si="5"/>
        <v>2034</v>
      </c>
      <c r="BJ7" s="132">
        <f t="shared" si="5"/>
        <v>2034</v>
      </c>
      <c r="BK7" s="132">
        <f t="shared" si="5"/>
        <v>2034</v>
      </c>
      <c r="BL7" s="132">
        <f t="shared" si="5"/>
        <v>2035</v>
      </c>
      <c r="BM7" s="132">
        <f t="shared" si="5"/>
        <v>2035</v>
      </c>
      <c r="BN7" s="132">
        <f t="shared" si="5"/>
        <v>2035</v>
      </c>
      <c r="BO7" s="132">
        <f t="shared" si="5"/>
        <v>2035</v>
      </c>
      <c r="BP7" s="132">
        <f t="shared" si="5"/>
        <v>2036</v>
      </c>
      <c r="BQ7" s="132">
        <f t="shared" si="5"/>
        <v>2036</v>
      </c>
      <c r="BR7" s="132">
        <f t="shared" si="5"/>
        <v>2036</v>
      </c>
      <c r="BS7" s="132">
        <f t="shared" si="5"/>
        <v>2036</v>
      </c>
    </row>
    <row r="8" spans="1:71" s="133" customFormat="1">
      <c r="A8" s="256" t="s">
        <v>383</v>
      </c>
      <c r="B8" s="276">
        <v>3222.4783935</v>
      </c>
      <c r="C8" s="276">
        <v>3008.37</v>
      </c>
      <c r="D8" s="256">
        <f>D6-C6</f>
        <v>91</v>
      </c>
      <c r="E8" s="256">
        <f t="shared" ref="E8:BP8" si="6">E6-D6</f>
        <v>92</v>
      </c>
      <c r="F8" s="256">
        <f t="shared" si="6"/>
        <v>92</v>
      </c>
      <c r="G8" s="256">
        <f t="shared" si="6"/>
        <v>91</v>
      </c>
      <c r="H8" s="256">
        <f t="shared" si="6"/>
        <v>91</v>
      </c>
      <c r="I8" s="256">
        <f t="shared" si="6"/>
        <v>92</v>
      </c>
      <c r="J8" s="256">
        <f t="shared" si="6"/>
        <v>92</v>
      </c>
      <c r="K8" s="256">
        <f t="shared" si="6"/>
        <v>90</v>
      </c>
      <c r="L8" s="256">
        <f t="shared" si="6"/>
        <v>91</v>
      </c>
      <c r="M8" s="256">
        <f t="shared" si="6"/>
        <v>92</v>
      </c>
      <c r="N8" s="256">
        <f t="shared" si="6"/>
        <v>92</v>
      </c>
      <c r="O8" s="256">
        <f t="shared" si="6"/>
        <v>90</v>
      </c>
      <c r="P8" s="256">
        <f t="shared" si="6"/>
        <v>91</v>
      </c>
      <c r="Q8" s="256">
        <f t="shared" si="6"/>
        <v>92</v>
      </c>
      <c r="R8" s="256">
        <f t="shared" si="6"/>
        <v>92</v>
      </c>
      <c r="S8" s="256">
        <f t="shared" si="6"/>
        <v>90</v>
      </c>
      <c r="T8" s="256">
        <f t="shared" si="6"/>
        <v>91</v>
      </c>
      <c r="U8" s="256">
        <f t="shared" si="6"/>
        <v>92</v>
      </c>
      <c r="V8" s="256">
        <f t="shared" si="6"/>
        <v>92</v>
      </c>
      <c r="W8" s="256">
        <f t="shared" si="6"/>
        <v>91</v>
      </c>
      <c r="X8" s="256">
        <f t="shared" si="6"/>
        <v>91</v>
      </c>
      <c r="Y8" s="256">
        <f t="shared" si="6"/>
        <v>92</v>
      </c>
      <c r="Z8" s="256">
        <f t="shared" si="6"/>
        <v>92</v>
      </c>
      <c r="AA8" s="256">
        <f t="shared" si="6"/>
        <v>90</v>
      </c>
      <c r="AB8" s="256">
        <f t="shared" si="6"/>
        <v>91</v>
      </c>
      <c r="AC8" s="256">
        <f t="shared" si="6"/>
        <v>92</v>
      </c>
      <c r="AD8" s="256">
        <f t="shared" si="6"/>
        <v>92</v>
      </c>
      <c r="AE8" s="256">
        <f t="shared" si="6"/>
        <v>90</v>
      </c>
      <c r="AF8" s="256">
        <f t="shared" si="6"/>
        <v>91</v>
      </c>
      <c r="AG8" s="256">
        <f t="shared" si="6"/>
        <v>92</v>
      </c>
      <c r="AH8" s="256">
        <f t="shared" si="6"/>
        <v>92</v>
      </c>
      <c r="AI8" s="256">
        <f t="shared" si="6"/>
        <v>90</v>
      </c>
      <c r="AJ8" s="256">
        <f t="shared" si="6"/>
        <v>91</v>
      </c>
      <c r="AK8" s="256">
        <f t="shared" si="6"/>
        <v>92</v>
      </c>
      <c r="AL8" s="256">
        <f t="shared" si="6"/>
        <v>92</v>
      </c>
      <c r="AM8" s="256">
        <f t="shared" si="6"/>
        <v>91</v>
      </c>
      <c r="AN8" s="256">
        <f t="shared" si="6"/>
        <v>91</v>
      </c>
      <c r="AO8" s="256">
        <f t="shared" si="6"/>
        <v>92</v>
      </c>
      <c r="AP8" s="256">
        <f t="shared" si="6"/>
        <v>92</v>
      </c>
      <c r="AQ8" s="256">
        <f t="shared" si="6"/>
        <v>90</v>
      </c>
      <c r="AR8" s="256">
        <f t="shared" si="6"/>
        <v>91</v>
      </c>
      <c r="AS8" s="256">
        <f t="shared" si="6"/>
        <v>92</v>
      </c>
      <c r="AT8" s="256">
        <f t="shared" si="6"/>
        <v>92</v>
      </c>
      <c r="AU8" s="256">
        <f t="shared" si="6"/>
        <v>90</v>
      </c>
      <c r="AV8" s="256">
        <f t="shared" si="6"/>
        <v>91</v>
      </c>
      <c r="AW8" s="256">
        <f t="shared" si="6"/>
        <v>92</v>
      </c>
      <c r="AX8" s="256">
        <f t="shared" si="6"/>
        <v>92</v>
      </c>
      <c r="AY8" s="256">
        <f t="shared" si="6"/>
        <v>90</v>
      </c>
      <c r="AZ8" s="256">
        <f t="shared" si="6"/>
        <v>91</v>
      </c>
      <c r="BA8" s="256">
        <f t="shared" si="6"/>
        <v>92</v>
      </c>
      <c r="BB8" s="256">
        <f t="shared" si="6"/>
        <v>92</v>
      </c>
      <c r="BC8" s="256">
        <f t="shared" si="6"/>
        <v>91</v>
      </c>
      <c r="BD8" s="256">
        <f t="shared" si="6"/>
        <v>91</v>
      </c>
      <c r="BE8" s="256">
        <f t="shared" si="6"/>
        <v>92</v>
      </c>
      <c r="BF8" s="256">
        <f t="shared" si="6"/>
        <v>92</v>
      </c>
      <c r="BG8" s="256">
        <f t="shared" si="6"/>
        <v>90</v>
      </c>
      <c r="BH8" s="256">
        <f t="shared" si="6"/>
        <v>91</v>
      </c>
      <c r="BI8" s="256">
        <f t="shared" si="6"/>
        <v>92</v>
      </c>
      <c r="BJ8" s="256">
        <f t="shared" si="6"/>
        <v>92</v>
      </c>
      <c r="BK8" s="256">
        <f t="shared" si="6"/>
        <v>90</v>
      </c>
      <c r="BL8" s="256">
        <f t="shared" si="6"/>
        <v>91</v>
      </c>
      <c r="BM8" s="256">
        <f t="shared" si="6"/>
        <v>92</v>
      </c>
      <c r="BN8" s="256">
        <f t="shared" si="6"/>
        <v>92</v>
      </c>
      <c r="BO8" s="256">
        <f t="shared" si="6"/>
        <v>90</v>
      </c>
      <c r="BP8" s="256">
        <f t="shared" si="6"/>
        <v>91</v>
      </c>
      <c r="BQ8" s="256">
        <f t="shared" ref="BQ8:BS8" si="7">BQ6-BP6</f>
        <v>92</v>
      </c>
      <c r="BR8" s="256">
        <f t="shared" si="7"/>
        <v>92</v>
      </c>
      <c r="BS8" s="256">
        <f t="shared" si="7"/>
        <v>91</v>
      </c>
    </row>
    <row r="9" spans="1:71" s="1" customFormat="1" ht="15.75">
      <c r="A9" s="119" t="s">
        <v>115</v>
      </c>
      <c r="B9" s="62">
        <v>3447</v>
      </c>
      <c r="C9" s="62"/>
      <c r="D9" s="124">
        <v>7.4999999999999997E-3</v>
      </c>
      <c r="E9" s="124">
        <v>7.4999999999999997E-3</v>
      </c>
      <c r="F9" s="124">
        <v>7.4999999999999997E-3</v>
      </c>
      <c r="G9" s="124">
        <v>7.4999999999999997E-3</v>
      </c>
      <c r="H9" s="501">
        <v>0</v>
      </c>
      <c r="I9" s="501">
        <v>0</v>
      </c>
      <c r="J9" s="124">
        <v>0.01</v>
      </c>
      <c r="K9" s="124">
        <v>0.01</v>
      </c>
      <c r="L9" s="124">
        <v>0.01</v>
      </c>
      <c r="M9" s="124">
        <v>0.01</v>
      </c>
      <c r="N9" s="124">
        <v>0.01</v>
      </c>
      <c r="O9" s="124">
        <v>0.01</v>
      </c>
      <c r="P9" s="124">
        <v>0.01</v>
      </c>
      <c r="Q9" s="124">
        <v>0.01</v>
      </c>
      <c r="R9" s="124">
        <v>1.4999999999999999E-2</v>
      </c>
      <c r="S9" s="124">
        <v>1.4999999999999999E-2</v>
      </c>
      <c r="T9" s="124">
        <v>1.4999999999999999E-2</v>
      </c>
      <c r="U9" s="124">
        <v>1.4999999999999999E-2</v>
      </c>
      <c r="V9" s="124">
        <v>1.4999999999999999E-2</v>
      </c>
      <c r="W9" s="124">
        <v>1.4999999999999999E-2</v>
      </c>
      <c r="X9" s="124">
        <v>1.4999999999999999E-2</v>
      </c>
      <c r="Y9" s="124">
        <v>1.4999999999999999E-2</v>
      </c>
      <c r="Z9" s="124">
        <v>1.6250000000000001E-2</v>
      </c>
      <c r="AA9" s="124">
        <v>1.6250000000000001E-2</v>
      </c>
      <c r="AB9" s="124">
        <v>1.6250000000000001E-2</v>
      </c>
      <c r="AC9" s="124">
        <v>1.6250000000000001E-2</v>
      </c>
      <c r="AD9" s="124">
        <v>1.7500000000000002E-2</v>
      </c>
      <c r="AE9" s="124">
        <v>1.7500000000000002E-2</v>
      </c>
      <c r="AF9" s="124">
        <v>1.7500000000000002E-2</v>
      </c>
      <c r="AG9" s="124">
        <v>1.7500000000000002E-2</v>
      </c>
      <c r="AH9" s="124">
        <v>1.4999999999999999E-2</v>
      </c>
      <c r="AI9" s="124">
        <v>1.4999999999999999E-2</v>
      </c>
      <c r="AJ9" s="124">
        <v>1.4999999999999999E-2</v>
      </c>
      <c r="AK9" s="124">
        <v>1.4999999999999999E-2</v>
      </c>
      <c r="AL9" s="124">
        <v>1.4999999999999999E-2</v>
      </c>
      <c r="AM9" s="124">
        <v>1.4999999999999999E-2</v>
      </c>
      <c r="AN9" s="124">
        <v>1.4999999999999999E-2</v>
      </c>
      <c r="AO9" s="124">
        <v>1.4999999999999999E-2</v>
      </c>
      <c r="AP9" s="124">
        <v>1.7500000000000002E-2</v>
      </c>
      <c r="AQ9" s="124">
        <v>1.7500000000000002E-2</v>
      </c>
      <c r="AR9" s="124">
        <v>1.7500000000000002E-2</v>
      </c>
      <c r="AS9" s="124">
        <v>1.7500000000000002E-2</v>
      </c>
      <c r="AT9" s="124">
        <v>1.7500000000000002E-2</v>
      </c>
      <c r="AU9" s="124">
        <v>1.7500000000000002E-2</v>
      </c>
      <c r="AV9" s="124">
        <v>1.7500000000000002E-2</v>
      </c>
      <c r="AW9" s="124">
        <v>1.7500000000000002E-2</v>
      </c>
      <c r="AX9" s="124">
        <v>1.7500000000000002E-2</v>
      </c>
      <c r="AY9" s="124">
        <v>1.7500000000000002E-2</v>
      </c>
      <c r="AZ9" s="124">
        <v>1.7500000000000002E-2</v>
      </c>
      <c r="BA9" s="124">
        <v>1.7500000000000002E-2</v>
      </c>
      <c r="BB9" s="124">
        <v>1.7500000000000002E-2</v>
      </c>
      <c r="BC9" s="124">
        <v>1.7500000000000002E-2</v>
      </c>
      <c r="BD9" s="124">
        <v>1.7500000000000002E-2</v>
      </c>
      <c r="BE9" s="124">
        <v>1.7500000000000002E-2</v>
      </c>
      <c r="BF9" s="124">
        <v>1.7500000000000002E-2</v>
      </c>
      <c r="BG9" s="124">
        <v>1.7500000000000002E-2</v>
      </c>
      <c r="BH9" s="124">
        <v>1.7500000000000002E-2</v>
      </c>
      <c r="BI9" s="124">
        <v>1.7500000000000002E-2</v>
      </c>
      <c r="BJ9" s="124">
        <v>1.7500000000000002E-2</v>
      </c>
      <c r="BK9" s="124">
        <v>1.7500000000000002E-2</v>
      </c>
      <c r="BL9" s="124">
        <v>1.7500000000000002E-2</v>
      </c>
      <c r="BM9" s="124">
        <v>1.7500000000000002E-2</v>
      </c>
      <c r="BN9" s="124">
        <v>2.5000000000000001E-2</v>
      </c>
      <c r="BO9" s="124"/>
      <c r="BP9" s="124"/>
      <c r="BQ9" s="130"/>
      <c r="BR9" s="130"/>
      <c r="BS9" s="130"/>
    </row>
    <row r="10" spans="1:71" s="1" customFormat="1" ht="12.75">
      <c r="A10" s="62" t="s">
        <v>116</v>
      </c>
      <c r="B10" s="62"/>
      <c r="C10" s="116"/>
      <c r="D10" s="116">
        <f>C13</f>
        <v>2981.19</v>
      </c>
      <c r="E10" s="116">
        <f>D13</f>
        <v>3055.3375000000001</v>
      </c>
      <c r="F10" s="116">
        <f t="shared" ref="F10:BP10" si="8">E13</f>
        <v>3037.5250000000001</v>
      </c>
      <c r="G10" s="116">
        <f t="shared" si="8"/>
        <v>3035.0225</v>
      </c>
      <c r="H10" s="116">
        <f t="shared" si="8"/>
        <v>3009.17</v>
      </c>
      <c r="I10" s="116">
        <f t="shared" si="8"/>
        <v>3009.17</v>
      </c>
      <c r="J10" s="116">
        <f t="shared" si="8"/>
        <v>3079.17</v>
      </c>
      <c r="K10" s="116">
        <f t="shared" si="8"/>
        <v>3044.7000000000003</v>
      </c>
      <c r="L10" s="116">
        <f t="shared" si="8"/>
        <v>3010.2300000000005</v>
      </c>
      <c r="M10" s="116">
        <f t="shared" si="8"/>
        <v>3068.8916065000008</v>
      </c>
      <c r="N10" s="116">
        <f t="shared" si="8"/>
        <v>3034.421606500001</v>
      </c>
      <c r="O10" s="116">
        <f t="shared" si="8"/>
        <v>2929.9516065000012</v>
      </c>
      <c r="P10" s="116">
        <f t="shared" si="8"/>
        <v>2895.4816065000014</v>
      </c>
      <c r="Q10" s="116">
        <f t="shared" si="8"/>
        <v>2861.0116065000016</v>
      </c>
      <c r="R10" s="116">
        <f t="shared" si="8"/>
        <v>2826.5416065000018</v>
      </c>
      <c r="S10" s="116">
        <f t="shared" si="8"/>
        <v>2774.8366065000018</v>
      </c>
      <c r="T10" s="116">
        <f t="shared" si="8"/>
        <v>2723.1316065000019</v>
      </c>
      <c r="U10" s="116">
        <f t="shared" si="8"/>
        <v>2671.426606500002</v>
      </c>
      <c r="V10" s="116">
        <f t="shared" si="8"/>
        <v>2619.7216065000021</v>
      </c>
      <c r="W10" s="116">
        <f t="shared" si="8"/>
        <v>2568.0166065000021</v>
      </c>
      <c r="X10" s="116">
        <f t="shared" si="8"/>
        <v>2516.3116065000022</v>
      </c>
      <c r="Y10" s="116">
        <f t="shared" si="8"/>
        <v>2464.6066065000023</v>
      </c>
      <c r="Z10" s="116">
        <f t="shared" si="8"/>
        <v>2412.9016065000023</v>
      </c>
      <c r="AA10" s="116">
        <f t="shared" si="8"/>
        <v>2356.8878565000023</v>
      </c>
      <c r="AB10" s="116">
        <f t="shared" si="8"/>
        <v>2300.8741065000022</v>
      </c>
      <c r="AC10" s="116">
        <f t="shared" si="8"/>
        <v>2244.8603565000021</v>
      </c>
      <c r="AD10" s="116">
        <f t="shared" si="8"/>
        <v>2188.8466065000021</v>
      </c>
      <c r="AE10" s="116">
        <f t="shared" si="8"/>
        <v>2128.5241065000018</v>
      </c>
      <c r="AF10" s="116">
        <f t="shared" si="8"/>
        <v>2068.2016065000016</v>
      </c>
      <c r="AG10" s="116">
        <f t="shared" si="8"/>
        <v>2007.8791065000016</v>
      </c>
      <c r="AH10" s="116">
        <f t="shared" si="8"/>
        <v>1947.5566065000016</v>
      </c>
      <c r="AI10" s="116">
        <f t="shared" si="8"/>
        <v>1895.8516065000017</v>
      </c>
      <c r="AJ10" s="116">
        <f t="shared" si="8"/>
        <v>1844.1466065000018</v>
      </c>
      <c r="AK10" s="116">
        <f t="shared" si="8"/>
        <v>1792.4416065000019</v>
      </c>
      <c r="AL10" s="116">
        <f t="shared" si="8"/>
        <v>1740.7366065000019</v>
      </c>
      <c r="AM10" s="116">
        <f t="shared" si="8"/>
        <v>1689.031606500002</v>
      </c>
      <c r="AN10" s="116">
        <f t="shared" si="8"/>
        <v>1637.3266065000021</v>
      </c>
      <c r="AO10" s="116">
        <f t="shared" si="8"/>
        <v>1585.6216065000021</v>
      </c>
      <c r="AP10" s="116">
        <f t="shared" si="8"/>
        <v>1533.9166065000022</v>
      </c>
      <c r="AQ10" s="116">
        <f t="shared" si="8"/>
        <v>1473.5941065000022</v>
      </c>
      <c r="AR10" s="116">
        <f t="shared" si="8"/>
        <v>1413.2716065000022</v>
      </c>
      <c r="AS10" s="116">
        <f t="shared" si="8"/>
        <v>1352.9491065000022</v>
      </c>
      <c r="AT10" s="116">
        <f t="shared" si="8"/>
        <v>1292.6266065000023</v>
      </c>
      <c r="AU10" s="116">
        <f t="shared" si="8"/>
        <v>1232.3041065000023</v>
      </c>
      <c r="AV10" s="116">
        <f t="shared" si="8"/>
        <v>1171.9816065000023</v>
      </c>
      <c r="AW10" s="116">
        <f t="shared" si="8"/>
        <v>1111.6591065000023</v>
      </c>
      <c r="AX10" s="116">
        <f t="shared" si="8"/>
        <v>1051.3366065000023</v>
      </c>
      <c r="AY10" s="116">
        <f t="shared" si="8"/>
        <v>991.0141065000023</v>
      </c>
      <c r="AZ10" s="116">
        <f t="shared" si="8"/>
        <v>930.69160650000231</v>
      </c>
      <c r="BA10" s="116">
        <f t="shared" si="8"/>
        <v>870.36910650000232</v>
      </c>
      <c r="BB10" s="116">
        <f t="shared" si="8"/>
        <v>810.04660650000233</v>
      </c>
      <c r="BC10" s="116">
        <f t="shared" si="8"/>
        <v>749.72410650000234</v>
      </c>
      <c r="BD10" s="116">
        <f t="shared" si="8"/>
        <v>689.40160650000234</v>
      </c>
      <c r="BE10" s="116">
        <f t="shared" si="8"/>
        <v>629.07910650000235</v>
      </c>
      <c r="BF10" s="116">
        <f t="shared" si="8"/>
        <v>568.75660650000236</v>
      </c>
      <c r="BG10" s="116">
        <f t="shared" si="8"/>
        <v>508.43410650000237</v>
      </c>
      <c r="BH10" s="116">
        <f t="shared" si="8"/>
        <v>448.11160650000238</v>
      </c>
      <c r="BI10" s="116">
        <f t="shared" si="8"/>
        <v>387.78910650000239</v>
      </c>
      <c r="BJ10" s="116">
        <f t="shared" si="8"/>
        <v>327.4666065000024</v>
      </c>
      <c r="BK10" s="116">
        <f t="shared" si="8"/>
        <v>267.14410650000241</v>
      </c>
      <c r="BL10" s="116">
        <f t="shared" si="8"/>
        <v>206.82160650000242</v>
      </c>
      <c r="BM10" s="116">
        <f t="shared" si="8"/>
        <v>111.49910650000241</v>
      </c>
      <c r="BN10" s="116">
        <f t="shared" si="8"/>
        <v>16.176606500002407</v>
      </c>
      <c r="BO10" s="116">
        <f t="shared" si="8"/>
        <v>0</v>
      </c>
      <c r="BP10" s="116">
        <f t="shared" si="8"/>
        <v>0</v>
      </c>
      <c r="BQ10" s="116">
        <f t="shared" ref="BQ10:BR10" si="9">BP13</f>
        <v>0</v>
      </c>
      <c r="BR10" s="116">
        <f t="shared" si="9"/>
        <v>0</v>
      </c>
      <c r="BS10" s="62"/>
    </row>
    <row r="11" spans="1:71" s="1" customFormat="1" ht="12.75">
      <c r="A11" s="62" t="s">
        <v>117</v>
      </c>
      <c r="B11" s="62"/>
      <c r="C11" s="116"/>
      <c r="D11" s="116">
        <v>100</v>
      </c>
      <c r="E11" s="112">
        <v>8.0399999999999991</v>
      </c>
      <c r="F11" s="112">
        <f>31.39-E11</f>
        <v>23.35</v>
      </c>
      <c r="G11" s="116"/>
      <c r="H11" s="116"/>
      <c r="I11" s="504">
        <v>70</v>
      </c>
      <c r="J11" s="116"/>
      <c r="K11" s="116"/>
      <c r="L11" s="116">
        <f>IF(Assumption!K78="Yes",(B9-B8-D11-E11-F11),(B9-B8-D11-E11)*0)</f>
        <v>93.131606499999975</v>
      </c>
      <c r="M11" s="116">
        <v>0</v>
      </c>
      <c r="N11" s="116">
        <v>0</v>
      </c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62"/>
    </row>
    <row r="12" spans="1:71" s="1" customFormat="1" ht="12.75">
      <c r="A12" s="62" t="s">
        <v>118</v>
      </c>
      <c r="B12" s="62"/>
      <c r="C12" s="116"/>
      <c r="D12" s="116">
        <f>MIN($B$9*D9,C13)</f>
        <v>25.852499999999999</v>
      </c>
      <c r="E12" s="116">
        <f t="shared" ref="E12:BP12" si="10">MIN($B$9*E9,D13)</f>
        <v>25.852499999999999</v>
      </c>
      <c r="F12" s="116">
        <f t="shared" si="10"/>
        <v>25.852499999999999</v>
      </c>
      <c r="G12" s="116">
        <f>IF(Assumption!K76="Inverse Order",Assumption!L76+MIN($B$9*G9,F13),MIN($B$9*G9,F13))</f>
        <v>25.852499999999999</v>
      </c>
      <c r="H12" s="116">
        <f t="shared" si="10"/>
        <v>0</v>
      </c>
      <c r="I12" s="116">
        <f t="shared" si="10"/>
        <v>0</v>
      </c>
      <c r="J12" s="116">
        <f t="shared" si="10"/>
        <v>34.47</v>
      </c>
      <c r="K12" s="116">
        <f t="shared" si="10"/>
        <v>34.47</v>
      </c>
      <c r="L12" s="116">
        <f t="shared" si="10"/>
        <v>34.47</v>
      </c>
      <c r="M12" s="116">
        <f t="shared" si="10"/>
        <v>34.47</v>
      </c>
      <c r="N12" s="504">
        <f>MIN($B$9*N9,M13)+70</f>
        <v>104.47</v>
      </c>
      <c r="O12" s="116">
        <f t="shared" si="10"/>
        <v>34.47</v>
      </c>
      <c r="P12" s="116">
        <f t="shared" si="10"/>
        <v>34.47</v>
      </c>
      <c r="Q12" s="116">
        <f t="shared" si="10"/>
        <v>34.47</v>
      </c>
      <c r="R12" s="116">
        <f t="shared" si="10"/>
        <v>51.704999999999998</v>
      </c>
      <c r="S12" s="116">
        <f t="shared" si="10"/>
        <v>51.704999999999998</v>
      </c>
      <c r="T12" s="116">
        <f t="shared" si="10"/>
        <v>51.704999999999998</v>
      </c>
      <c r="U12" s="116">
        <f t="shared" si="10"/>
        <v>51.704999999999998</v>
      </c>
      <c r="V12" s="116">
        <f t="shared" si="10"/>
        <v>51.704999999999998</v>
      </c>
      <c r="W12" s="116">
        <f t="shared" si="10"/>
        <v>51.704999999999998</v>
      </c>
      <c r="X12" s="116">
        <f t="shared" si="10"/>
        <v>51.704999999999998</v>
      </c>
      <c r="Y12" s="116">
        <f t="shared" si="10"/>
        <v>51.704999999999998</v>
      </c>
      <c r="Z12" s="116">
        <f t="shared" si="10"/>
        <v>56.013750000000002</v>
      </c>
      <c r="AA12" s="116">
        <f t="shared" si="10"/>
        <v>56.013750000000002</v>
      </c>
      <c r="AB12" s="116">
        <f t="shared" si="10"/>
        <v>56.013750000000002</v>
      </c>
      <c r="AC12" s="116">
        <f t="shared" si="10"/>
        <v>56.013750000000002</v>
      </c>
      <c r="AD12" s="116">
        <f t="shared" si="10"/>
        <v>60.322500000000005</v>
      </c>
      <c r="AE12" s="116">
        <f t="shared" si="10"/>
        <v>60.322500000000005</v>
      </c>
      <c r="AF12" s="116">
        <f t="shared" si="10"/>
        <v>60.322500000000005</v>
      </c>
      <c r="AG12" s="116">
        <f t="shared" si="10"/>
        <v>60.322500000000005</v>
      </c>
      <c r="AH12" s="116">
        <f t="shared" si="10"/>
        <v>51.704999999999998</v>
      </c>
      <c r="AI12" s="116">
        <f t="shared" si="10"/>
        <v>51.704999999999998</v>
      </c>
      <c r="AJ12" s="116">
        <f t="shared" si="10"/>
        <v>51.704999999999998</v>
      </c>
      <c r="AK12" s="116">
        <f t="shared" si="10"/>
        <v>51.704999999999998</v>
      </c>
      <c r="AL12" s="116">
        <f t="shared" si="10"/>
        <v>51.704999999999998</v>
      </c>
      <c r="AM12" s="116">
        <f t="shared" si="10"/>
        <v>51.704999999999998</v>
      </c>
      <c r="AN12" s="116">
        <f t="shared" si="10"/>
        <v>51.704999999999998</v>
      </c>
      <c r="AO12" s="116">
        <f t="shared" si="10"/>
        <v>51.704999999999998</v>
      </c>
      <c r="AP12" s="116">
        <f t="shared" si="10"/>
        <v>60.322500000000005</v>
      </c>
      <c r="AQ12" s="116">
        <f t="shared" si="10"/>
        <v>60.322500000000005</v>
      </c>
      <c r="AR12" s="116">
        <f t="shared" si="10"/>
        <v>60.322500000000005</v>
      </c>
      <c r="AS12" s="116">
        <f t="shared" si="10"/>
        <v>60.322500000000005</v>
      </c>
      <c r="AT12" s="116">
        <f t="shared" si="10"/>
        <v>60.322500000000005</v>
      </c>
      <c r="AU12" s="116">
        <f t="shared" si="10"/>
        <v>60.322500000000005</v>
      </c>
      <c r="AV12" s="116">
        <f t="shared" si="10"/>
        <v>60.322500000000005</v>
      </c>
      <c r="AW12" s="116">
        <f t="shared" si="10"/>
        <v>60.322500000000005</v>
      </c>
      <c r="AX12" s="116">
        <f t="shared" si="10"/>
        <v>60.322500000000005</v>
      </c>
      <c r="AY12" s="116">
        <f t="shared" si="10"/>
        <v>60.322500000000005</v>
      </c>
      <c r="AZ12" s="116">
        <f t="shared" si="10"/>
        <v>60.322500000000005</v>
      </c>
      <c r="BA12" s="116">
        <f t="shared" si="10"/>
        <v>60.322500000000005</v>
      </c>
      <c r="BB12" s="116">
        <f t="shared" si="10"/>
        <v>60.322500000000005</v>
      </c>
      <c r="BC12" s="116">
        <f t="shared" si="10"/>
        <v>60.322500000000005</v>
      </c>
      <c r="BD12" s="116">
        <f t="shared" si="10"/>
        <v>60.322500000000005</v>
      </c>
      <c r="BE12" s="116">
        <f t="shared" si="10"/>
        <v>60.322500000000005</v>
      </c>
      <c r="BF12" s="116">
        <f t="shared" si="10"/>
        <v>60.322500000000005</v>
      </c>
      <c r="BG12" s="116">
        <f t="shared" si="10"/>
        <v>60.322500000000005</v>
      </c>
      <c r="BH12" s="116">
        <f t="shared" si="10"/>
        <v>60.322500000000005</v>
      </c>
      <c r="BI12" s="116">
        <f t="shared" si="10"/>
        <v>60.322500000000005</v>
      </c>
      <c r="BJ12" s="116">
        <f t="shared" si="10"/>
        <v>60.322500000000005</v>
      </c>
      <c r="BK12" s="116">
        <f t="shared" si="10"/>
        <v>60.322500000000005</v>
      </c>
      <c r="BL12" s="116">
        <f>MIN($B$9*BL9,BK13)+35</f>
        <v>95.322500000000005</v>
      </c>
      <c r="BM12" s="116">
        <f>MIN($B$9*BM9,BL13)+35</f>
        <v>95.322500000000005</v>
      </c>
      <c r="BN12" s="116">
        <f>MIN($B$9*BN9,BM13)</f>
        <v>16.176606500002407</v>
      </c>
      <c r="BO12" s="116">
        <f t="shared" si="10"/>
        <v>0</v>
      </c>
      <c r="BP12" s="116">
        <f t="shared" si="10"/>
        <v>0</v>
      </c>
      <c r="BQ12" s="116">
        <f t="shared" ref="BQ12" si="11">MIN($B$9*BQ9,BP13)</f>
        <v>0</v>
      </c>
      <c r="BR12" s="116">
        <f t="shared" ref="BR12" si="12">$B$9*BR9</f>
        <v>0</v>
      </c>
      <c r="BS12" s="62"/>
    </row>
    <row r="13" spans="1:71" s="4" customFormat="1" ht="15.75" thickBot="1">
      <c r="A13" s="71" t="s">
        <v>119</v>
      </c>
      <c r="B13" s="72"/>
      <c r="C13" s="270">
        <v>2981.19</v>
      </c>
      <c r="D13" s="125">
        <f>D10+D11-D12</f>
        <v>3055.3375000000001</v>
      </c>
      <c r="E13" s="125">
        <f t="shared" ref="E13:BP13" si="13">E10+E11-E12</f>
        <v>3037.5250000000001</v>
      </c>
      <c r="F13" s="125">
        <f t="shared" si="13"/>
        <v>3035.0225</v>
      </c>
      <c r="G13" s="125">
        <f t="shared" si="13"/>
        <v>3009.17</v>
      </c>
      <c r="H13" s="125">
        <f t="shared" si="13"/>
        <v>3009.17</v>
      </c>
      <c r="I13" s="125">
        <f t="shared" si="13"/>
        <v>3079.17</v>
      </c>
      <c r="J13" s="125">
        <f t="shared" si="13"/>
        <v>3044.7000000000003</v>
      </c>
      <c r="K13" s="125">
        <f t="shared" si="13"/>
        <v>3010.2300000000005</v>
      </c>
      <c r="L13" s="125">
        <f t="shared" si="13"/>
        <v>3068.8916065000008</v>
      </c>
      <c r="M13" s="125">
        <f t="shared" si="13"/>
        <v>3034.421606500001</v>
      </c>
      <c r="N13" s="125">
        <f t="shared" si="13"/>
        <v>2929.9516065000012</v>
      </c>
      <c r="O13" s="125">
        <f t="shared" si="13"/>
        <v>2895.4816065000014</v>
      </c>
      <c r="P13" s="125">
        <f t="shared" si="13"/>
        <v>2861.0116065000016</v>
      </c>
      <c r="Q13" s="125">
        <f t="shared" si="13"/>
        <v>2826.5416065000018</v>
      </c>
      <c r="R13" s="125">
        <f t="shared" si="13"/>
        <v>2774.8366065000018</v>
      </c>
      <c r="S13" s="125">
        <f t="shared" si="13"/>
        <v>2723.1316065000019</v>
      </c>
      <c r="T13" s="125">
        <f t="shared" si="13"/>
        <v>2671.426606500002</v>
      </c>
      <c r="U13" s="125">
        <f t="shared" si="13"/>
        <v>2619.7216065000021</v>
      </c>
      <c r="V13" s="125">
        <f t="shared" si="13"/>
        <v>2568.0166065000021</v>
      </c>
      <c r="W13" s="125">
        <f t="shared" si="13"/>
        <v>2516.3116065000022</v>
      </c>
      <c r="X13" s="125">
        <f t="shared" si="13"/>
        <v>2464.6066065000023</v>
      </c>
      <c r="Y13" s="125">
        <f t="shared" si="13"/>
        <v>2412.9016065000023</v>
      </c>
      <c r="Z13" s="125">
        <f t="shared" si="13"/>
        <v>2356.8878565000023</v>
      </c>
      <c r="AA13" s="125">
        <f t="shared" si="13"/>
        <v>2300.8741065000022</v>
      </c>
      <c r="AB13" s="125">
        <f t="shared" si="13"/>
        <v>2244.8603565000021</v>
      </c>
      <c r="AC13" s="125">
        <f t="shared" si="13"/>
        <v>2188.8466065000021</v>
      </c>
      <c r="AD13" s="125">
        <f t="shared" si="13"/>
        <v>2128.5241065000018</v>
      </c>
      <c r="AE13" s="125">
        <f t="shared" si="13"/>
        <v>2068.2016065000016</v>
      </c>
      <c r="AF13" s="125">
        <f t="shared" si="13"/>
        <v>2007.8791065000016</v>
      </c>
      <c r="AG13" s="125">
        <f t="shared" si="13"/>
        <v>1947.5566065000016</v>
      </c>
      <c r="AH13" s="125">
        <f t="shared" si="13"/>
        <v>1895.8516065000017</v>
      </c>
      <c r="AI13" s="125">
        <f t="shared" si="13"/>
        <v>1844.1466065000018</v>
      </c>
      <c r="AJ13" s="125">
        <f t="shared" si="13"/>
        <v>1792.4416065000019</v>
      </c>
      <c r="AK13" s="125">
        <f t="shared" si="13"/>
        <v>1740.7366065000019</v>
      </c>
      <c r="AL13" s="125">
        <f t="shared" si="13"/>
        <v>1689.031606500002</v>
      </c>
      <c r="AM13" s="125">
        <f t="shared" si="13"/>
        <v>1637.3266065000021</v>
      </c>
      <c r="AN13" s="125">
        <f t="shared" si="13"/>
        <v>1585.6216065000021</v>
      </c>
      <c r="AO13" s="125">
        <f t="shared" si="13"/>
        <v>1533.9166065000022</v>
      </c>
      <c r="AP13" s="125">
        <f t="shared" si="13"/>
        <v>1473.5941065000022</v>
      </c>
      <c r="AQ13" s="125">
        <f t="shared" si="13"/>
        <v>1413.2716065000022</v>
      </c>
      <c r="AR13" s="125">
        <f t="shared" si="13"/>
        <v>1352.9491065000022</v>
      </c>
      <c r="AS13" s="125">
        <f t="shared" si="13"/>
        <v>1292.6266065000023</v>
      </c>
      <c r="AT13" s="125">
        <f t="shared" si="13"/>
        <v>1232.3041065000023</v>
      </c>
      <c r="AU13" s="125">
        <f t="shared" si="13"/>
        <v>1171.9816065000023</v>
      </c>
      <c r="AV13" s="125">
        <f t="shared" si="13"/>
        <v>1111.6591065000023</v>
      </c>
      <c r="AW13" s="125">
        <f t="shared" si="13"/>
        <v>1051.3366065000023</v>
      </c>
      <c r="AX13" s="125">
        <f t="shared" si="13"/>
        <v>991.0141065000023</v>
      </c>
      <c r="AY13" s="125">
        <f t="shared" si="13"/>
        <v>930.69160650000231</v>
      </c>
      <c r="AZ13" s="125">
        <f t="shared" si="13"/>
        <v>870.36910650000232</v>
      </c>
      <c r="BA13" s="125">
        <f t="shared" si="13"/>
        <v>810.04660650000233</v>
      </c>
      <c r="BB13" s="125">
        <f t="shared" si="13"/>
        <v>749.72410650000234</v>
      </c>
      <c r="BC13" s="125">
        <f t="shared" si="13"/>
        <v>689.40160650000234</v>
      </c>
      <c r="BD13" s="125">
        <f t="shared" si="13"/>
        <v>629.07910650000235</v>
      </c>
      <c r="BE13" s="125">
        <f t="shared" si="13"/>
        <v>568.75660650000236</v>
      </c>
      <c r="BF13" s="125">
        <f t="shared" si="13"/>
        <v>508.43410650000237</v>
      </c>
      <c r="BG13" s="125">
        <f t="shared" si="13"/>
        <v>448.11160650000238</v>
      </c>
      <c r="BH13" s="125">
        <f t="shared" si="13"/>
        <v>387.78910650000239</v>
      </c>
      <c r="BI13" s="125">
        <f t="shared" si="13"/>
        <v>327.4666065000024</v>
      </c>
      <c r="BJ13" s="125">
        <f t="shared" si="13"/>
        <v>267.14410650000241</v>
      </c>
      <c r="BK13" s="125">
        <f t="shared" si="13"/>
        <v>206.82160650000242</v>
      </c>
      <c r="BL13" s="125">
        <f t="shared" si="13"/>
        <v>111.49910650000241</v>
      </c>
      <c r="BM13" s="125">
        <f t="shared" si="13"/>
        <v>16.176606500002407</v>
      </c>
      <c r="BN13" s="125">
        <f t="shared" si="13"/>
        <v>0</v>
      </c>
      <c r="BO13" s="125">
        <f t="shared" si="13"/>
        <v>0</v>
      </c>
      <c r="BP13" s="125">
        <f t="shared" si="13"/>
        <v>0</v>
      </c>
      <c r="BQ13" s="125">
        <f t="shared" ref="BQ13" si="14">BQ10+BQ11-BQ12</f>
        <v>0</v>
      </c>
      <c r="BR13" s="125">
        <f t="shared" ref="BR13" si="15">BR10+BR11-BR12</f>
        <v>0</v>
      </c>
      <c r="BS13" s="125"/>
    </row>
    <row r="14" spans="1:71" s="1" customFormat="1" ht="13.5" thickTop="1">
      <c r="A14" s="62"/>
      <c r="B14" s="62"/>
      <c r="C14" s="11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</row>
    <row r="15" spans="1:71" s="1" customFormat="1" ht="12.75">
      <c r="A15" s="62"/>
      <c r="B15" s="62"/>
      <c r="C15" s="112"/>
      <c r="D15" s="116"/>
      <c r="E15" s="140"/>
      <c r="F15" s="140"/>
      <c r="G15" s="11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</row>
    <row r="16" spans="1:71" s="1" customFormat="1" ht="16.5" thickBot="1">
      <c r="A16" s="109" t="s">
        <v>120</v>
      </c>
      <c r="B16" s="91"/>
      <c r="C16" s="245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507"/>
      <c r="BP16" s="507"/>
      <c r="BQ16" s="91"/>
      <c r="BR16" s="91"/>
      <c r="BS16" s="91"/>
    </row>
    <row r="17" spans="1:72" s="1" customFormat="1" ht="13.5" thickTop="1">
      <c r="A17" s="128"/>
      <c r="B17" s="114">
        <v>3181.24</v>
      </c>
      <c r="C17" s="112"/>
      <c r="D17" s="126">
        <v>7.4999999999999997E-3</v>
      </c>
      <c r="E17" s="126">
        <v>7.4999999999999997E-3</v>
      </c>
      <c r="F17" s="126">
        <v>7.4999999999999997E-3</v>
      </c>
      <c r="G17" s="126">
        <v>7.4999999999999997E-3</v>
      </c>
      <c r="H17" s="503">
        <v>0</v>
      </c>
      <c r="I17" s="503">
        <v>0</v>
      </c>
      <c r="J17" s="126">
        <v>8.7500000000000008E-3</v>
      </c>
      <c r="K17" s="126">
        <v>8.7500000000000008E-3</v>
      </c>
      <c r="L17" s="126">
        <v>8.7500000000000008E-3</v>
      </c>
      <c r="M17" s="126">
        <v>8.7500000000000008E-3</v>
      </c>
      <c r="N17" s="126">
        <v>0.01</v>
      </c>
      <c r="O17" s="126">
        <v>0.01</v>
      </c>
      <c r="P17" s="126">
        <v>0.01</v>
      </c>
      <c r="Q17" s="126">
        <v>0.01</v>
      </c>
      <c r="R17" s="126">
        <v>1.2500000000000001E-2</v>
      </c>
      <c r="S17" s="126">
        <v>1.2500000000000001E-2</v>
      </c>
      <c r="T17" s="126">
        <v>1.2500000000000001E-2</v>
      </c>
      <c r="U17" s="126">
        <v>1.2500000000000001E-2</v>
      </c>
      <c r="V17" s="126">
        <v>1.4999999999999999E-2</v>
      </c>
      <c r="W17" s="126">
        <v>1.4999999999999999E-2</v>
      </c>
      <c r="X17" s="126">
        <v>1.4999999999999999E-2</v>
      </c>
      <c r="Y17" s="126">
        <v>1.4999999999999999E-2</v>
      </c>
      <c r="Z17" s="126">
        <v>1.5625E-2</v>
      </c>
      <c r="AA17" s="126">
        <v>1.5625E-2</v>
      </c>
      <c r="AB17" s="126">
        <v>1.5625E-2</v>
      </c>
      <c r="AC17" s="126">
        <v>1.5625E-2</v>
      </c>
      <c r="AD17" s="126">
        <v>1.6875000000000001E-2</v>
      </c>
      <c r="AE17" s="126">
        <v>1.6875000000000001E-2</v>
      </c>
      <c r="AF17" s="126">
        <v>1.6875000000000001E-2</v>
      </c>
      <c r="AG17" s="126">
        <v>1.6875000000000001E-2</v>
      </c>
      <c r="AH17" s="126">
        <v>1.6250000000000001E-2</v>
      </c>
      <c r="AI17" s="126">
        <v>1.6250000000000001E-2</v>
      </c>
      <c r="AJ17" s="126">
        <v>1.6250000000000001E-2</v>
      </c>
      <c r="AK17" s="126">
        <v>1.6250000000000001E-2</v>
      </c>
      <c r="AL17" s="126">
        <v>1.4999999999999999E-2</v>
      </c>
      <c r="AM17" s="126">
        <v>1.4999999999999999E-2</v>
      </c>
      <c r="AN17" s="126">
        <v>1.4999999999999999E-2</v>
      </c>
      <c r="AO17" s="126">
        <v>1.4999999999999999E-2</v>
      </c>
      <c r="AP17" s="126">
        <v>1.6250000000000001E-2</v>
      </c>
      <c r="AQ17" s="126">
        <v>1.6250000000000001E-2</v>
      </c>
      <c r="AR17" s="126">
        <v>1.6250000000000001E-2</v>
      </c>
      <c r="AS17" s="126">
        <v>1.6250000000000001E-2</v>
      </c>
      <c r="AT17" s="126">
        <v>1.7500000000000002E-2</v>
      </c>
      <c r="AU17" s="126">
        <v>1.7500000000000002E-2</v>
      </c>
      <c r="AV17" s="126">
        <v>1.7500000000000002E-2</v>
      </c>
      <c r="AW17" s="126">
        <v>1.7500000000000002E-2</v>
      </c>
      <c r="AX17" s="126">
        <v>1.7500000000000002E-2</v>
      </c>
      <c r="AY17" s="126">
        <v>1.7500000000000002E-2</v>
      </c>
      <c r="AZ17" s="126">
        <v>1.7500000000000002E-2</v>
      </c>
      <c r="BA17" s="126">
        <v>1.7500000000000002E-2</v>
      </c>
      <c r="BB17" s="126">
        <v>1.7500000000000002E-2</v>
      </c>
      <c r="BC17" s="126">
        <v>1.7500000000000002E-2</v>
      </c>
      <c r="BD17" s="126">
        <v>1.7500000000000002E-2</v>
      </c>
      <c r="BE17" s="126">
        <v>1.7500000000000002E-2</v>
      </c>
      <c r="BF17" s="126">
        <v>1.7500000000000002E-2</v>
      </c>
      <c r="BG17" s="126">
        <v>1.7500000000000002E-2</v>
      </c>
      <c r="BH17" s="126">
        <v>1.7500000000000002E-2</v>
      </c>
      <c r="BI17" s="126">
        <v>1.7500000000000002E-2</v>
      </c>
      <c r="BJ17" s="126">
        <v>1.7500000000000002E-2</v>
      </c>
      <c r="BK17" s="126">
        <v>1.7500000000000002E-2</v>
      </c>
      <c r="BL17" s="126">
        <v>1.7500000000000002E-2</v>
      </c>
      <c r="BM17" s="126">
        <v>1.7500000000000002E-2</v>
      </c>
      <c r="BN17" s="126">
        <v>0.02</v>
      </c>
      <c r="BO17" s="129">
        <v>0.02</v>
      </c>
      <c r="BP17" s="129">
        <v>0.02</v>
      </c>
      <c r="BQ17" s="129"/>
      <c r="BR17" s="129"/>
      <c r="BS17" s="129"/>
    </row>
    <row r="18" spans="1:72" s="1" customFormat="1" ht="12.75">
      <c r="A18" s="62" t="s">
        <v>116</v>
      </c>
      <c r="B18" s="62"/>
      <c r="C18" s="112"/>
      <c r="D18" s="116">
        <f>C21</f>
        <v>2824.56</v>
      </c>
      <c r="E18" s="116">
        <f>D21</f>
        <v>2809.48</v>
      </c>
      <c r="F18" s="116">
        <f t="shared" ref="F18:BQ18" si="16">E21</f>
        <v>2785.6206999999999</v>
      </c>
      <c r="G18" s="116">
        <f t="shared" si="16"/>
        <v>2860.1913999999997</v>
      </c>
      <c r="H18" s="116">
        <f t="shared" si="16"/>
        <v>2836.3320999999996</v>
      </c>
      <c r="I18" s="116">
        <f t="shared" si="16"/>
        <v>2836.3320999999996</v>
      </c>
      <c r="J18" s="116">
        <f t="shared" si="16"/>
        <v>2966.3320999999996</v>
      </c>
      <c r="K18" s="116">
        <f t="shared" si="16"/>
        <v>2895.4962499999997</v>
      </c>
      <c r="L18" s="116">
        <f t="shared" si="16"/>
        <v>2867.6603999999998</v>
      </c>
      <c r="M18" s="116">
        <f t="shared" si="16"/>
        <v>2914.2645499999999</v>
      </c>
      <c r="N18" s="116">
        <f t="shared" si="16"/>
        <v>2886.4286999999999</v>
      </c>
      <c r="O18" s="116">
        <f t="shared" si="16"/>
        <v>2724.6163000000001</v>
      </c>
      <c r="P18" s="116">
        <f t="shared" si="16"/>
        <v>2692.8039000000003</v>
      </c>
      <c r="Q18" s="116">
        <f t="shared" si="16"/>
        <v>2660.9915000000005</v>
      </c>
      <c r="R18" s="116">
        <f t="shared" si="16"/>
        <v>2629.1791000000007</v>
      </c>
      <c r="S18" s="116">
        <f t="shared" si="16"/>
        <v>2589.4136000000008</v>
      </c>
      <c r="T18" s="116">
        <f t="shared" si="16"/>
        <v>2549.6481000000008</v>
      </c>
      <c r="U18" s="116">
        <f t="shared" si="16"/>
        <v>2509.8826000000008</v>
      </c>
      <c r="V18" s="116">
        <f t="shared" si="16"/>
        <v>2470.1171000000008</v>
      </c>
      <c r="W18" s="116">
        <f t="shared" si="16"/>
        <v>2422.3985000000007</v>
      </c>
      <c r="X18" s="116">
        <f t="shared" si="16"/>
        <v>2374.6799000000005</v>
      </c>
      <c r="Y18" s="116">
        <f t="shared" si="16"/>
        <v>2326.9613000000004</v>
      </c>
      <c r="Z18" s="116">
        <f t="shared" si="16"/>
        <v>2279.2427000000002</v>
      </c>
      <c r="AA18" s="116">
        <f t="shared" si="16"/>
        <v>2229.5358250000004</v>
      </c>
      <c r="AB18" s="116">
        <f t="shared" si="16"/>
        <v>2179.8289500000005</v>
      </c>
      <c r="AC18" s="116">
        <f t="shared" si="16"/>
        <v>2130.1220750000007</v>
      </c>
      <c r="AD18" s="116">
        <f t="shared" si="16"/>
        <v>2080.4152000000008</v>
      </c>
      <c r="AE18" s="116">
        <f t="shared" si="16"/>
        <v>2026.7317750000009</v>
      </c>
      <c r="AF18" s="116">
        <f t="shared" si="16"/>
        <v>1973.0483500000009</v>
      </c>
      <c r="AG18" s="116">
        <f t="shared" si="16"/>
        <v>1919.364925000001</v>
      </c>
      <c r="AH18" s="116">
        <f t="shared" si="16"/>
        <v>1865.6815000000011</v>
      </c>
      <c r="AI18" s="116">
        <f t="shared" si="16"/>
        <v>1813.986350000001</v>
      </c>
      <c r="AJ18" s="116">
        <f t="shared" si="16"/>
        <v>1762.291200000001</v>
      </c>
      <c r="AK18" s="116">
        <f t="shared" si="16"/>
        <v>1710.596050000001</v>
      </c>
      <c r="AL18" s="116">
        <f t="shared" si="16"/>
        <v>1658.900900000001</v>
      </c>
      <c r="AM18" s="116">
        <f t="shared" si="16"/>
        <v>1611.1823000000011</v>
      </c>
      <c r="AN18" s="116">
        <f t="shared" si="16"/>
        <v>1563.4637000000012</v>
      </c>
      <c r="AO18" s="116">
        <f t="shared" si="16"/>
        <v>1515.7451000000012</v>
      </c>
      <c r="AP18" s="116">
        <f t="shared" si="16"/>
        <v>1468.0265000000013</v>
      </c>
      <c r="AQ18" s="116">
        <f t="shared" si="16"/>
        <v>1416.3313500000013</v>
      </c>
      <c r="AR18" s="116">
        <f t="shared" si="16"/>
        <v>1364.6362000000013</v>
      </c>
      <c r="AS18" s="116">
        <f t="shared" si="16"/>
        <v>1312.9410500000013</v>
      </c>
      <c r="AT18" s="116">
        <f t="shared" si="16"/>
        <v>1261.2459000000013</v>
      </c>
      <c r="AU18" s="116">
        <f t="shared" si="16"/>
        <v>1205.5742000000012</v>
      </c>
      <c r="AV18" s="116">
        <f t="shared" si="16"/>
        <v>1149.9025000000011</v>
      </c>
      <c r="AW18" s="116">
        <f t="shared" si="16"/>
        <v>1094.230800000001</v>
      </c>
      <c r="AX18" s="116">
        <f t="shared" si="16"/>
        <v>1038.5591000000009</v>
      </c>
      <c r="AY18" s="116">
        <f t="shared" si="16"/>
        <v>982.88740000000087</v>
      </c>
      <c r="AZ18" s="116">
        <f t="shared" si="16"/>
        <v>927.21570000000088</v>
      </c>
      <c r="BA18" s="116">
        <f t="shared" si="16"/>
        <v>871.54400000000089</v>
      </c>
      <c r="BB18" s="116">
        <f t="shared" si="16"/>
        <v>815.87230000000091</v>
      </c>
      <c r="BC18" s="116">
        <f t="shared" si="16"/>
        <v>760.20060000000092</v>
      </c>
      <c r="BD18" s="116">
        <f t="shared" si="16"/>
        <v>704.52890000000093</v>
      </c>
      <c r="BE18" s="116">
        <f t="shared" si="16"/>
        <v>648.85720000000094</v>
      </c>
      <c r="BF18" s="116">
        <f t="shared" si="16"/>
        <v>593.18550000000096</v>
      </c>
      <c r="BG18" s="116">
        <f t="shared" si="16"/>
        <v>537.51380000000097</v>
      </c>
      <c r="BH18" s="116">
        <f t="shared" si="16"/>
        <v>481.84210000000098</v>
      </c>
      <c r="BI18" s="116">
        <f t="shared" si="16"/>
        <v>426.170400000001</v>
      </c>
      <c r="BJ18" s="116">
        <f t="shared" si="16"/>
        <v>370.49870000000101</v>
      </c>
      <c r="BK18" s="116">
        <f t="shared" si="16"/>
        <v>314.82700000000102</v>
      </c>
      <c r="BL18" s="116">
        <f t="shared" si="16"/>
        <v>259.15530000000103</v>
      </c>
      <c r="BM18" s="116">
        <f t="shared" si="16"/>
        <v>138.48360000000105</v>
      </c>
      <c r="BN18" s="116">
        <f t="shared" si="16"/>
        <v>17.811900000001046</v>
      </c>
      <c r="BO18" s="116">
        <f t="shared" si="16"/>
        <v>0</v>
      </c>
      <c r="BP18" s="116">
        <f t="shared" si="16"/>
        <v>0</v>
      </c>
      <c r="BQ18" s="116">
        <f t="shared" si="16"/>
        <v>0</v>
      </c>
      <c r="BR18" s="116">
        <f t="shared" ref="BR18" si="17">BQ21</f>
        <v>0</v>
      </c>
      <c r="BS18" s="62"/>
    </row>
    <row r="19" spans="1:72" s="1" customFormat="1" ht="12.75">
      <c r="A19" s="62" t="s">
        <v>117</v>
      </c>
      <c r="B19" s="62"/>
      <c r="C19" s="112"/>
      <c r="D19" s="116"/>
      <c r="E19" s="112"/>
      <c r="F19" s="112">
        <f>IF(Assumption!K77="Project Cost Reduction",(98.43-75),98.43)</f>
        <v>98.43</v>
      </c>
      <c r="G19" s="116"/>
      <c r="H19" s="116"/>
      <c r="I19" s="504">
        <v>130</v>
      </c>
      <c r="J19" s="116"/>
      <c r="K19" s="116"/>
      <c r="L19" s="116">
        <f>IF(Assumption!K78="Yes",(B17-C8-E19-F19),(B17-C8-E19-F19)*0)</f>
        <v>74.439999999999884</v>
      </c>
      <c r="M19" s="116">
        <v>0</v>
      </c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62"/>
      <c r="BR19" s="62"/>
      <c r="BS19" s="62"/>
    </row>
    <row r="20" spans="1:72" s="1" customFormat="1" ht="12.75">
      <c r="A20" s="62" t="s">
        <v>118</v>
      </c>
      <c r="B20" s="62"/>
      <c r="C20" s="112"/>
      <c r="D20" s="116">
        <f>15.08</f>
        <v>15.08</v>
      </c>
      <c r="E20" s="116">
        <f>MIN($B$17*E17,D21)</f>
        <v>23.859299999999998</v>
      </c>
      <c r="F20" s="116">
        <f t="shared" ref="F20:BQ20" si="18">MIN($B$17*F17,E21)</f>
        <v>23.859299999999998</v>
      </c>
      <c r="G20" s="116">
        <f t="shared" si="18"/>
        <v>23.859299999999998</v>
      </c>
      <c r="H20" s="116">
        <f t="shared" si="18"/>
        <v>0</v>
      </c>
      <c r="I20" s="116">
        <f t="shared" si="18"/>
        <v>0</v>
      </c>
      <c r="J20" s="504">
        <f>MIN($B$17*J17,I21)+43</f>
        <v>70.835849999999994</v>
      </c>
      <c r="K20" s="116">
        <f t="shared" si="18"/>
        <v>27.835850000000001</v>
      </c>
      <c r="L20" s="116">
        <f t="shared" si="18"/>
        <v>27.835850000000001</v>
      </c>
      <c r="M20" s="116">
        <f t="shared" si="18"/>
        <v>27.835850000000001</v>
      </c>
      <c r="N20" s="504">
        <f>MIN($B$17*N17,M21)+130</f>
        <v>161.8124</v>
      </c>
      <c r="O20" s="116">
        <f t="shared" si="18"/>
        <v>31.8124</v>
      </c>
      <c r="P20" s="116">
        <f t="shared" si="18"/>
        <v>31.8124</v>
      </c>
      <c r="Q20" s="116">
        <f t="shared" si="18"/>
        <v>31.8124</v>
      </c>
      <c r="R20" s="116">
        <f t="shared" si="18"/>
        <v>39.765500000000003</v>
      </c>
      <c r="S20" s="116">
        <f t="shared" si="18"/>
        <v>39.765500000000003</v>
      </c>
      <c r="T20" s="116">
        <f t="shared" si="18"/>
        <v>39.765500000000003</v>
      </c>
      <c r="U20" s="116">
        <f t="shared" si="18"/>
        <v>39.765500000000003</v>
      </c>
      <c r="V20" s="116">
        <f t="shared" si="18"/>
        <v>47.718599999999995</v>
      </c>
      <c r="W20" s="116">
        <f t="shared" si="18"/>
        <v>47.718599999999995</v>
      </c>
      <c r="X20" s="116">
        <f t="shared" si="18"/>
        <v>47.718599999999995</v>
      </c>
      <c r="Y20" s="116">
        <f t="shared" si="18"/>
        <v>47.718599999999995</v>
      </c>
      <c r="Z20" s="116">
        <f t="shared" si="18"/>
        <v>49.706874999999997</v>
      </c>
      <c r="AA20" s="116">
        <f t="shared" si="18"/>
        <v>49.706874999999997</v>
      </c>
      <c r="AB20" s="116">
        <f t="shared" si="18"/>
        <v>49.706874999999997</v>
      </c>
      <c r="AC20" s="116">
        <f t="shared" si="18"/>
        <v>49.706874999999997</v>
      </c>
      <c r="AD20" s="116">
        <f t="shared" si="18"/>
        <v>53.683425</v>
      </c>
      <c r="AE20" s="116">
        <f t="shared" si="18"/>
        <v>53.683425</v>
      </c>
      <c r="AF20" s="116">
        <f t="shared" si="18"/>
        <v>53.683425</v>
      </c>
      <c r="AG20" s="116">
        <f t="shared" si="18"/>
        <v>53.683425</v>
      </c>
      <c r="AH20" s="116">
        <f t="shared" si="18"/>
        <v>51.695149999999998</v>
      </c>
      <c r="AI20" s="116">
        <f t="shared" si="18"/>
        <v>51.695149999999998</v>
      </c>
      <c r="AJ20" s="116">
        <f t="shared" si="18"/>
        <v>51.695149999999998</v>
      </c>
      <c r="AK20" s="116">
        <f t="shared" si="18"/>
        <v>51.695149999999998</v>
      </c>
      <c r="AL20" s="116">
        <f t="shared" si="18"/>
        <v>47.718599999999995</v>
      </c>
      <c r="AM20" s="116">
        <f t="shared" si="18"/>
        <v>47.718599999999995</v>
      </c>
      <c r="AN20" s="116">
        <f t="shared" si="18"/>
        <v>47.718599999999995</v>
      </c>
      <c r="AO20" s="116">
        <f t="shared" si="18"/>
        <v>47.718599999999995</v>
      </c>
      <c r="AP20" s="116">
        <f t="shared" si="18"/>
        <v>51.695149999999998</v>
      </c>
      <c r="AQ20" s="116">
        <f t="shared" si="18"/>
        <v>51.695149999999998</v>
      </c>
      <c r="AR20" s="116">
        <f t="shared" si="18"/>
        <v>51.695149999999998</v>
      </c>
      <c r="AS20" s="116">
        <f t="shared" si="18"/>
        <v>51.695149999999998</v>
      </c>
      <c r="AT20" s="116">
        <f t="shared" si="18"/>
        <v>55.671700000000001</v>
      </c>
      <c r="AU20" s="116">
        <f t="shared" si="18"/>
        <v>55.671700000000001</v>
      </c>
      <c r="AV20" s="116">
        <f t="shared" si="18"/>
        <v>55.671700000000001</v>
      </c>
      <c r="AW20" s="116">
        <f t="shared" si="18"/>
        <v>55.671700000000001</v>
      </c>
      <c r="AX20" s="116">
        <f t="shared" si="18"/>
        <v>55.671700000000001</v>
      </c>
      <c r="AY20" s="116">
        <f t="shared" si="18"/>
        <v>55.671700000000001</v>
      </c>
      <c r="AZ20" s="116">
        <f t="shared" si="18"/>
        <v>55.671700000000001</v>
      </c>
      <c r="BA20" s="116">
        <f t="shared" si="18"/>
        <v>55.671700000000001</v>
      </c>
      <c r="BB20" s="116">
        <f t="shared" si="18"/>
        <v>55.671700000000001</v>
      </c>
      <c r="BC20" s="116">
        <f t="shared" si="18"/>
        <v>55.671700000000001</v>
      </c>
      <c r="BD20" s="116">
        <f t="shared" si="18"/>
        <v>55.671700000000001</v>
      </c>
      <c r="BE20" s="116">
        <f t="shared" si="18"/>
        <v>55.671700000000001</v>
      </c>
      <c r="BF20" s="116">
        <f t="shared" si="18"/>
        <v>55.671700000000001</v>
      </c>
      <c r="BG20" s="116">
        <f t="shared" si="18"/>
        <v>55.671700000000001</v>
      </c>
      <c r="BH20" s="116">
        <f t="shared" si="18"/>
        <v>55.671700000000001</v>
      </c>
      <c r="BI20" s="116">
        <f t="shared" si="18"/>
        <v>55.671700000000001</v>
      </c>
      <c r="BJ20" s="116">
        <f t="shared" si="18"/>
        <v>55.671700000000001</v>
      </c>
      <c r="BK20" s="116">
        <f t="shared" si="18"/>
        <v>55.671700000000001</v>
      </c>
      <c r="BL20" s="116">
        <f>MIN($B$17*BL17,BK21)+65</f>
        <v>120.6717</v>
      </c>
      <c r="BM20" s="116">
        <f>MIN($B$17*BM17,BL21)+65</f>
        <v>120.6717</v>
      </c>
      <c r="BN20" s="116">
        <f>MIN($B$17*BN17,BM21)</f>
        <v>17.811900000001046</v>
      </c>
      <c r="BO20" s="116">
        <f>MIN($B$17*BO17,BN21)</f>
        <v>0</v>
      </c>
      <c r="BP20" s="116">
        <f>MIN($B$17*BP17,BO21)</f>
        <v>0</v>
      </c>
      <c r="BQ20" s="116">
        <f t="shared" si="18"/>
        <v>0</v>
      </c>
      <c r="BR20" s="116">
        <f t="shared" ref="BR20:BS20" si="19">MIN($B$17*BR17,BQ21)</f>
        <v>0</v>
      </c>
      <c r="BS20" s="116">
        <f t="shared" si="19"/>
        <v>0</v>
      </c>
    </row>
    <row r="21" spans="1:72" s="4" customFormat="1" ht="15.75" thickBot="1">
      <c r="A21" s="71" t="s">
        <v>119</v>
      </c>
      <c r="B21" s="72"/>
      <c r="C21" s="270">
        <f>2809.54+15.02</f>
        <v>2824.56</v>
      </c>
      <c r="D21" s="125">
        <f>D18+D19-D20</f>
        <v>2809.48</v>
      </c>
      <c r="E21" s="125">
        <f t="shared" ref="E21" si="20">E18+E19-E20</f>
        <v>2785.6206999999999</v>
      </c>
      <c r="F21" s="125">
        <f t="shared" ref="F21" si="21">F18+F19-F20</f>
        <v>2860.1913999999997</v>
      </c>
      <c r="G21" s="125">
        <f t="shared" ref="G21" si="22">G18+G19-G20</f>
        <v>2836.3320999999996</v>
      </c>
      <c r="H21" s="125">
        <f t="shared" ref="H21" si="23">H18+H19-H20</f>
        <v>2836.3320999999996</v>
      </c>
      <c r="I21" s="125">
        <f t="shared" ref="I21" si="24">I18+I19-I20</f>
        <v>2966.3320999999996</v>
      </c>
      <c r="J21" s="125">
        <f t="shared" ref="J21" si="25">J18+J19-J20</f>
        <v>2895.4962499999997</v>
      </c>
      <c r="K21" s="125">
        <f t="shared" ref="K21" si="26">K18+K19-K20</f>
        <v>2867.6603999999998</v>
      </c>
      <c r="L21" s="125">
        <f t="shared" ref="L21" si="27">L18+L19-L20</f>
        <v>2914.2645499999999</v>
      </c>
      <c r="M21" s="125">
        <f t="shared" ref="M21" si="28">M18+M19-M20</f>
        <v>2886.4286999999999</v>
      </c>
      <c r="N21" s="125">
        <f t="shared" ref="N21" si="29">N18+N19-N20</f>
        <v>2724.6163000000001</v>
      </c>
      <c r="O21" s="125">
        <f t="shared" ref="O21" si="30">O18+O19-O20</f>
        <v>2692.8039000000003</v>
      </c>
      <c r="P21" s="125">
        <f t="shared" ref="P21" si="31">P18+P19-P20</f>
        <v>2660.9915000000005</v>
      </c>
      <c r="Q21" s="125">
        <f t="shared" ref="Q21" si="32">Q18+Q19-Q20</f>
        <v>2629.1791000000007</v>
      </c>
      <c r="R21" s="125">
        <f t="shared" ref="R21" si="33">R18+R19-R20</f>
        <v>2589.4136000000008</v>
      </c>
      <c r="S21" s="125">
        <f t="shared" ref="S21" si="34">S18+S19-S20</f>
        <v>2549.6481000000008</v>
      </c>
      <c r="T21" s="125">
        <f t="shared" ref="T21" si="35">T18+T19-T20</f>
        <v>2509.8826000000008</v>
      </c>
      <c r="U21" s="125">
        <f t="shared" ref="U21" si="36">U18+U19-U20</f>
        <v>2470.1171000000008</v>
      </c>
      <c r="V21" s="125">
        <f t="shared" ref="V21" si="37">V18+V19-V20</f>
        <v>2422.3985000000007</v>
      </c>
      <c r="W21" s="125">
        <f t="shared" ref="W21" si="38">W18+W19-W20</f>
        <v>2374.6799000000005</v>
      </c>
      <c r="X21" s="125">
        <f t="shared" ref="X21" si="39">X18+X19-X20</f>
        <v>2326.9613000000004</v>
      </c>
      <c r="Y21" s="125">
        <f t="shared" ref="Y21" si="40">Y18+Y19-Y20</f>
        <v>2279.2427000000002</v>
      </c>
      <c r="Z21" s="125">
        <f t="shared" ref="Z21" si="41">Z18+Z19-Z20</f>
        <v>2229.5358250000004</v>
      </c>
      <c r="AA21" s="125">
        <f t="shared" ref="AA21" si="42">AA18+AA19-AA20</f>
        <v>2179.8289500000005</v>
      </c>
      <c r="AB21" s="125">
        <f t="shared" ref="AB21" si="43">AB18+AB19-AB20</f>
        <v>2130.1220750000007</v>
      </c>
      <c r="AC21" s="125">
        <f t="shared" ref="AC21" si="44">AC18+AC19-AC20</f>
        <v>2080.4152000000008</v>
      </c>
      <c r="AD21" s="125">
        <f t="shared" ref="AD21" si="45">AD18+AD19-AD20</f>
        <v>2026.7317750000009</v>
      </c>
      <c r="AE21" s="125">
        <f t="shared" ref="AE21" si="46">AE18+AE19-AE20</f>
        <v>1973.0483500000009</v>
      </c>
      <c r="AF21" s="125">
        <f t="shared" ref="AF21" si="47">AF18+AF19-AF20</f>
        <v>1919.364925000001</v>
      </c>
      <c r="AG21" s="125">
        <f t="shared" ref="AG21" si="48">AG18+AG19-AG20</f>
        <v>1865.6815000000011</v>
      </c>
      <c r="AH21" s="125">
        <f t="shared" ref="AH21" si="49">AH18+AH19-AH20</f>
        <v>1813.986350000001</v>
      </c>
      <c r="AI21" s="125">
        <f t="shared" ref="AI21" si="50">AI18+AI19-AI20</f>
        <v>1762.291200000001</v>
      </c>
      <c r="AJ21" s="125">
        <f t="shared" ref="AJ21" si="51">AJ18+AJ19-AJ20</f>
        <v>1710.596050000001</v>
      </c>
      <c r="AK21" s="125">
        <f t="shared" ref="AK21" si="52">AK18+AK19-AK20</f>
        <v>1658.900900000001</v>
      </c>
      <c r="AL21" s="125">
        <f t="shared" ref="AL21" si="53">AL18+AL19-AL20</f>
        <v>1611.1823000000011</v>
      </c>
      <c r="AM21" s="125">
        <f t="shared" ref="AM21" si="54">AM18+AM19-AM20</f>
        <v>1563.4637000000012</v>
      </c>
      <c r="AN21" s="125">
        <f t="shared" ref="AN21" si="55">AN18+AN19-AN20</f>
        <v>1515.7451000000012</v>
      </c>
      <c r="AO21" s="125">
        <f t="shared" ref="AO21" si="56">AO18+AO19-AO20</f>
        <v>1468.0265000000013</v>
      </c>
      <c r="AP21" s="125">
        <f t="shared" ref="AP21" si="57">AP18+AP19-AP20</f>
        <v>1416.3313500000013</v>
      </c>
      <c r="AQ21" s="125">
        <f t="shared" ref="AQ21" si="58">AQ18+AQ19-AQ20</f>
        <v>1364.6362000000013</v>
      </c>
      <c r="AR21" s="125">
        <f t="shared" ref="AR21" si="59">AR18+AR19-AR20</f>
        <v>1312.9410500000013</v>
      </c>
      <c r="AS21" s="125">
        <f t="shared" ref="AS21" si="60">AS18+AS19-AS20</f>
        <v>1261.2459000000013</v>
      </c>
      <c r="AT21" s="125">
        <f t="shared" ref="AT21" si="61">AT18+AT19-AT20</f>
        <v>1205.5742000000012</v>
      </c>
      <c r="AU21" s="125">
        <f t="shared" ref="AU21" si="62">AU18+AU19-AU20</f>
        <v>1149.9025000000011</v>
      </c>
      <c r="AV21" s="125">
        <f t="shared" ref="AV21" si="63">AV18+AV19-AV20</f>
        <v>1094.230800000001</v>
      </c>
      <c r="AW21" s="125">
        <f t="shared" ref="AW21" si="64">AW18+AW19-AW20</f>
        <v>1038.5591000000009</v>
      </c>
      <c r="AX21" s="125">
        <f t="shared" ref="AX21" si="65">AX18+AX19-AX20</f>
        <v>982.88740000000087</v>
      </c>
      <c r="AY21" s="125">
        <f t="shared" ref="AY21" si="66">AY18+AY19-AY20</f>
        <v>927.21570000000088</v>
      </c>
      <c r="AZ21" s="125">
        <f t="shared" ref="AZ21" si="67">AZ18+AZ19-AZ20</f>
        <v>871.54400000000089</v>
      </c>
      <c r="BA21" s="125">
        <f t="shared" ref="BA21" si="68">BA18+BA19-BA20</f>
        <v>815.87230000000091</v>
      </c>
      <c r="BB21" s="125">
        <f t="shared" ref="BB21" si="69">BB18+BB19-BB20</f>
        <v>760.20060000000092</v>
      </c>
      <c r="BC21" s="125">
        <f t="shared" ref="BC21" si="70">BC18+BC19-BC20</f>
        <v>704.52890000000093</v>
      </c>
      <c r="BD21" s="125">
        <f t="shared" ref="BD21" si="71">BD18+BD19-BD20</f>
        <v>648.85720000000094</v>
      </c>
      <c r="BE21" s="125">
        <f t="shared" ref="BE21" si="72">BE18+BE19-BE20</f>
        <v>593.18550000000096</v>
      </c>
      <c r="BF21" s="125">
        <f t="shared" ref="BF21" si="73">BF18+BF19-BF20</f>
        <v>537.51380000000097</v>
      </c>
      <c r="BG21" s="125">
        <f t="shared" ref="BG21" si="74">BG18+BG19-BG20</f>
        <v>481.84210000000098</v>
      </c>
      <c r="BH21" s="125">
        <f t="shared" ref="BH21" si="75">BH18+BH19-BH20</f>
        <v>426.170400000001</v>
      </c>
      <c r="BI21" s="125">
        <f t="shared" ref="BI21" si="76">BI18+BI19-BI20</f>
        <v>370.49870000000101</v>
      </c>
      <c r="BJ21" s="125">
        <f t="shared" ref="BJ21" si="77">BJ18+BJ19-BJ20</f>
        <v>314.82700000000102</v>
      </c>
      <c r="BK21" s="125">
        <f t="shared" ref="BK21" si="78">BK18+BK19-BK20</f>
        <v>259.15530000000103</v>
      </c>
      <c r="BL21" s="125">
        <f t="shared" ref="BL21" si="79">BL18+BL19-BL20</f>
        <v>138.48360000000105</v>
      </c>
      <c r="BM21" s="125">
        <f t="shared" ref="BM21" si="80">BM18+BM19-BM20</f>
        <v>17.811900000001046</v>
      </c>
      <c r="BN21" s="125">
        <f t="shared" ref="BN21" si="81">BN18+BN19-BN20</f>
        <v>0</v>
      </c>
      <c r="BO21" s="125">
        <f t="shared" ref="BO21" si="82">BO18+BO19-BO20</f>
        <v>0</v>
      </c>
      <c r="BP21" s="125">
        <f t="shared" ref="BP21" si="83">BP18+BP19-BP20</f>
        <v>0</v>
      </c>
      <c r="BQ21" s="125">
        <f t="shared" ref="BQ21" si="84">BQ18+BQ19-BQ20</f>
        <v>0</v>
      </c>
      <c r="BR21" s="125">
        <f t="shared" ref="BR21" si="85">BR18+BR19-BR20</f>
        <v>0</v>
      </c>
      <c r="BS21" s="125"/>
    </row>
    <row r="22" spans="1:72" s="1" customFormat="1" ht="13.5" thickTop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</row>
    <row r="23" spans="1:72" s="4" customFormat="1">
      <c r="A23" s="37" t="s">
        <v>172</v>
      </c>
      <c r="B23" s="50"/>
      <c r="C23" s="67">
        <f>C21+C13</f>
        <v>5805.75</v>
      </c>
      <c r="D23" s="10">
        <f t="shared" ref="D23:BO23" si="86">D21+D13</f>
        <v>5864.8175000000001</v>
      </c>
      <c r="E23" s="10">
        <f t="shared" si="86"/>
        <v>5823.1457</v>
      </c>
      <c r="F23" s="10">
        <f t="shared" si="86"/>
        <v>5895.2138999999997</v>
      </c>
      <c r="G23" s="10">
        <f t="shared" si="86"/>
        <v>5845.5020999999997</v>
      </c>
      <c r="H23" s="10">
        <f t="shared" si="86"/>
        <v>5845.5020999999997</v>
      </c>
      <c r="I23" s="10">
        <f t="shared" si="86"/>
        <v>6045.5020999999997</v>
      </c>
      <c r="J23" s="10">
        <f t="shared" si="86"/>
        <v>5940.19625</v>
      </c>
      <c r="K23" s="10">
        <f t="shared" si="86"/>
        <v>5877.8904000000002</v>
      </c>
      <c r="L23" s="10">
        <f t="shared" si="86"/>
        <v>5983.1561565000011</v>
      </c>
      <c r="M23" s="10">
        <f t="shared" si="86"/>
        <v>5920.8503065000004</v>
      </c>
      <c r="N23" s="10">
        <f t="shared" si="86"/>
        <v>5654.5679065000013</v>
      </c>
      <c r="O23" s="10">
        <f t="shared" si="86"/>
        <v>5588.2855065000022</v>
      </c>
      <c r="P23" s="10">
        <f t="shared" si="86"/>
        <v>5522.0031065000021</v>
      </c>
      <c r="Q23" s="10">
        <f t="shared" si="86"/>
        <v>5455.7207065000021</v>
      </c>
      <c r="R23" s="10">
        <f t="shared" si="86"/>
        <v>5364.2502065000026</v>
      </c>
      <c r="S23" s="10">
        <f t="shared" si="86"/>
        <v>5272.7797065000032</v>
      </c>
      <c r="T23" s="10">
        <f t="shared" si="86"/>
        <v>5181.3092065000028</v>
      </c>
      <c r="U23" s="10">
        <f t="shared" si="86"/>
        <v>5089.8387065000024</v>
      </c>
      <c r="V23" s="10">
        <f t="shared" si="86"/>
        <v>4990.4151065000024</v>
      </c>
      <c r="W23" s="10">
        <f t="shared" si="86"/>
        <v>4890.9915065000023</v>
      </c>
      <c r="X23" s="10">
        <f t="shared" si="86"/>
        <v>4791.5679065000022</v>
      </c>
      <c r="Y23" s="10">
        <f t="shared" si="86"/>
        <v>4692.1443065000021</v>
      </c>
      <c r="Z23" s="10">
        <f t="shared" si="86"/>
        <v>4586.4236815000022</v>
      </c>
      <c r="AA23" s="10">
        <f t="shared" si="86"/>
        <v>4480.7030565000023</v>
      </c>
      <c r="AB23" s="10">
        <f t="shared" si="86"/>
        <v>4374.9824315000023</v>
      </c>
      <c r="AC23" s="10">
        <f t="shared" si="86"/>
        <v>4269.2618065000024</v>
      </c>
      <c r="AD23" s="10">
        <f t="shared" si="86"/>
        <v>4155.2558815000029</v>
      </c>
      <c r="AE23" s="10">
        <f t="shared" si="86"/>
        <v>4041.2499565000026</v>
      </c>
      <c r="AF23" s="10">
        <f t="shared" si="86"/>
        <v>3927.2440315000026</v>
      </c>
      <c r="AG23" s="10">
        <f t="shared" si="86"/>
        <v>3813.2381065000027</v>
      </c>
      <c r="AH23" s="10">
        <f t="shared" si="86"/>
        <v>3709.8379565000027</v>
      </c>
      <c r="AI23" s="10">
        <f t="shared" si="86"/>
        <v>3606.4378065000028</v>
      </c>
      <c r="AJ23" s="10">
        <f t="shared" si="86"/>
        <v>3503.0376565000029</v>
      </c>
      <c r="AK23" s="10">
        <f t="shared" si="86"/>
        <v>3399.6375065000029</v>
      </c>
      <c r="AL23" s="10">
        <f t="shared" si="86"/>
        <v>3300.2139065000028</v>
      </c>
      <c r="AM23" s="10">
        <f t="shared" si="86"/>
        <v>3200.7903065000032</v>
      </c>
      <c r="AN23" s="10">
        <f t="shared" si="86"/>
        <v>3101.3667065000036</v>
      </c>
      <c r="AO23" s="10">
        <f t="shared" si="86"/>
        <v>3001.9431065000035</v>
      </c>
      <c r="AP23" s="10">
        <f t="shared" si="86"/>
        <v>2889.9254565000037</v>
      </c>
      <c r="AQ23" s="10">
        <f t="shared" si="86"/>
        <v>2777.9078065000035</v>
      </c>
      <c r="AR23" s="10">
        <f t="shared" si="86"/>
        <v>2665.8901565000033</v>
      </c>
      <c r="AS23" s="10">
        <f t="shared" si="86"/>
        <v>2553.8725065000035</v>
      </c>
      <c r="AT23" s="10">
        <f t="shared" si="86"/>
        <v>2437.8783065000034</v>
      </c>
      <c r="AU23" s="10">
        <f t="shared" si="86"/>
        <v>2321.8841065000033</v>
      </c>
      <c r="AV23" s="10">
        <f t="shared" si="86"/>
        <v>2205.8899065000032</v>
      </c>
      <c r="AW23" s="10">
        <f t="shared" si="86"/>
        <v>2089.8957065000031</v>
      </c>
      <c r="AX23" s="10">
        <f t="shared" si="86"/>
        <v>1973.9015065000031</v>
      </c>
      <c r="AY23" s="10">
        <f t="shared" si="86"/>
        <v>1857.9073065000032</v>
      </c>
      <c r="AZ23" s="10">
        <f t="shared" si="86"/>
        <v>1741.9131065000033</v>
      </c>
      <c r="BA23" s="10">
        <f t="shared" si="86"/>
        <v>1625.9189065000032</v>
      </c>
      <c r="BB23" s="10">
        <f t="shared" si="86"/>
        <v>1509.9247065000031</v>
      </c>
      <c r="BC23" s="10">
        <f t="shared" si="86"/>
        <v>1393.9305065000033</v>
      </c>
      <c r="BD23" s="10">
        <f t="shared" si="86"/>
        <v>1277.9363065000034</v>
      </c>
      <c r="BE23" s="10">
        <f t="shared" si="86"/>
        <v>1161.9421065000033</v>
      </c>
      <c r="BF23" s="10">
        <f t="shared" si="86"/>
        <v>1045.9479065000032</v>
      </c>
      <c r="BG23" s="10">
        <f t="shared" si="86"/>
        <v>929.95370650000336</v>
      </c>
      <c r="BH23" s="10">
        <f t="shared" si="86"/>
        <v>813.95950650000339</v>
      </c>
      <c r="BI23" s="10">
        <f t="shared" si="86"/>
        <v>697.96530650000341</v>
      </c>
      <c r="BJ23" s="10">
        <f t="shared" si="86"/>
        <v>581.97110650000343</v>
      </c>
      <c r="BK23" s="10">
        <f t="shared" si="86"/>
        <v>465.97690650000345</v>
      </c>
      <c r="BL23" s="10">
        <f t="shared" si="86"/>
        <v>249.98270650000347</v>
      </c>
      <c r="BM23" s="10">
        <f t="shared" si="86"/>
        <v>33.988506500003453</v>
      </c>
      <c r="BN23" s="10">
        <f t="shared" si="86"/>
        <v>0</v>
      </c>
      <c r="BO23" s="10">
        <f t="shared" si="86"/>
        <v>0</v>
      </c>
      <c r="BP23" s="10">
        <f t="shared" ref="BP23:BS23" si="87">BP21+BP13</f>
        <v>0</v>
      </c>
      <c r="BQ23" s="10">
        <f t="shared" si="87"/>
        <v>0</v>
      </c>
      <c r="BR23" s="10">
        <f t="shared" si="87"/>
        <v>0</v>
      </c>
      <c r="BS23" s="10">
        <f t="shared" si="87"/>
        <v>0</v>
      </c>
    </row>
    <row r="24" spans="1:72" s="1" customFormat="1" ht="12.75">
      <c r="A24" s="62" t="s">
        <v>683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</row>
    <row r="25" spans="1:72" s="4" customFormat="1" ht="15.75" thickBot="1">
      <c r="A25" s="71" t="s">
        <v>121</v>
      </c>
      <c r="B25" s="127">
        <f>Assumption!K13</f>
        <v>9.6000000000000002E-2</v>
      </c>
      <c r="C25" s="73"/>
      <c r="D25" s="121">
        <f>AVERAGE(C23:D23)*$B$25*(D6-C6)/365</f>
        <v>139.66312010958907</v>
      </c>
      <c r="E25" s="121">
        <f t="shared" ref="E25:BP25" si="88">AVERAGE(D23:E23)*$B$25*(E6-D6)/365</f>
        <v>141.40834381150685</v>
      </c>
      <c r="F25" s="121">
        <f t="shared" si="88"/>
        <v>141.77609861260274</v>
      </c>
      <c r="G25" s="121">
        <f t="shared" si="88"/>
        <v>140.50259585753426</v>
      </c>
      <c r="H25" s="121">
        <f t="shared" si="88"/>
        <v>139.90768861808218</v>
      </c>
      <c r="I25" s="121">
        <f t="shared" si="88"/>
        <v>143.86486177315066</v>
      </c>
      <c r="J25" s="121">
        <f t="shared" si="88"/>
        <v>145.01053127013699</v>
      </c>
      <c r="K25" s="121">
        <f t="shared" si="88"/>
        <v>139.87434062465752</v>
      </c>
      <c r="L25" s="121">
        <f t="shared" si="88"/>
        <v>141.94260646244385</v>
      </c>
      <c r="M25" s="121">
        <f t="shared" si="88"/>
        <v>144.02217134413152</v>
      </c>
      <c r="N25" s="121">
        <f t="shared" si="88"/>
        <v>140.04670364002195</v>
      </c>
      <c r="O25" s="121">
        <f t="shared" si="88"/>
        <v>133.06610066893154</v>
      </c>
      <c r="P25" s="121">
        <f t="shared" si="88"/>
        <v>132.95819359338086</v>
      </c>
      <c r="Q25" s="121">
        <f t="shared" si="88"/>
        <v>132.81542015947403</v>
      </c>
      <c r="R25" s="121">
        <f t="shared" si="88"/>
        <v>130.90682616933705</v>
      </c>
      <c r="S25" s="121">
        <f t="shared" si="88"/>
        <v>125.89580609358912</v>
      </c>
      <c r="T25" s="121">
        <f t="shared" si="88"/>
        <v>125.10537088214802</v>
      </c>
      <c r="U25" s="121">
        <f t="shared" si="88"/>
        <v>124.26681968166582</v>
      </c>
      <c r="V25" s="121">
        <f t="shared" si="88"/>
        <v>121.95726257043293</v>
      </c>
      <c r="W25" s="121">
        <f t="shared" si="88"/>
        <v>118.25201119338088</v>
      </c>
      <c r="X25" s="121">
        <f t="shared" si="88"/>
        <v>115.87238223557267</v>
      </c>
      <c r="Y25" s="121">
        <f t="shared" si="88"/>
        <v>114.7399263907069</v>
      </c>
      <c r="Z25" s="121">
        <f t="shared" si="88"/>
        <v>112.2579622876932</v>
      </c>
      <c r="AA25" s="121">
        <f t="shared" si="88"/>
        <v>107.31503426893156</v>
      </c>
      <c r="AB25" s="121">
        <f t="shared" si="88"/>
        <v>105.97708003173705</v>
      </c>
      <c r="AC25" s="121">
        <f t="shared" si="88"/>
        <v>104.58351384933704</v>
      </c>
      <c r="AD25" s="121">
        <f t="shared" si="88"/>
        <v>101.92512358961103</v>
      </c>
      <c r="AE25" s="121">
        <f t="shared" si="88"/>
        <v>97.010699233315123</v>
      </c>
      <c r="AF25" s="121">
        <f t="shared" si="88"/>
        <v>95.359949971463081</v>
      </c>
      <c r="AG25" s="121">
        <f t="shared" si="88"/>
        <v>93.649230469611027</v>
      </c>
      <c r="AH25" s="121">
        <f t="shared" si="88"/>
        <v>91.018914778652132</v>
      </c>
      <c r="AI25" s="121">
        <f t="shared" si="88"/>
        <v>86.592633688109643</v>
      </c>
      <c r="AJ25" s="121">
        <f t="shared" si="88"/>
        <v>85.079969376394587</v>
      </c>
      <c r="AK25" s="121">
        <f t="shared" si="88"/>
        <v>83.512913752898683</v>
      </c>
      <c r="AL25" s="121">
        <f t="shared" si="88"/>
        <v>81.059024218652127</v>
      </c>
      <c r="AM25" s="121">
        <f t="shared" si="88"/>
        <v>77.798318910641157</v>
      </c>
      <c r="AN25" s="121">
        <f t="shared" si="88"/>
        <v>75.418689952832963</v>
      </c>
      <c r="AO25" s="121">
        <f t="shared" si="88"/>
        <v>73.841688038926122</v>
      </c>
      <c r="AP25" s="121">
        <f t="shared" si="88"/>
        <v>71.283538559474067</v>
      </c>
      <c r="AQ25" s="121">
        <f t="shared" si="88"/>
        <v>67.082300537424757</v>
      </c>
      <c r="AR25" s="121">
        <f t="shared" si="88"/>
        <v>65.146601376394585</v>
      </c>
      <c r="AS25" s="121">
        <f t="shared" si="88"/>
        <v>63.151977862487755</v>
      </c>
      <c r="AT25" s="121">
        <f t="shared" si="88"/>
        <v>60.393346822487757</v>
      </c>
      <c r="AU25" s="121">
        <f t="shared" si="88"/>
        <v>56.334722257972686</v>
      </c>
      <c r="AV25" s="121">
        <f t="shared" si="88"/>
        <v>54.184429832285012</v>
      </c>
      <c r="AW25" s="121">
        <f t="shared" si="88"/>
        <v>51.973121279474057</v>
      </c>
      <c r="AX25" s="121">
        <f t="shared" si="88"/>
        <v>49.166379431802817</v>
      </c>
      <c r="AY25" s="121">
        <f t="shared" si="88"/>
        <v>45.351819375780899</v>
      </c>
      <c r="AZ25" s="121">
        <f t="shared" si="88"/>
        <v>43.079494695846655</v>
      </c>
      <c r="BA25" s="121">
        <f t="shared" si="88"/>
        <v>40.746153888789117</v>
      </c>
      <c r="BB25" s="121">
        <f t="shared" si="88"/>
        <v>37.939412041117883</v>
      </c>
      <c r="BC25" s="121">
        <f t="shared" si="88"/>
        <v>34.750793343517884</v>
      </c>
      <c r="BD25" s="121">
        <f t="shared" si="88"/>
        <v>31.974559559408306</v>
      </c>
      <c r="BE25" s="121">
        <f t="shared" si="88"/>
        <v>29.519186498104194</v>
      </c>
      <c r="BF25" s="121">
        <f t="shared" si="88"/>
        <v>26.712444650432953</v>
      </c>
      <c r="BG25" s="121">
        <f t="shared" si="88"/>
        <v>23.386013611397338</v>
      </c>
      <c r="BH25" s="121">
        <f t="shared" si="88"/>
        <v>20.869624422969942</v>
      </c>
      <c r="BI25" s="121">
        <f t="shared" si="88"/>
        <v>18.292219107419264</v>
      </c>
      <c r="BJ25" s="121">
        <f t="shared" si="88"/>
        <v>15.485477259748029</v>
      </c>
      <c r="BK25" s="121">
        <f t="shared" si="88"/>
        <v>12.403110729205562</v>
      </c>
      <c r="BL25" s="121">
        <f t="shared" si="88"/>
        <v>8.5679769577644667</v>
      </c>
      <c r="BM25" s="121">
        <f t="shared" si="88"/>
        <v>3.4356626756384396</v>
      </c>
      <c r="BN25" s="121">
        <f t="shared" si="88"/>
        <v>0.41121436905209652</v>
      </c>
      <c r="BO25" s="121">
        <f t="shared" si="88"/>
        <v>0</v>
      </c>
      <c r="BP25" s="121">
        <f t="shared" si="88"/>
        <v>0</v>
      </c>
      <c r="BQ25" s="121">
        <f t="shared" ref="BQ25:BR25" si="89">AVERAGE(BP23:BQ23)*$B$25*(BQ6-BP6)/365</f>
        <v>0</v>
      </c>
      <c r="BR25" s="121">
        <f t="shared" si="89"/>
        <v>0</v>
      </c>
      <c r="BS25" s="74"/>
    </row>
    <row r="26" spans="1:72" s="1" customFormat="1" ht="13.5" thickTop="1">
      <c r="A26" s="62" t="s">
        <v>660</v>
      </c>
      <c r="B26" s="62"/>
      <c r="C26" s="115"/>
      <c r="D26" s="112">
        <f>SUMIF('FGD Phasing'!$E$6:$AC$6,'Finance Cost'!D6,'FGD Phasing'!$E$79:$AC$79)</f>
        <v>0</v>
      </c>
      <c r="E26" s="112">
        <f>SUMIF('FGD Phasing'!$E$6:$AC$6,'Finance Cost'!E6,'FGD Phasing'!$E$78:$AC$78)</f>
        <v>0</v>
      </c>
      <c r="F26" s="112">
        <f>SUMIF('FGD Phasing'!$E$6:$AC$6,'Finance Cost'!F6,'FGD Phasing'!$E$78:$AC$78)</f>
        <v>0</v>
      </c>
      <c r="G26" s="112">
        <f>SUMIF('FGD Phasing'!$E$6:$AC$6,'Finance Cost'!G6,'FGD Phasing'!$E$78:$AC$78)</f>
        <v>0</v>
      </c>
      <c r="H26" s="112">
        <f>SUMIF('FGD Phasing'!$E$6:$AC$6,'Finance Cost'!H6,'FGD Phasing'!$E$78:$AC$78)</f>
        <v>0</v>
      </c>
      <c r="I26" s="112">
        <f ca="1">SUMIF('FGD Phasing'!$E$6:$AC$6,'Finance Cost'!I6,'FGD Phasing'!$E$78:$AC$78)</f>
        <v>23.778105152145262</v>
      </c>
      <c r="J26" s="112">
        <f ca="1">SUMIF('FGD Phasing'!$E$6:$AC$6,'Finance Cost'!J6,'FGD Phasing'!$E$78:$AC$78)</f>
        <v>24.082465692297642</v>
      </c>
      <c r="K26" s="112">
        <f ca="1">SUMIF('FGD Phasing'!$E$6:$AC$6,'Finance Cost'!K6,'FGD Phasing'!$E$78:$AC$78)</f>
        <v>36.623310151422672</v>
      </c>
      <c r="L26" s="112">
        <f ca="1">SUMIF('FGD Phasing'!$E$6:$AC$6,'Finance Cost'!L6,'FGD Phasing'!$E$78:$AC$78)</f>
        <v>73.767033971971657</v>
      </c>
      <c r="M26" s="112">
        <f ca="1">SUMIF('FGD Phasing'!$E$6:$AC$6,'Finance Cost'!M6,'FGD Phasing'!$E$78:$AC$78)</f>
        <v>62.315305617376055</v>
      </c>
      <c r="N26" s="112">
        <f ca="1">SUMIF('FGD Phasing'!$E$6:$AC$6,'Finance Cost'!N6,'FGD Phasing'!$E$78:$AC$79)</f>
        <v>65.579592173411598</v>
      </c>
      <c r="O26" s="112">
        <f ca="1">SUMIF('FGD Phasing'!$E$6:$AC$6,'Finance Cost'!O6,'FGD Phasing'!$E$78:$AC$79)</f>
        <v>45.574399837722652</v>
      </c>
      <c r="P26" s="112">
        <f ca="1">SUMIF('FGD Phasing'!$E$6:$AC$6,'Finance Cost'!P6,'FGD Phasing'!$E$78:$AC$79)</f>
        <v>46.11845848969331</v>
      </c>
      <c r="Q26" s="112">
        <f ca="1">SUMIF('FGD Phasing'!$E$6:$AC$6,'Finance Cost'!Q6,'FGD Phasing'!$E$78:$AC$79)</f>
        <v>69.113701140281123</v>
      </c>
      <c r="R26" s="112">
        <f>SUMIF('FGD Phasing'!$E$6:$AC$6,'Finance Cost'!R6,'FGD Phasing'!$E$78:$AC$79)</f>
        <v>0</v>
      </c>
      <c r="S26" s="112">
        <f>SUMIF('FGD Phasing'!$E$6:$AC$6,'Finance Cost'!S6,'FGD Phasing'!$E$78:$AC$79)</f>
        <v>0</v>
      </c>
      <c r="T26" s="112">
        <f>SUMIF('FGD Phasing'!$E$6:$AC$6,'Finance Cost'!T6,'FGD Phasing'!$E$78:$AC$79)</f>
        <v>0</v>
      </c>
      <c r="U26" s="112">
        <f>SUMIF('FGD Phasing'!$E$6:$AC$6,'Finance Cost'!U6,'FGD Phasing'!$E$78:$AC$79)</f>
        <v>0</v>
      </c>
      <c r="V26" s="112">
        <f>SUMIF('FGD Phasing'!$E$6:$AC$6,'Finance Cost'!V6,'FGD Phasing'!$E$78:$AC$79)</f>
        <v>0</v>
      </c>
      <c r="W26" s="112">
        <f>SUMIF('FGD Phasing'!$E$6:$AC$6,'Finance Cost'!W6,'FGD Phasing'!$E$78:$AC$79)</f>
        <v>0</v>
      </c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</row>
    <row r="27" spans="1:72" s="1" customFormat="1" ht="12.75">
      <c r="B27" s="62"/>
      <c r="C27" s="115"/>
      <c r="D27" s="140"/>
      <c r="E27" s="140">
        <f>D27+E26</f>
        <v>0</v>
      </c>
      <c r="F27" s="140">
        <f>E27+F26</f>
        <v>0</v>
      </c>
      <c r="G27" s="140">
        <f>F27+G26</f>
        <v>0</v>
      </c>
      <c r="H27" s="140">
        <f t="shared" ref="H27:K27" si="90">G27+H26</f>
        <v>0</v>
      </c>
      <c r="I27" s="140">
        <f t="shared" ca="1" si="90"/>
        <v>23.778105152145262</v>
      </c>
      <c r="J27" s="140">
        <f t="shared" ca="1" si="90"/>
        <v>47.860570844442904</v>
      </c>
      <c r="K27" s="140">
        <f t="shared" ca="1" si="90"/>
        <v>84.483880995865576</v>
      </c>
      <c r="L27" s="140">
        <f ca="1">K27+L26-L11-L19</f>
        <v>-9.3206915321626411</v>
      </c>
      <c r="M27" s="140">
        <f t="shared" ref="M27" ca="1" si="91">L27+M26</f>
        <v>52.994614085213414</v>
      </c>
      <c r="N27" s="140">
        <f t="shared" ref="N27" ca="1" si="92">M27+N26</f>
        <v>118.57420625862501</v>
      </c>
      <c r="O27" s="140">
        <f t="shared" ref="O27" ca="1" si="93">N27+O26</f>
        <v>164.14860609634766</v>
      </c>
      <c r="P27" s="140">
        <f t="shared" ref="P27" ca="1" si="94">O27+P26</f>
        <v>210.26706458604099</v>
      </c>
      <c r="Q27" s="140">
        <f t="shared" ref="Q27" ca="1" si="95">P27+Q26</f>
        <v>279.38076572632212</v>
      </c>
      <c r="R27" s="140">
        <f t="shared" ref="R27" ca="1" si="96">Q27+R26</f>
        <v>279.38076572632212</v>
      </c>
      <c r="S27" s="140">
        <f t="shared" ref="S27" ca="1" si="97">R27+S26</f>
        <v>279.38076572632212</v>
      </c>
      <c r="T27" s="140">
        <f t="shared" ref="T27" ca="1" si="98">S27+T26</f>
        <v>279.38076572632212</v>
      </c>
      <c r="U27" s="140">
        <f t="shared" ref="U27" ca="1" si="99">T27+U26</f>
        <v>279.38076572632212</v>
      </c>
      <c r="V27" s="140">
        <f t="shared" ref="V27" ca="1" si="100">U27+V26</f>
        <v>279.38076572632212</v>
      </c>
      <c r="W27" s="140">
        <f t="shared" ref="W27" ca="1" si="101">V27+W26</f>
        <v>279.38076572632212</v>
      </c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</row>
    <row r="28" spans="1:72" s="1" customFormat="1" ht="13.5" thickBot="1">
      <c r="A28" s="62" t="s">
        <v>380</v>
      </c>
      <c r="B28" s="62"/>
      <c r="C28" s="62"/>
      <c r="D28" s="115">
        <f>D23+D26</f>
        <v>5864.8175000000001</v>
      </c>
      <c r="E28" s="115">
        <f t="shared" ref="E28:F28" si="102">E23+E26</f>
        <v>5823.1457</v>
      </c>
      <c r="F28" s="115">
        <f t="shared" si="102"/>
        <v>5895.2138999999997</v>
      </c>
      <c r="G28" s="115">
        <f>G23+G27</f>
        <v>5845.5020999999997</v>
      </c>
      <c r="H28" s="115">
        <f t="shared" ref="H28:L28" si="103">H23+H27</f>
        <v>5845.5020999999997</v>
      </c>
      <c r="I28" s="115">
        <f t="shared" ca="1" si="103"/>
        <v>6069.2802051521448</v>
      </c>
      <c r="J28" s="115">
        <f t="shared" ca="1" si="103"/>
        <v>5988.0568208444429</v>
      </c>
      <c r="K28" s="115">
        <f t="shared" ca="1" si="103"/>
        <v>5962.3742809958658</v>
      </c>
      <c r="L28" s="115">
        <f t="shared" ca="1" si="103"/>
        <v>5973.8354649678386</v>
      </c>
      <c r="M28" s="115">
        <f t="shared" ref="M28" ca="1" si="104">M23+M27</f>
        <v>5973.8449205852139</v>
      </c>
      <c r="N28" s="115">
        <f t="shared" ref="N28" ca="1" si="105">N23+N27</f>
        <v>5773.1421127586264</v>
      </c>
      <c r="O28" s="115">
        <f t="shared" ref="O28" ca="1" si="106">O23+O27</f>
        <v>5752.4341125963501</v>
      </c>
      <c r="P28" s="115">
        <f t="shared" ref="P28" ca="1" si="107">P23+P27</f>
        <v>5732.2701710860429</v>
      </c>
      <c r="Q28" s="115">
        <f t="shared" ref="Q28" ca="1" si="108">Q23+Q27</f>
        <v>5735.1014722263244</v>
      </c>
      <c r="R28" s="115">
        <f t="shared" ref="R28" ca="1" si="109">R23+R27</f>
        <v>5643.630972226325</v>
      </c>
      <c r="S28" s="115">
        <f t="shared" ref="S28" ca="1" si="110">S23+S27</f>
        <v>5552.1604722263255</v>
      </c>
      <c r="T28" s="115">
        <f t="shared" ref="T28" ca="1" si="111">T23+T27</f>
        <v>5460.6899722263252</v>
      </c>
      <c r="U28" s="115">
        <f t="shared" ref="U28" ca="1" si="112">U23+U27</f>
        <v>5369.2194722263248</v>
      </c>
      <c r="V28" s="115">
        <f t="shared" ref="V28" ca="1" si="113">V23+V27</f>
        <v>5269.7958722263247</v>
      </c>
      <c r="W28" s="115">
        <f t="shared" ref="W28" ca="1" si="114">W23+W27</f>
        <v>5170.3722722263246</v>
      </c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</row>
    <row r="29" spans="1:72" s="1" customFormat="1" ht="13.5" thickTop="1">
      <c r="A29" s="258" t="s">
        <v>116</v>
      </c>
      <c r="B29" s="258"/>
      <c r="C29" s="258"/>
      <c r="D29" s="261">
        <f>C32</f>
        <v>32.090000000000003</v>
      </c>
      <c r="E29" s="259">
        <f>D32</f>
        <v>31.234964414722366</v>
      </c>
      <c r="F29" s="259">
        <f t="shared" ref="F29:BK29" si="115">E32</f>
        <v>30.376674955209719</v>
      </c>
      <c r="G29" s="259">
        <f t="shared" si="115"/>
        <v>29.507763165497423</v>
      </c>
      <c r="H29" s="259">
        <f t="shared" si="115"/>
        <v>28.655543585039009</v>
      </c>
      <c r="I29" s="259">
        <f t="shared" si="115"/>
        <v>27.803324004580595</v>
      </c>
      <c r="J29" s="259">
        <f t="shared" si="115"/>
        <v>26.912260823748355</v>
      </c>
      <c r="K29" s="259">
        <f t="shared" si="115"/>
        <v>26.036718961759298</v>
      </c>
      <c r="L29" s="259">
        <f t="shared" si="115"/>
        <v>25.189194409298587</v>
      </c>
      <c r="M29" s="259">
        <f t="shared" si="115"/>
        <v>24.31690615376796</v>
      </c>
      <c r="N29" s="259">
        <f t="shared" si="115"/>
        <v>23.444215743596498</v>
      </c>
      <c r="O29" s="259">
        <f t="shared" si="115"/>
        <v>22.610773428689718</v>
      </c>
      <c r="P29" s="259">
        <f t="shared" si="115"/>
        <v>21.805006588784181</v>
      </c>
      <c r="Q29" s="259">
        <f t="shared" si="115"/>
        <v>20.999950138507398</v>
      </c>
      <c r="R29" s="259">
        <f t="shared" si="115"/>
        <v>20.19581645927731</v>
      </c>
      <c r="S29" s="259">
        <f t="shared" si="115"/>
        <v>19.40516486860399</v>
      </c>
      <c r="T29" s="259">
        <f t="shared" si="115"/>
        <v>18.644890355663883</v>
      </c>
      <c r="U29" s="259">
        <f t="shared" si="115"/>
        <v>17.889503892251483</v>
      </c>
      <c r="V29" s="259">
        <f t="shared" si="115"/>
        <v>17.13929856724846</v>
      </c>
      <c r="W29" s="259">
        <f t="shared" si="115"/>
        <v>16.403747560083787</v>
      </c>
      <c r="X29" s="259">
        <f t="shared" si="115"/>
        <v>15.690686704337093</v>
      </c>
      <c r="Y29" s="259">
        <f t="shared" si="115"/>
        <v>14.992120880365285</v>
      </c>
      <c r="Z29" s="259">
        <f t="shared" si="115"/>
        <v>14.300532826715649</v>
      </c>
      <c r="AA29" s="259">
        <f t="shared" si="115"/>
        <v>13.624527226737161</v>
      </c>
      <c r="AB29" s="259">
        <f t="shared" si="115"/>
        <v>12.978461105349545</v>
      </c>
      <c r="AC29" s="259">
        <f t="shared" si="115"/>
        <v>12.340629550676789</v>
      </c>
      <c r="AD29" s="259">
        <f t="shared" si="115"/>
        <v>11.711371311711742</v>
      </c>
      <c r="AE29" s="259">
        <f t="shared" si="115"/>
        <v>11.098916719571038</v>
      </c>
      <c r="AF29" s="259">
        <f t="shared" si="115"/>
        <v>10.516214707848512</v>
      </c>
      <c r="AG29" s="259">
        <f t="shared" si="115"/>
        <v>9.9436592278183635</v>
      </c>
      <c r="AH29" s="259">
        <f t="shared" si="115"/>
        <v>9.3816155761506881</v>
      </c>
      <c r="AI29" s="259">
        <f t="shared" si="115"/>
        <v>8.8348123569621499</v>
      </c>
      <c r="AJ29" s="259">
        <f t="shared" si="115"/>
        <v>8.3148052830073009</v>
      </c>
      <c r="AK29" s="259">
        <f t="shared" si="115"/>
        <v>7.8040951282795392</v>
      </c>
      <c r="AL29" s="259">
        <f t="shared" si="115"/>
        <v>7.3030132065284112</v>
      </c>
      <c r="AM29" s="259">
        <f t="shared" si="115"/>
        <v>6.8165856026156302</v>
      </c>
      <c r="AN29" s="259">
        <f t="shared" si="115"/>
        <v>6.3499402870420045</v>
      </c>
      <c r="AO29" s="259">
        <f t="shared" si="115"/>
        <v>5.8977900032432649</v>
      </c>
      <c r="AP29" s="259">
        <f t="shared" si="115"/>
        <v>5.4553253528455237</v>
      </c>
      <c r="AQ29" s="259">
        <f t="shared" si="115"/>
        <v>5.0293712919517297</v>
      </c>
      <c r="AR29" s="259">
        <f t="shared" si="115"/>
        <v>4.6288287655920977</v>
      </c>
      <c r="AS29" s="259">
        <f t="shared" si="115"/>
        <v>4.2401668932919154</v>
      </c>
      <c r="AT29" s="259">
        <f t="shared" si="115"/>
        <v>3.8637446009099641</v>
      </c>
      <c r="AU29" s="259">
        <f t="shared" si="115"/>
        <v>3.5044190126727508</v>
      </c>
      <c r="AV29" s="259">
        <f t="shared" si="115"/>
        <v>3.1696298869301116</v>
      </c>
      <c r="AW29" s="259">
        <f t="shared" si="115"/>
        <v>2.8480317524165883</v>
      </c>
      <c r="AX29" s="259">
        <f t="shared" si="115"/>
        <v>2.5399962766135884</v>
      </c>
      <c r="AY29" s="259">
        <f t="shared" si="115"/>
        <v>2.2490575049553261</v>
      </c>
      <c r="AZ29" s="259">
        <f t="shared" si="115"/>
        <v>1.9811685258660088</v>
      </c>
      <c r="BA29" s="259">
        <f t="shared" si="115"/>
        <v>1.7272138729686222</v>
      </c>
      <c r="BB29" s="259">
        <f t="shared" si="115"/>
        <v>1.4875652137445734</v>
      </c>
      <c r="BC29" s="259">
        <f t="shared" si="115"/>
        <v>1.2650132586652625</v>
      </c>
      <c r="BD29" s="259">
        <f t="shared" si="115"/>
        <v>1.0617912169799781</v>
      </c>
      <c r="BE29" s="259">
        <f t="shared" si="115"/>
        <v>0.87548004569872795</v>
      </c>
      <c r="BF29" s="259">
        <f t="shared" si="115"/>
        <v>0.70421820305363036</v>
      </c>
      <c r="BG29" s="259">
        <f t="shared" si="115"/>
        <v>0.55005306455327063</v>
      </c>
      <c r="BH29" s="259">
        <f t="shared" si="115"/>
        <v>0.41596437877059689</v>
      </c>
      <c r="BI29" s="259">
        <f t="shared" si="115"/>
        <v>0.29729668910548313</v>
      </c>
      <c r="BJ29" s="259">
        <f t="shared" si="115"/>
        <v>0.19442166303933672</v>
      </c>
      <c r="BK29" s="259">
        <f t="shared" si="115"/>
        <v>0.10864334111792814</v>
      </c>
      <c r="BL29" s="259">
        <f t="shared" ref="BL29" si="116">BK32</f>
        <v>4.1454801988576276E-2</v>
      </c>
      <c r="BM29" s="259">
        <f t="shared" ref="BM29" si="117">BL32</f>
        <v>5.0096594480763396E-3</v>
      </c>
      <c r="BN29" s="259">
        <f t="shared" ref="BN29" si="118">BM32</f>
        <v>0</v>
      </c>
      <c r="BO29" s="259">
        <f t="shared" ref="BO29" si="119">BN32</f>
        <v>0</v>
      </c>
      <c r="BP29" s="259">
        <f t="shared" ref="BP29" si="120">BO32</f>
        <v>0</v>
      </c>
      <c r="BQ29" s="259">
        <f t="shared" ref="BQ29" si="121">BP32</f>
        <v>0</v>
      </c>
      <c r="BR29" s="259">
        <f t="shared" ref="BR29" si="122">BQ32</f>
        <v>0</v>
      </c>
      <c r="BS29" s="259">
        <f t="shared" ref="BS29" si="123">BR32</f>
        <v>0</v>
      </c>
    </row>
    <row r="30" spans="1:72" s="1" customFormat="1" ht="12.75">
      <c r="A30" s="62" t="s">
        <v>382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</row>
    <row r="31" spans="1:72" s="1" customFormat="1" ht="12.75">
      <c r="A31" s="62" t="s">
        <v>381</v>
      </c>
      <c r="B31" s="62"/>
      <c r="C31" s="62"/>
      <c r="D31" s="112">
        <f>IFERROR(D29*(D23*D8)/SUMPRODUCT(D8:$BR$8,D23:$BR$23),0)</f>
        <v>0.85503558527763868</v>
      </c>
      <c r="E31" s="112">
        <f>IFERROR(E29*(E23*E8)/SUMPRODUCT(E8:$BR$8,E23:$BR$23),0)</f>
        <v>0.85828945951264923</v>
      </c>
      <c r="F31" s="112">
        <f>IFERROR(F29*(F23*F8)/SUMPRODUCT(F8:$BR$8,F23:$BR$23),0)</f>
        <v>0.86891178971229543</v>
      </c>
      <c r="G31" s="112">
        <f>IFERROR(G29*(G23*G8)/SUMPRODUCT(G8:$BR$8,G23:$BR$23),0)</f>
        <v>0.85221958045841406</v>
      </c>
      <c r="H31" s="112">
        <f>IFERROR(H29*(H23*H8)/SUMPRODUCT(H8:$BR$8,H23:$BR$23),0)</f>
        <v>0.85221958045841384</v>
      </c>
      <c r="I31" s="112">
        <f>IFERROR(I29*(I23*I8)/SUMPRODUCT(I8:$BR$8,I23:$BR$23),0)</f>
        <v>0.89106318083224068</v>
      </c>
      <c r="J31" s="112">
        <f>IFERROR(J29*(J23*J8)/SUMPRODUCT(J8:$BR$8,J23:$BR$23),0)</f>
        <v>0.87554186198905604</v>
      </c>
      <c r="K31" s="112">
        <f>IFERROR(K29*(K23*K8)/SUMPRODUCT(K8:$BR$8,K23:$BR$23),0)</f>
        <v>0.84752455246071046</v>
      </c>
      <c r="L31" s="112">
        <f>IFERROR(L29*(L23*L8)/SUMPRODUCT(L8:$BR$8,L23:$BR$23),0)</f>
        <v>0.87228825553062528</v>
      </c>
      <c r="M31" s="112">
        <f>IFERROR(M29*(M23*M8)/SUMPRODUCT(M8:$BR$8,M23:$BR$23),0)</f>
        <v>0.87269041017146221</v>
      </c>
      <c r="N31" s="112">
        <f>IFERROR(N29*(N23*N8)/SUMPRODUCT(N8:$BR$8,N23:$BR$23),0)</f>
        <v>0.83344231490677922</v>
      </c>
      <c r="O31" s="112">
        <f>IFERROR(O29*(O23*O8)/SUMPRODUCT(O8:$BR$8,O23:$BR$23),0)</f>
        <v>0.8057668399055361</v>
      </c>
      <c r="P31" s="112">
        <f>IFERROR(P29*(P23*P8)/SUMPRODUCT(P8:$BR$8,P23:$BR$23),0)</f>
        <v>0.80505645027678463</v>
      </c>
      <c r="Q31" s="112">
        <f>IFERROR(Q29*(Q23*Q8)/SUMPRODUCT(Q8:$BR$8,Q23:$BR$23),0)</f>
        <v>0.80413367923008594</v>
      </c>
      <c r="R31" s="112">
        <f>IFERROR(R29*(R23*R8)/SUMPRODUCT(R8:$BR$8,R23:$BR$23),0)</f>
        <v>0.7906515906733198</v>
      </c>
      <c r="S31" s="112">
        <f>IFERROR(S29*(S23*S8)/SUMPRODUCT(S8:$BR$8,S23:$BR$23),0)</f>
        <v>0.76027451294010684</v>
      </c>
      <c r="T31" s="112">
        <f>IFERROR(T29*(T23*T8)/SUMPRODUCT(T8:$BR$8,T23:$BR$23),0)</f>
        <v>0.75538646341239846</v>
      </c>
      <c r="U31" s="112">
        <f>IFERROR(U29*(U23*U8)/SUMPRODUCT(U8:$BR$8,U23:$BR$23),0)</f>
        <v>0.75020532500302128</v>
      </c>
      <c r="V31" s="112">
        <f>IFERROR(V29*(V23*V8)/SUMPRODUCT(V8:$BR$8,V23:$BR$23),0)</f>
        <v>0.73555100716467459</v>
      </c>
      <c r="W31" s="112">
        <f>IFERROR(W29*(W23*W8)/SUMPRODUCT(W8:$BR$8,W23:$BR$23),0)</f>
        <v>0.71306085574669387</v>
      </c>
      <c r="X31" s="112">
        <f>IFERROR(X29*(X23*X8)/SUMPRODUCT(X8:$BR$8,X23:$BR$23),0)</f>
        <v>0.69856582397180755</v>
      </c>
      <c r="Y31" s="112">
        <f>IFERROR(Y29*(Y23*Y8)/SUMPRODUCT(Y8:$BR$8,Y23:$BR$23),0)</f>
        <v>0.69158805364963438</v>
      </c>
      <c r="Z31" s="112">
        <f>IFERROR(Z29*(Z23*Z8)/SUMPRODUCT(Z8:$BR$8,Z23:$BR$23),0)</f>
        <v>0.6760055999784873</v>
      </c>
      <c r="AA31" s="112">
        <f>IFERROR(AA29*(AA23*AA8)/SUMPRODUCT(AA8:$BR$8,AA23:$BR$23),0)</f>
        <v>0.64606612138761543</v>
      </c>
      <c r="AB31" s="112">
        <f>IFERROR(AB29*(AB23*AB8)/SUMPRODUCT(AB8:$BR$8,AB23:$BR$23),0)</f>
        <v>0.63783155467275643</v>
      </c>
      <c r="AC31" s="112">
        <f>IFERROR(AC29*(AC23*AC8)/SUMPRODUCT(AC8:$BR$8,AC23:$BR$23),0)</f>
        <v>0.62925823896504629</v>
      </c>
      <c r="AD31" s="112">
        <f>IFERROR(AD29*(AD23*AD8)/SUMPRODUCT(AD8:$BR$8,AD23:$BR$23),0)</f>
        <v>0.61245459214070364</v>
      </c>
      <c r="AE31" s="112">
        <f>IFERROR(AE29*(AE23*AE8)/SUMPRODUCT(AE8:$BR$8,AE23:$BR$23),0)</f>
        <v>0.58270201172252689</v>
      </c>
      <c r="AF31" s="112">
        <f>IFERROR(AF29*(AF23*AF8)/SUMPRODUCT(AF8:$BR$8,AF23:$BR$23),0)</f>
        <v>0.57255548003014856</v>
      </c>
      <c r="AG31" s="112">
        <f>IFERROR(AG29*(AG23*AG8)/SUMPRODUCT(AG8:$BR$8,AG23:$BR$23),0)</f>
        <v>0.56204365166767556</v>
      </c>
      <c r="AH31" s="112">
        <f>IFERROR(AH29*(AH23*AH8)/SUMPRODUCT(AH8:$BR$8,AH23:$BR$23),0)</f>
        <v>0.5468032191885388</v>
      </c>
      <c r="AI31" s="112">
        <f>IFERROR(AI29*(AI23*AI8)/SUMPRODUCT(AI8:$BR$8,AI23:$BR$23),0)</f>
        <v>0.52000707395484957</v>
      </c>
      <c r="AJ31" s="112">
        <f>IFERROR(AJ29*(AJ23*AJ8)/SUMPRODUCT(AJ8:$BR$8,AJ23:$BR$23),0)</f>
        <v>0.51071015472776204</v>
      </c>
      <c r="AK31" s="112">
        <f>IFERROR(AK29*(AK23*AK8)/SUMPRODUCT(AK8:$BR$8,AK23:$BR$23),0)</f>
        <v>0.50108192175112809</v>
      </c>
      <c r="AL31" s="112">
        <f>IFERROR(AL29*(AL23*AL8)/SUMPRODUCT(AL8:$BR$8,AL23:$BR$23),0)</f>
        <v>0.48642760391278123</v>
      </c>
      <c r="AM31" s="112">
        <f>IFERROR(AM29*(AM23*AM8)/SUMPRODUCT(AM8:$BR$8,AM23:$BR$23),0)</f>
        <v>0.46664531557362549</v>
      </c>
      <c r="AN31" s="112">
        <f>IFERROR(AN29*(AN23*AN8)/SUMPRODUCT(AN8:$BR$8,AN23:$BR$23),0)</f>
        <v>0.45215028379873928</v>
      </c>
      <c r="AO31" s="112">
        <f>IFERROR(AO29*(AO23*AO8)/SUMPRODUCT(AO8:$BR$8,AO23:$BR$23),0)</f>
        <v>0.44246465039774135</v>
      </c>
      <c r="AP31" s="112">
        <f>IFERROR(AP29*(AP23*AP8)/SUMPRODUCT(AP8:$BR$8,AP23:$BR$23),0)</f>
        <v>0.42595406089379384</v>
      </c>
      <c r="AQ31" s="112">
        <f>IFERROR(AQ29*(AQ23*AQ8)/SUMPRODUCT(AQ8:$BR$8,AQ23:$BR$23),0)</f>
        <v>0.40054252635963217</v>
      </c>
      <c r="AR31" s="112">
        <f>IFERROR(AR29*(AR23*AR8)/SUMPRODUCT(AR8:$BR$8,AR23:$BR$23),0)</f>
        <v>0.38866187230018251</v>
      </c>
      <c r="AS31" s="112">
        <f>IFERROR(AS29*(AS23*AS8)/SUMPRODUCT(AS8:$BR$8,AS23:$BR$23),0)</f>
        <v>0.37642229238195124</v>
      </c>
      <c r="AT31" s="112">
        <f>IFERROR(AT29*(AT23*AT8)/SUMPRODUCT(AT8:$BR$8,AT23:$BR$23),0)</f>
        <v>0.35932558823721344</v>
      </c>
      <c r="AU31" s="112">
        <f>IFERROR(AU29*(AU23*AU8)/SUMPRODUCT(AU8:$BR$8,AU23:$BR$23),0)</f>
        <v>0.33478912574263919</v>
      </c>
      <c r="AV31" s="112">
        <f>IFERROR(AV29*(AV23*AV8)/SUMPRODUCT(AV8:$BR$8,AV23:$BR$23),0)</f>
        <v>0.3215981345135232</v>
      </c>
      <c r="AW31" s="112">
        <f>IFERROR(AW29*(AW23*AW8)/SUMPRODUCT(AW8:$BR$8,AW23:$BR$23),0)</f>
        <v>0.30803547580299995</v>
      </c>
      <c r="AX31" s="112">
        <f>IFERROR(AX29*(AX23*AX8)/SUMPRODUCT(AX8:$BR$8,AX23:$BR$23),0)</f>
        <v>0.2909387716582621</v>
      </c>
      <c r="AY31" s="112">
        <f>IFERROR(AY29*(AY23*AY8)/SUMPRODUCT(AY8:$BR$8,AY23:$BR$23),0)</f>
        <v>0.26788897908931736</v>
      </c>
      <c r="AZ31" s="112">
        <f>IFERROR(AZ29*(AZ23*AZ8)/SUMPRODUCT(AZ8:$BR$8,AZ23:$BR$23),0)</f>
        <v>0.25395465289738667</v>
      </c>
      <c r="BA31" s="112">
        <f>IFERROR(BA29*(BA23*BA8)/SUMPRODUCT(BA8:$BR$8,BA23:$BR$23),0)</f>
        <v>0.23964865922404877</v>
      </c>
      <c r="BB31" s="112">
        <f>IFERROR(BB29*(BB23*BB8)/SUMPRODUCT(BB8:$BR$8,BB23:$BR$23),0)</f>
        <v>0.22255195507931094</v>
      </c>
      <c r="BC31" s="112">
        <f>IFERROR(BC29*(BC23*BC8)/SUMPRODUCT(BC8:$BR$8,BC23:$BR$23),0)</f>
        <v>0.20322204168528438</v>
      </c>
      <c r="BD31" s="112">
        <f>IFERROR(BD29*(BD23*BD8)/SUMPRODUCT(BD8:$BR$8,BD23:$BR$23),0)</f>
        <v>0.18631117128125024</v>
      </c>
      <c r="BE31" s="112">
        <f>IFERROR(BE29*(BE23*BE8)/SUMPRODUCT(BE8:$BR$8,BE23:$BR$23),0)</f>
        <v>0.17126184264509764</v>
      </c>
      <c r="BF31" s="112">
        <f>IFERROR(BF29*(BF23*BF8)/SUMPRODUCT(BF8:$BR$8,BF23:$BR$23),0)</f>
        <v>0.15416513850035976</v>
      </c>
      <c r="BG31" s="112">
        <f>IFERROR(BG29*(BG23*BG8)/SUMPRODUCT(BG8:$BR$8,BG23:$BR$23),0)</f>
        <v>0.13408868578267372</v>
      </c>
      <c r="BH31" s="112">
        <f>IFERROR(BH29*(BH23*BH8)/SUMPRODUCT(BH8:$BR$8,BH23:$BR$23),0)</f>
        <v>0.11866768966511373</v>
      </c>
      <c r="BI31" s="112">
        <f>IFERROR(BI29*(BI23*BI8)/SUMPRODUCT(BI8:$BR$8,BI23:$BR$23),0)</f>
        <v>0.1028750260661464</v>
      </c>
      <c r="BJ31" s="112">
        <f>IFERROR(BJ29*(BJ23*BJ8)/SUMPRODUCT(BJ8:$BR$8,BJ23:$BR$23),0)</f>
        <v>8.5778321921408579E-2</v>
      </c>
      <c r="BK31" s="112">
        <f>IFERROR(BK29*(BK23*BK8)/SUMPRODUCT(BK8:$BR$8,BK23:$BR$23),0)</f>
        <v>6.7188539129351868E-2</v>
      </c>
      <c r="BL31" s="112">
        <f>IFERROR(BL29*(BL23*BL8)/SUMPRODUCT(BL8:$BR$8,BL23:$BR$23),0)</f>
        <v>3.6445142540499936E-2</v>
      </c>
      <c r="BM31" s="112">
        <f>IFERROR(BM29*(BM23*BM8)/SUMPRODUCT(BM8:$BR$8,BM23:$BR$23),0)</f>
        <v>5.0096594480763396E-3</v>
      </c>
      <c r="BN31" s="112">
        <f>IFERROR(BN29*(BN23*BN8)/SUMPRODUCT(BN8:$BR$8,BN23:$BR$23),0)</f>
        <v>0</v>
      </c>
      <c r="BO31" s="112">
        <f>IFERROR(BO29*(BO23*BO8)/SUMPRODUCT(BO8:$BR$8,BO23:$BR$23),0)</f>
        <v>0</v>
      </c>
      <c r="BP31" s="112">
        <f>IFERROR(BP29*(BP23*BP8)/SUMPRODUCT(BP8:$BR$8,BP23:$BR$23),0)</f>
        <v>0</v>
      </c>
      <c r="BQ31" s="112">
        <f>IFERROR(BQ29*(BQ23*BQ8)/SUMPRODUCT(BQ8:$BR$8,BQ23:$BR$23),0)</f>
        <v>0</v>
      </c>
      <c r="BR31" s="112">
        <f>IFERROR(BR29*(BR23*BR8)/SUMPRODUCT(BR8:$BR$8,BR23:$BR$23),0)</f>
        <v>0</v>
      </c>
      <c r="BS31" s="112">
        <f>IFERROR(BS29*(BS23*BS8)/SUMPRODUCT($BR8:BS$8,$BR23:BS$23),0)</f>
        <v>0</v>
      </c>
      <c r="BT31" s="257"/>
    </row>
    <row r="32" spans="1:72" s="4" customFormat="1" ht="15.75" thickBot="1">
      <c r="A32" s="71" t="s">
        <v>119</v>
      </c>
      <c r="B32" s="72"/>
      <c r="C32" s="125">
        <v>32.090000000000003</v>
      </c>
      <c r="D32" s="125">
        <f>D29-D31</f>
        <v>31.234964414722366</v>
      </c>
      <c r="E32" s="125">
        <f>E29-E31</f>
        <v>30.376674955209719</v>
      </c>
      <c r="F32" s="125">
        <f t="shared" ref="F32:BQ32" si="124">F29-F31</f>
        <v>29.507763165497423</v>
      </c>
      <c r="G32" s="125">
        <f t="shared" si="124"/>
        <v>28.655543585039009</v>
      </c>
      <c r="H32" s="125">
        <f t="shared" si="124"/>
        <v>27.803324004580595</v>
      </c>
      <c r="I32" s="125">
        <f t="shared" si="124"/>
        <v>26.912260823748355</v>
      </c>
      <c r="J32" s="125">
        <f t="shared" si="124"/>
        <v>26.036718961759298</v>
      </c>
      <c r="K32" s="125">
        <f t="shared" si="124"/>
        <v>25.189194409298587</v>
      </c>
      <c r="L32" s="125">
        <f t="shared" si="124"/>
        <v>24.31690615376796</v>
      </c>
      <c r="M32" s="125">
        <f t="shared" si="124"/>
        <v>23.444215743596498</v>
      </c>
      <c r="N32" s="125">
        <f t="shared" si="124"/>
        <v>22.610773428689718</v>
      </c>
      <c r="O32" s="125">
        <f t="shared" si="124"/>
        <v>21.805006588784181</v>
      </c>
      <c r="P32" s="125">
        <f t="shared" si="124"/>
        <v>20.999950138507398</v>
      </c>
      <c r="Q32" s="125">
        <f t="shared" si="124"/>
        <v>20.19581645927731</v>
      </c>
      <c r="R32" s="125">
        <f t="shared" si="124"/>
        <v>19.40516486860399</v>
      </c>
      <c r="S32" s="125">
        <f t="shared" si="124"/>
        <v>18.644890355663883</v>
      </c>
      <c r="T32" s="125">
        <f t="shared" si="124"/>
        <v>17.889503892251483</v>
      </c>
      <c r="U32" s="125">
        <f t="shared" si="124"/>
        <v>17.13929856724846</v>
      </c>
      <c r="V32" s="125">
        <f t="shared" si="124"/>
        <v>16.403747560083787</v>
      </c>
      <c r="W32" s="125">
        <f t="shared" si="124"/>
        <v>15.690686704337093</v>
      </c>
      <c r="X32" s="125">
        <f t="shared" si="124"/>
        <v>14.992120880365285</v>
      </c>
      <c r="Y32" s="125">
        <f t="shared" si="124"/>
        <v>14.300532826715649</v>
      </c>
      <c r="Z32" s="125">
        <f t="shared" si="124"/>
        <v>13.624527226737161</v>
      </c>
      <c r="AA32" s="125">
        <f t="shared" si="124"/>
        <v>12.978461105349545</v>
      </c>
      <c r="AB32" s="125">
        <f t="shared" si="124"/>
        <v>12.340629550676789</v>
      </c>
      <c r="AC32" s="125">
        <f t="shared" si="124"/>
        <v>11.711371311711742</v>
      </c>
      <c r="AD32" s="125">
        <f t="shared" si="124"/>
        <v>11.098916719571038</v>
      </c>
      <c r="AE32" s="125">
        <f t="shared" si="124"/>
        <v>10.516214707848512</v>
      </c>
      <c r="AF32" s="125">
        <f t="shared" si="124"/>
        <v>9.9436592278183635</v>
      </c>
      <c r="AG32" s="125">
        <f t="shared" si="124"/>
        <v>9.3816155761506881</v>
      </c>
      <c r="AH32" s="125">
        <f t="shared" si="124"/>
        <v>8.8348123569621499</v>
      </c>
      <c r="AI32" s="125">
        <f t="shared" si="124"/>
        <v>8.3148052830073009</v>
      </c>
      <c r="AJ32" s="125">
        <f t="shared" si="124"/>
        <v>7.8040951282795392</v>
      </c>
      <c r="AK32" s="125">
        <f t="shared" si="124"/>
        <v>7.3030132065284112</v>
      </c>
      <c r="AL32" s="125">
        <f t="shared" si="124"/>
        <v>6.8165856026156302</v>
      </c>
      <c r="AM32" s="125">
        <f t="shared" si="124"/>
        <v>6.3499402870420045</v>
      </c>
      <c r="AN32" s="125">
        <f t="shared" si="124"/>
        <v>5.8977900032432649</v>
      </c>
      <c r="AO32" s="125">
        <f t="shared" si="124"/>
        <v>5.4553253528455237</v>
      </c>
      <c r="AP32" s="125">
        <f t="shared" si="124"/>
        <v>5.0293712919517297</v>
      </c>
      <c r="AQ32" s="125">
        <f t="shared" si="124"/>
        <v>4.6288287655920977</v>
      </c>
      <c r="AR32" s="125">
        <f t="shared" si="124"/>
        <v>4.2401668932919154</v>
      </c>
      <c r="AS32" s="125">
        <f t="shared" si="124"/>
        <v>3.8637446009099641</v>
      </c>
      <c r="AT32" s="125">
        <f t="shared" si="124"/>
        <v>3.5044190126727508</v>
      </c>
      <c r="AU32" s="125">
        <f t="shared" si="124"/>
        <v>3.1696298869301116</v>
      </c>
      <c r="AV32" s="125">
        <f t="shared" si="124"/>
        <v>2.8480317524165883</v>
      </c>
      <c r="AW32" s="125">
        <f t="shared" si="124"/>
        <v>2.5399962766135884</v>
      </c>
      <c r="AX32" s="125">
        <f t="shared" si="124"/>
        <v>2.2490575049553261</v>
      </c>
      <c r="AY32" s="125">
        <f t="shared" si="124"/>
        <v>1.9811685258660088</v>
      </c>
      <c r="AZ32" s="125">
        <f t="shared" si="124"/>
        <v>1.7272138729686222</v>
      </c>
      <c r="BA32" s="125">
        <f t="shared" si="124"/>
        <v>1.4875652137445734</v>
      </c>
      <c r="BB32" s="125">
        <f t="shared" si="124"/>
        <v>1.2650132586652625</v>
      </c>
      <c r="BC32" s="125">
        <f t="shared" si="124"/>
        <v>1.0617912169799781</v>
      </c>
      <c r="BD32" s="125">
        <f t="shared" si="124"/>
        <v>0.87548004569872795</v>
      </c>
      <c r="BE32" s="125">
        <f t="shared" si="124"/>
        <v>0.70421820305363036</v>
      </c>
      <c r="BF32" s="125">
        <f t="shared" si="124"/>
        <v>0.55005306455327063</v>
      </c>
      <c r="BG32" s="125">
        <f t="shared" si="124"/>
        <v>0.41596437877059689</v>
      </c>
      <c r="BH32" s="125">
        <f t="shared" si="124"/>
        <v>0.29729668910548313</v>
      </c>
      <c r="BI32" s="125">
        <f t="shared" si="124"/>
        <v>0.19442166303933672</v>
      </c>
      <c r="BJ32" s="125">
        <f t="shared" si="124"/>
        <v>0.10864334111792814</v>
      </c>
      <c r="BK32" s="125">
        <f t="shared" si="124"/>
        <v>4.1454801988576276E-2</v>
      </c>
      <c r="BL32" s="125">
        <f t="shared" si="124"/>
        <v>5.0096594480763396E-3</v>
      </c>
      <c r="BM32" s="125">
        <f t="shared" si="124"/>
        <v>0</v>
      </c>
      <c r="BN32" s="125">
        <f t="shared" si="124"/>
        <v>0</v>
      </c>
      <c r="BO32" s="125">
        <f t="shared" si="124"/>
        <v>0</v>
      </c>
      <c r="BP32" s="125">
        <f t="shared" si="124"/>
        <v>0</v>
      </c>
      <c r="BQ32" s="125">
        <f t="shared" si="124"/>
        <v>0</v>
      </c>
      <c r="BR32" s="125">
        <f t="shared" ref="BR32" si="125">BR29-BR31</f>
        <v>0</v>
      </c>
      <c r="BS32" s="125"/>
    </row>
    <row r="33" spans="1:71" s="1" customFormat="1" ht="13.5" thickTop="1">
      <c r="A33" s="62"/>
      <c r="B33" s="62"/>
      <c r="C33" s="11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</row>
    <row r="34" spans="1:71" s="1" customFormat="1" ht="12.75">
      <c r="A34" s="62"/>
      <c r="B34" s="62"/>
      <c r="C34" s="62"/>
      <c r="D34" s="115"/>
      <c r="E34" s="115"/>
      <c r="F34" s="115"/>
      <c r="G34" s="140">
        <f>G28-G32</f>
        <v>5816.846556414961</v>
      </c>
      <c r="H34" s="140">
        <f t="shared" ref="H34:K34" si="126">H28-H32</f>
        <v>5817.6987759954191</v>
      </c>
      <c r="I34" s="140">
        <f t="shared" ca="1" si="126"/>
        <v>6042.3679443283963</v>
      </c>
      <c r="J34" s="140">
        <f t="shared" ca="1" si="126"/>
        <v>5962.0201018826838</v>
      </c>
      <c r="K34" s="140">
        <f t="shared" ca="1" si="126"/>
        <v>5937.1850865865672</v>
      </c>
      <c r="L34" s="140">
        <f ca="1">L28-L32</f>
        <v>5949.5185588140703</v>
      </c>
      <c r="M34" s="140">
        <f ca="1">M28-M32</f>
        <v>5950.400704841617</v>
      </c>
      <c r="N34" s="140">
        <f ca="1">N28-N32</f>
        <v>5750.5313393299366</v>
      </c>
      <c r="O34" s="140">
        <f ca="1">O28-O32</f>
        <v>5730.6291060075655</v>
      </c>
      <c r="P34" s="140">
        <f t="shared" ref="P34:BS34" ca="1" si="127">P28-P32</f>
        <v>5711.2702209475356</v>
      </c>
      <c r="Q34" s="140">
        <f t="shared" ca="1" si="127"/>
        <v>5714.9056557670474</v>
      </c>
      <c r="R34" s="140">
        <f t="shared" ca="1" si="127"/>
        <v>5624.2258073577214</v>
      </c>
      <c r="S34" s="140">
        <f t="shared" ca="1" si="127"/>
        <v>5533.5155818706617</v>
      </c>
      <c r="T34" s="140">
        <f t="shared" ca="1" si="127"/>
        <v>5442.8004683340732</v>
      </c>
      <c r="U34" s="140">
        <f t="shared" ca="1" si="127"/>
        <v>5352.0801736590765</v>
      </c>
      <c r="V34" s="140">
        <f t="shared" ca="1" si="127"/>
        <v>5253.3921246662412</v>
      </c>
      <c r="W34" s="140">
        <f t="shared" ca="1" si="127"/>
        <v>5154.6815855219875</v>
      </c>
      <c r="X34" s="140">
        <f t="shared" si="127"/>
        <v>-14.992120880365285</v>
      </c>
      <c r="Y34" s="140">
        <f t="shared" si="127"/>
        <v>-14.300532826715649</v>
      </c>
      <c r="Z34" s="140">
        <f t="shared" si="127"/>
        <v>-13.624527226737161</v>
      </c>
      <c r="AA34" s="140">
        <f t="shared" si="127"/>
        <v>-12.978461105349545</v>
      </c>
      <c r="AB34" s="140">
        <f t="shared" si="127"/>
        <v>-12.340629550676789</v>
      </c>
      <c r="AC34" s="140">
        <f t="shared" si="127"/>
        <v>-11.711371311711742</v>
      </c>
      <c r="AD34" s="140">
        <f t="shared" si="127"/>
        <v>-11.098916719571038</v>
      </c>
      <c r="AE34" s="140">
        <f t="shared" si="127"/>
        <v>-10.516214707848512</v>
      </c>
      <c r="AF34" s="140">
        <f t="shared" si="127"/>
        <v>-9.9436592278183635</v>
      </c>
      <c r="AG34" s="140">
        <f t="shared" si="127"/>
        <v>-9.3816155761506881</v>
      </c>
      <c r="AH34" s="140">
        <f t="shared" si="127"/>
        <v>-8.8348123569621499</v>
      </c>
      <c r="AI34" s="140">
        <f t="shared" si="127"/>
        <v>-8.3148052830073009</v>
      </c>
      <c r="AJ34" s="140">
        <f t="shared" si="127"/>
        <v>-7.8040951282795392</v>
      </c>
      <c r="AK34" s="140">
        <f t="shared" si="127"/>
        <v>-7.3030132065284112</v>
      </c>
      <c r="AL34" s="140">
        <f t="shared" si="127"/>
        <v>-6.8165856026156302</v>
      </c>
      <c r="AM34" s="140">
        <f t="shared" si="127"/>
        <v>-6.3499402870420045</v>
      </c>
      <c r="AN34" s="140">
        <f t="shared" si="127"/>
        <v>-5.8977900032432649</v>
      </c>
      <c r="AO34" s="140">
        <f t="shared" si="127"/>
        <v>-5.4553253528455237</v>
      </c>
      <c r="AP34" s="140">
        <f t="shared" si="127"/>
        <v>-5.0293712919517297</v>
      </c>
      <c r="AQ34" s="140">
        <f t="shared" si="127"/>
        <v>-4.6288287655920977</v>
      </c>
      <c r="AR34" s="140">
        <f t="shared" si="127"/>
        <v>-4.2401668932919154</v>
      </c>
      <c r="AS34" s="140">
        <f t="shared" si="127"/>
        <v>-3.8637446009099641</v>
      </c>
      <c r="AT34" s="140">
        <f t="shared" si="127"/>
        <v>-3.5044190126727508</v>
      </c>
      <c r="AU34" s="140">
        <f t="shared" si="127"/>
        <v>-3.1696298869301116</v>
      </c>
      <c r="AV34" s="140">
        <f t="shared" si="127"/>
        <v>-2.8480317524165883</v>
      </c>
      <c r="AW34" s="140">
        <f t="shared" si="127"/>
        <v>-2.5399962766135884</v>
      </c>
      <c r="AX34" s="140">
        <f t="shared" si="127"/>
        <v>-2.2490575049553261</v>
      </c>
      <c r="AY34" s="140">
        <f t="shared" si="127"/>
        <v>-1.9811685258660088</v>
      </c>
      <c r="AZ34" s="140">
        <f t="shared" si="127"/>
        <v>-1.7272138729686222</v>
      </c>
      <c r="BA34" s="140">
        <f t="shared" si="127"/>
        <v>-1.4875652137445734</v>
      </c>
      <c r="BB34" s="140">
        <f t="shared" si="127"/>
        <v>-1.2650132586652625</v>
      </c>
      <c r="BC34" s="140">
        <f t="shared" si="127"/>
        <v>-1.0617912169799781</v>
      </c>
      <c r="BD34" s="140">
        <f t="shared" si="127"/>
        <v>-0.87548004569872795</v>
      </c>
      <c r="BE34" s="140">
        <f t="shared" si="127"/>
        <v>-0.70421820305363036</v>
      </c>
      <c r="BF34" s="140">
        <f t="shared" si="127"/>
        <v>-0.55005306455327063</v>
      </c>
      <c r="BG34" s="140">
        <f t="shared" si="127"/>
        <v>-0.41596437877059689</v>
      </c>
      <c r="BH34" s="140">
        <f t="shared" si="127"/>
        <v>-0.29729668910548313</v>
      </c>
      <c r="BI34" s="140">
        <f t="shared" si="127"/>
        <v>-0.19442166303933672</v>
      </c>
      <c r="BJ34" s="140">
        <f t="shared" si="127"/>
        <v>-0.10864334111792814</v>
      </c>
      <c r="BK34" s="140">
        <f t="shared" si="127"/>
        <v>-4.1454801988576276E-2</v>
      </c>
      <c r="BL34" s="140">
        <f t="shared" si="127"/>
        <v>-5.0096594480763396E-3</v>
      </c>
      <c r="BM34" s="140">
        <f t="shared" si="127"/>
        <v>0</v>
      </c>
      <c r="BN34" s="140">
        <f t="shared" si="127"/>
        <v>0</v>
      </c>
      <c r="BO34" s="140">
        <f t="shared" si="127"/>
        <v>0</v>
      </c>
      <c r="BP34" s="140">
        <f t="shared" si="127"/>
        <v>0</v>
      </c>
      <c r="BQ34" s="140">
        <f t="shared" si="127"/>
        <v>0</v>
      </c>
      <c r="BR34" s="140">
        <f t="shared" si="127"/>
        <v>0</v>
      </c>
      <c r="BS34" s="140">
        <f t="shared" si="127"/>
        <v>0</v>
      </c>
    </row>
    <row r="35" spans="1:71" s="1" customFormat="1" ht="16.5" thickBot="1">
      <c r="A35" s="109" t="s">
        <v>377</v>
      </c>
      <c r="B35" s="91"/>
      <c r="C35" s="91"/>
      <c r="D35" s="91"/>
      <c r="E35" s="91"/>
      <c r="F35" s="91"/>
      <c r="G35" s="150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</row>
    <row r="36" spans="1:71" s="1" customFormat="1" ht="13.5" thickTop="1">
      <c r="A36" s="128"/>
      <c r="B36" s="114">
        <v>152.12</v>
      </c>
      <c r="C36" s="126">
        <v>0.1</v>
      </c>
      <c r="D36" s="126">
        <v>0.1</v>
      </c>
      <c r="E36" s="126">
        <v>0.1</v>
      </c>
      <c r="F36" s="126">
        <v>0.3</v>
      </c>
      <c r="G36" s="126">
        <v>0</v>
      </c>
      <c r="H36" s="126">
        <v>0</v>
      </c>
      <c r="I36" s="126">
        <v>0</v>
      </c>
      <c r="J36" s="126">
        <v>0</v>
      </c>
      <c r="K36" s="126">
        <v>0</v>
      </c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9"/>
      <c r="BR36" s="129"/>
      <c r="BS36" s="129"/>
    </row>
    <row r="37" spans="1:71" s="1" customFormat="1" ht="12.75">
      <c r="A37" s="62" t="s">
        <v>116</v>
      </c>
      <c r="B37" s="62"/>
      <c r="C37" s="116">
        <v>91.27200000000002</v>
      </c>
      <c r="D37" s="116">
        <f>C40</f>
        <v>76.060000000000016</v>
      </c>
      <c r="E37" s="116">
        <f>D40</f>
        <v>60.848000000000013</v>
      </c>
      <c r="F37" s="116">
        <f t="shared" ref="F37" si="128">E40</f>
        <v>45.63600000000001</v>
      </c>
      <c r="G37" s="116">
        <f t="shared" ref="G37" si="129">F40</f>
        <v>0</v>
      </c>
      <c r="H37" s="116">
        <f t="shared" ref="H37" si="130">G40</f>
        <v>0</v>
      </c>
      <c r="I37" s="116">
        <f t="shared" ref="I37" si="131">H40</f>
        <v>0</v>
      </c>
      <c r="J37" s="116">
        <f t="shared" ref="J37" si="132">I40</f>
        <v>0</v>
      </c>
      <c r="K37" s="116">
        <f t="shared" ref="K37" si="133">J40</f>
        <v>0</v>
      </c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62"/>
    </row>
    <row r="38" spans="1:71" s="1" customFormat="1" ht="12.75">
      <c r="A38" s="62" t="s">
        <v>117</v>
      </c>
      <c r="B38" s="62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62"/>
      <c r="BR38" s="62"/>
      <c r="BS38" s="62"/>
    </row>
    <row r="39" spans="1:71" s="1" customFormat="1" ht="12.75">
      <c r="A39" s="62" t="s">
        <v>118</v>
      </c>
      <c r="B39" s="62"/>
      <c r="C39" s="116">
        <f t="shared" ref="C39:D39" si="134">$B$36*C36</f>
        <v>15.212000000000002</v>
      </c>
      <c r="D39" s="116">
        <f t="shared" si="134"/>
        <v>15.212000000000002</v>
      </c>
      <c r="E39" s="116">
        <f>$B$36*E36</f>
        <v>15.212000000000002</v>
      </c>
      <c r="F39" s="116">
        <f t="shared" ref="F39:K39" si="135">$B$36*F36</f>
        <v>45.636000000000003</v>
      </c>
      <c r="G39" s="116">
        <f t="shared" si="135"/>
        <v>0</v>
      </c>
      <c r="H39" s="116">
        <f t="shared" si="135"/>
        <v>0</v>
      </c>
      <c r="I39" s="116">
        <f t="shared" si="135"/>
        <v>0</v>
      </c>
      <c r="J39" s="116">
        <f t="shared" si="135"/>
        <v>0</v>
      </c>
      <c r="K39" s="116">
        <f t="shared" si="135"/>
        <v>0</v>
      </c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62"/>
    </row>
    <row r="40" spans="1:71" s="4" customFormat="1" ht="15.75" thickBot="1">
      <c r="A40" s="71" t="s">
        <v>119</v>
      </c>
      <c r="B40" s="72"/>
      <c r="C40" s="125">
        <f>C37-C39</f>
        <v>76.060000000000016</v>
      </c>
      <c r="D40" s="125">
        <f>D37+D38-D39</f>
        <v>60.848000000000013</v>
      </c>
      <c r="E40" s="125">
        <f t="shared" ref="E40:K40" si="136">E37+E38-E39</f>
        <v>45.63600000000001</v>
      </c>
      <c r="F40" s="125">
        <f t="shared" si="136"/>
        <v>0</v>
      </c>
      <c r="G40" s="125">
        <f t="shared" si="136"/>
        <v>0</v>
      </c>
      <c r="H40" s="125">
        <f t="shared" si="136"/>
        <v>0</v>
      </c>
      <c r="I40" s="125">
        <f t="shared" si="136"/>
        <v>0</v>
      </c>
      <c r="J40" s="125">
        <f t="shared" si="136"/>
        <v>0</v>
      </c>
      <c r="K40" s="125">
        <f t="shared" si="136"/>
        <v>0</v>
      </c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</row>
    <row r="41" spans="1:71" s="1" customFormat="1" ht="13.5" thickTop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</row>
    <row r="42" spans="1:71" s="4" customFormat="1" ht="15.75" thickBot="1">
      <c r="A42" s="71" t="s">
        <v>121</v>
      </c>
      <c r="B42" s="127">
        <f>B25</f>
        <v>9.6000000000000002E-2</v>
      </c>
      <c r="C42" s="73"/>
      <c r="D42" s="121">
        <f t="shared" ref="D42:K42" si="137">AVERAGE(C40:D40)*$B$42*(D6-C6)/365</f>
        <v>1.6383949150684933</v>
      </c>
      <c r="E42" s="121">
        <f t="shared" si="137"/>
        <v>1.2883105315068495</v>
      </c>
      <c r="F42" s="121">
        <f t="shared" si="137"/>
        <v>0.55213308493150692</v>
      </c>
      <c r="G42" s="121">
        <f t="shared" si="137"/>
        <v>0</v>
      </c>
      <c r="H42" s="121">
        <f t="shared" si="137"/>
        <v>0</v>
      </c>
      <c r="I42" s="121">
        <f t="shared" si="137"/>
        <v>0</v>
      </c>
      <c r="J42" s="121">
        <f t="shared" si="137"/>
        <v>0</v>
      </c>
      <c r="K42" s="121">
        <f t="shared" si="137"/>
        <v>0</v>
      </c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74"/>
    </row>
    <row r="43" spans="1:71" s="1" customFormat="1" ht="13.5" thickTop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</row>
    <row r="44" spans="1:71" s="1" customFormat="1" ht="12.7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</row>
    <row r="45" spans="1:71" s="1" customFormat="1" ht="16.5" thickBot="1">
      <c r="A45" s="109" t="s">
        <v>194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</row>
    <row r="46" spans="1:71" s="1" customFormat="1" ht="13.5" thickTop="1">
      <c r="A46" s="641" t="s">
        <v>0</v>
      </c>
      <c r="B46" s="46"/>
      <c r="C46" s="19">
        <f>B47+1</f>
        <v>42461</v>
      </c>
      <c r="D46" s="19">
        <f>C47+1</f>
        <v>42826</v>
      </c>
      <c r="E46" s="19">
        <v>43191</v>
      </c>
      <c r="F46" s="19">
        <f>E47+1</f>
        <v>43556</v>
      </c>
      <c r="G46" s="19">
        <f>F47+1</f>
        <v>43922</v>
      </c>
      <c r="H46" s="19">
        <f t="shared" ref="H46:AB46" si="138">G47+1</f>
        <v>44287</v>
      </c>
      <c r="I46" s="19">
        <f t="shared" si="138"/>
        <v>44652</v>
      </c>
      <c r="J46" s="19">
        <f t="shared" si="138"/>
        <v>45017</v>
      </c>
      <c r="K46" s="19">
        <f t="shared" si="138"/>
        <v>45383</v>
      </c>
      <c r="L46" s="19">
        <f t="shared" si="138"/>
        <v>45748</v>
      </c>
      <c r="M46" s="19">
        <f t="shared" si="138"/>
        <v>46113</v>
      </c>
      <c r="N46" s="19">
        <f t="shared" si="138"/>
        <v>46478</v>
      </c>
      <c r="O46" s="19">
        <f t="shared" si="138"/>
        <v>46844</v>
      </c>
      <c r="P46" s="19">
        <f t="shared" si="138"/>
        <v>47209</v>
      </c>
      <c r="Q46" s="19">
        <f t="shared" si="138"/>
        <v>47574</v>
      </c>
      <c r="R46" s="19">
        <f t="shared" si="138"/>
        <v>47939</v>
      </c>
      <c r="S46" s="19">
        <f t="shared" si="138"/>
        <v>48305</v>
      </c>
      <c r="T46" s="19">
        <f t="shared" si="138"/>
        <v>48670</v>
      </c>
      <c r="U46" s="19">
        <f t="shared" si="138"/>
        <v>49035</v>
      </c>
      <c r="V46" s="19">
        <f t="shared" si="138"/>
        <v>49400</v>
      </c>
      <c r="W46" s="19">
        <f t="shared" si="138"/>
        <v>49766</v>
      </c>
      <c r="X46" s="19">
        <f t="shared" si="138"/>
        <v>50131</v>
      </c>
      <c r="Y46" s="19">
        <f t="shared" si="138"/>
        <v>50496</v>
      </c>
      <c r="Z46" s="19">
        <f t="shared" si="138"/>
        <v>50861</v>
      </c>
      <c r="AA46" s="19">
        <f t="shared" si="138"/>
        <v>51227</v>
      </c>
      <c r="AB46" s="19">
        <f t="shared" si="138"/>
        <v>51592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</row>
    <row r="47" spans="1:71" s="1" customFormat="1" ht="12.75">
      <c r="A47" s="642"/>
      <c r="B47" s="6">
        <v>42460</v>
      </c>
      <c r="C47" s="6">
        <f>EOMONTH(B47,12)</f>
        <v>42825</v>
      </c>
      <c r="D47" s="6">
        <f>EOMONTH(C47,12)</f>
        <v>43190</v>
      </c>
      <c r="E47" s="6">
        <v>43555</v>
      </c>
      <c r="F47" s="6">
        <f>EOMONTH(E47,12)</f>
        <v>43921</v>
      </c>
      <c r="G47" s="6">
        <f t="shared" ref="G47:AB47" si="139">EOMONTH(F47,12)</f>
        <v>44286</v>
      </c>
      <c r="H47" s="6">
        <f t="shared" si="139"/>
        <v>44651</v>
      </c>
      <c r="I47" s="6">
        <f t="shared" si="139"/>
        <v>45016</v>
      </c>
      <c r="J47" s="6">
        <f t="shared" si="139"/>
        <v>45382</v>
      </c>
      <c r="K47" s="6">
        <f t="shared" si="139"/>
        <v>45747</v>
      </c>
      <c r="L47" s="6">
        <f t="shared" si="139"/>
        <v>46112</v>
      </c>
      <c r="M47" s="6">
        <f t="shared" si="139"/>
        <v>46477</v>
      </c>
      <c r="N47" s="6">
        <f t="shared" si="139"/>
        <v>46843</v>
      </c>
      <c r="O47" s="6">
        <f t="shared" si="139"/>
        <v>47208</v>
      </c>
      <c r="P47" s="6">
        <f t="shared" si="139"/>
        <v>47573</v>
      </c>
      <c r="Q47" s="6">
        <f t="shared" si="139"/>
        <v>47938</v>
      </c>
      <c r="R47" s="6">
        <f t="shared" si="139"/>
        <v>48304</v>
      </c>
      <c r="S47" s="6">
        <f t="shared" si="139"/>
        <v>48669</v>
      </c>
      <c r="T47" s="6">
        <f t="shared" si="139"/>
        <v>49034</v>
      </c>
      <c r="U47" s="6">
        <f t="shared" si="139"/>
        <v>49399</v>
      </c>
      <c r="V47" s="6">
        <f t="shared" si="139"/>
        <v>49765</v>
      </c>
      <c r="W47" s="6">
        <f t="shared" si="139"/>
        <v>50130</v>
      </c>
      <c r="X47" s="6">
        <f t="shared" si="139"/>
        <v>50495</v>
      </c>
      <c r="Y47" s="6">
        <f t="shared" si="139"/>
        <v>50860</v>
      </c>
      <c r="Z47" s="6">
        <f t="shared" si="139"/>
        <v>51226</v>
      </c>
      <c r="AA47" s="6">
        <f t="shared" si="139"/>
        <v>51591</v>
      </c>
      <c r="AB47" s="6">
        <f t="shared" si="139"/>
        <v>51956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</row>
    <row r="48" spans="1:71" s="1" customFormat="1" ht="12.75">
      <c r="A48" s="643"/>
      <c r="B48" s="7"/>
      <c r="C48" s="8">
        <f>YEAR(C47)</f>
        <v>2017</v>
      </c>
      <c r="D48" s="8">
        <f t="shared" ref="D48:AB48" si="140">YEAR(D47)</f>
        <v>2018</v>
      </c>
      <c r="E48" s="8">
        <f t="shared" si="140"/>
        <v>2019</v>
      </c>
      <c r="F48" s="8">
        <f t="shared" si="140"/>
        <v>2020</v>
      </c>
      <c r="G48" s="8">
        <f t="shared" si="140"/>
        <v>2021</v>
      </c>
      <c r="H48" s="8">
        <f t="shared" si="140"/>
        <v>2022</v>
      </c>
      <c r="I48" s="8">
        <f t="shared" si="140"/>
        <v>2023</v>
      </c>
      <c r="J48" s="8">
        <f t="shared" si="140"/>
        <v>2024</v>
      </c>
      <c r="K48" s="8">
        <f t="shared" si="140"/>
        <v>2025</v>
      </c>
      <c r="L48" s="8">
        <f t="shared" si="140"/>
        <v>2026</v>
      </c>
      <c r="M48" s="8">
        <f t="shared" si="140"/>
        <v>2027</v>
      </c>
      <c r="N48" s="8">
        <f t="shared" si="140"/>
        <v>2028</v>
      </c>
      <c r="O48" s="8">
        <f t="shared" si="140"/>
        <v>2029</v>
      </c>
      <c r="P48" s="8">
        <f t="shared" si="140"/>
        <v>2030</v>
      </c>
      <c r="Q48" s="8">
        <f t="shared" si="140"/>
        <v>2031</v>
      </c>
      <c r="R48" s="8">
        <f t="shared" si="140"/>
        <v>2032</v>
      </c>
      <c r="S48" s="8">
        <f t="shared" si="140"/>
        <v>2033</v>
      </c>
      <c r="T48" s="8">
        <f t="shared" si="140"/>
        <v>2034</v>
      </c>
      <c r="U48" s="8">
        <f t="shared" si="140"/>
        <v>2035</v>
      </c>
      <c r="V48" s="8">
        <f t="shared" si="140"/>
        <v>2036</v>
      </c>
      <c r="W48" s="8">
        <f t="shared" si="140"/>
        <v>2037</v>
      </c>
      <c r="X48" s="8">
        <f t="shared" si="140"/>
        <v>2038</v>
      </c>
      <c r="Y48" s="8">
        <f t="shared" si="140"/>
        <v>2039</v>
      </c>
      <c r="Z48" s="8">
        <f t="shared" si="140"/>
        <v>2040</v>
      </c>
      <c r="AA48" s="8">
        <f t="shared" si="140"/>
        <v>2041</v>
      </c>
      <c r="AB48" s="8">
        <f t="shared" si="140"/>
        <v>2042</v>
      </c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</row>
    <row r="49" spans="1:71" s="1" customFormat="1" ht="15.75">
      <c r="A49" s="138" t="s">
        <v>147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</row>
    <row r="50" spans="1:71" s="1" customFormat="1" ht="12.75">
      <c r="A50" s="62" t="s">
        <v>195</v>
      </c>
      <c r="B50" s="141">
        <f>Assumption!K18</f>
        <v>2.5</v>
      </c>
      <c r="C50" s="30"/>
      <c r="D50" s="30"/>
      <c r="E50" s="116"/>
      <c r="F50" s="116">
        <f>'Fuel &amp; O&amp;M'!F22*$B$50/12</f>
        <v>108.25766635438329</v>
      </c>
      <c r="G50" s="120">
        <f>'Fuel &amp; O&amp;M'!G22*$B$50/12</f>
        <v>110.58925069751876</v>
      </c>
      <c r="H50" s="120">
        <f>'Fuel &amp; O&amp;M'!H22*$B$50/12</f>
        <v>112.99078257094833</v>
      </c>
      <c r="I50" s="120">
        <f>'Fuel &amp; O&amp;M'!I22*$B$50/12</f>
        <v>115.46436040058074</v>
      </c>
      <c r="J50" s="120">
        <f>'Fuel &amp; O&amp;M'!J22*$B$50/12</f>
        <v>118.01214556510213</v>
      </c>
      <c r="K50" s="120">
        <f>'Fuel &amp; O&amp;M'!K22*$B$50/12</f>
        <v>120.63636428455918</v>
      </c>
      <c r="L50" s="120">
        <f>'Fuel &amp; O&amp;M'!L22*$B$50/12</f>
        <v>123.33930956559998</v>
      </c>
      <c r="M50" s="120">
        <f>'Fuel &amp; O&amp;M'!M22*$B$50/12</f>
        <v>126.12334320507193</v>
      </c>
      <c r="N50" s="120">
        <f>'Fuel &amp; O&amp;M'!N22*$B$50/12</f>
        <v>128.99089785372803</v>
      </c>
      <c r="O50" s="120">
        <f>'Fuel &amp; O&amp;M'!O22*$B$50/12</f>
        <v>131.94447914184386</v>
      </c>
      <c r="P50" s="120">
        <f>'Fuel &amp; O&amp;M'!P22*$B$50/12</f>
        <v>134.98666786860318</v>
      </c>
      <c r="Q50" s="120">
        <f>'Fuel &amp; O&amp;M'!Q22*$B$50/12</f>
        <v>138.12012225716526</v>
      </c>
      <c r="R50" s="120">
        <f>'Fuel &amp; O&amp;M'!R22*$B$50/12</f>
        <v>141.3475802773842</v>
      </c>
      <c r="S50" s="120">
        <f>'Fuel &amp; O&amp;M'!S22*$B$50/12</f>
        <v>144.6718620382097</v>
      </c>
      <c r="T50" s="120">
        <f>'Fuel &amp; O&amp;M'!T22*$B$50/12</f>
        <v>148.09587225185996</v>
      </c>
      <c r="U50" s="120">
        <f>'Fuel &amp; O&amp;M'!U22*$B$50/12</f>
        <v>151.62260277191973</v>
      </c>
      <c r="V50" s="120">
        <f>'Fuel &amp; O&amp;M'!V22*$B$50/12</f>
        <v>155.25513520758128</v>
      </c>
      <c r="W50" s="116">
        <f>'Fuel &amp; O&amp;M'!W22*$B$50/12</f>
        <v>158.9966436163127</v>
      </c>
      <c r="X50" s="116">
        <f>'Fuel &amp; O&amp;M'!X22*$B$50/12</f>
        <v>162.85039727730609</v>
      </c>
      <c r="Y50" s="116">
        <f>'Fuel &amp; O&amp;M'!Y22*$B$50/12</f>
        <v>166.81976354812926</v>
      </c>
      <c r="Z50" s="116">
        <f>'Fuel &amp; O&amp;M'!Z22*$B$50/12</f>
        <v>170.90821080707713</v>
      </c>
      <c r="AA50" s="116">
        <f>'Fuel &amp; O&amp;M'!AA22*$B$50/12</f>
        <v>175.11931148379338</v>
      </c>
      <c r="AB50" s="116">
        <f>'Fuel &amp; O&amp;M'!AB22*$B$50/12</f>
        <v>179.45674518081117</v>
      </c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</row>
    <row r="51" spans="1:71" s="1" customFormat="1" ht="12.75">
      <c r="A51" s="62" t="s">
        <v>196</v>
      </c>
      <c r="B51" s="141">
        <f>Assumption!K19</f>
        <v>2.5</v>
      </c>
      <c r="C51" s="30"/>
      <c r="D51" s="30"/>
      <c r="E51" s="116"/>
      <c r="F51" s="116">
        <f>'Fuel &amp; O&amp;M'!F42*$B$51/12</f>
        <v>0</v>
      </c>
      <c r="G51" s="120">
        <f>'Fuel &amp; O&amp;M'!G42*$B$51/12</f>
        <v>0</v>
      </c>
      <c r="H51" s="120">
        <f>'Fuel &amp; O&amp;M'!H42*$B$51/12</f>
        <v>0</v>
      </c>
      <c r="I51" s="120">
        <f>'Fuel &amp; O&amp;M'!I42*$B$51/12</f>
        <v>0</v>
      </c>
      <c r="J51" s="120">
        <f>'Fuel &amp; O&amp;M'!J42*$B$51/12</f>
        <v>0</v>
      </c>
      <c r="K51" s="120">
        <f>'Fuel &amp; O&amp;M'!K42*$B$51/12</f>
        <v>0</v>
      </c>
      <c r="L51" s="120">
        <f>'Fuel &amp; O&amp;M'!L42*$B$51/12</f>
        <v>0</v>
      </c>
      <c r="M51" s="120">
        <f>'Fuel &amp; O&amp;M'!M42*$B$51/12</f>
        <v>0</v>
      </c>
      <c r="N51" s="120">
        <f>'Fuel &amp; O&amp;M'!N42*$B$51/12</f>
        <v>0</v>
      </c>
      <c r="O51" s="120">
        <f>'Fuel &amp; O&amp;M'!O42*$B$51/12</f>
        <v>0</v>
      </c>
      <c r="P51" s="120">
        <f>'Fuel &amp; O&amp;M'!P42*$B$51/12</f>
        <v>0</v>
      </c>
      <c r="Q51" s="120">
        <f>'Fuel &amp; O&amp;M'!Q42*$B$51/12</f>
        <v>0</v>
      </c>
      <c r="R51" s="120">
        <f>'Fuel &amp; O&amp;M'!R42*$B$51/12</f>
        <v>0</v>
      </c>
      <c r="S51" s="120">
        <f>'Fuel &amp; O&amp;M'!S42*$B$51/12</f>
        <v>0</v>
      </c>
      <c r="T51" s="120">
        <f>'Fuel &amp; O&amp;M'!T42*$B$51/12</f>
        <v>0</v>
      </c>
      <c r="U51" s="120">
        <f>'Fuel &amp; O&amp;M'!U42*$B$51/12</f>
        <v>0</v>
      </c>
      <c r="V51" s="120">
        <f>'Fuel &amp; O&amp;M'!V42*$B$51/12</f>
        <v>0</v>
      </c>
      <c r="W51" s="116">
        <f>'Fuel &amp; O&amp;M'!W42*$B$51/12</f>
        <v>0</v>
      </c>
      <c r="X51" s="116">
        <f>'Fuel &amp; O&amp;M'!X42*$B$51/12</f>
        <v>0</v>
      </c>
      <c r="Y51" s="116">
        <f>'Fuel &amp; O&amp;M'!Y42*$B$51/12</f>
        <v>0</v>
      </c>
      <c r="Z51" s="116">
        <f>'Fuel &amp; O&amp;M'!Z42*$B$51/12</f>
        <v>0</v>
      </c>
      <c r="AA51" s="116">
        <f>'Fuel &amp; O&amp;M'!AA42*$B$51/12</f>
        <v>0</v>
      </c>
      <c r="AB51" s="116">
        <f>'Fuel &amp; O&amp;M'!AB42*$B$51/12</f>
        <v>0</v>
      </c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</row>
    <row r="52" spans="1:71" s="1" customFormat="1" ht="12.75">
      <c r="A52" s="62" t="s">
        <v>197</v>
      </c>
      <c r="B52" s="141">
        <f>Assumption!K20</f>
        <v>2.5</v>
      </c>
      <c r="C52" s="30"/>
      <c r="D52" s="30"/>
      <c r="E52" s="116"/>
      <c r="F52" s="116">
        <f>'Fuel &amp; O&amp;M'!F32*$B$52/12</f>
        <v>0</v>
      </c>
      <c r="G52" s="120">
        <f>'Fuel &amp; O&amp;M'!G32*$B$52/12</f>
        <v>0</v>
      </c>
      <c r="H52" s="120">
        <f>'Fuel &amp; O&amp;M'!H32*$B$52/12</f>
        <v>0</v>
      </c>
      <c r="I52" s="120">
        <f>'Fuel &amp; O&amp;M'!I32*$B$52/12</f>
        <v>0</v>
      </c>
      <c r="J52" s="120">
        <f>'Fuel &amp; O&amp;M'!J32*$B$52/12</f>
        <v>0</v>
      </c>
      <c r="K52" s="120">
        <f>'Fuel &amp; O&amp;M'!K32*$B$52/12</f>
        <v>0</v>
      </c>
      <c r="L52" s="120">
        <f>'Fuel &amp; O&amp;M'!L32*$B$52/12</f>
        <v>0</v>
      </c>
      <c r="M52" s="120">
        <f>'Fuel &amp; O&amp;M'!M32*$B$52/12</f>
        <v>0</v>
      </c>
      <c r="N52" s="120">
        <f>'Fuel &amp; O&amp;M'!N32*$B$52/12</f>
        <v>0</v>
      </c>
      <c r="O52" s="120">
        <f>'Fuel &amp; O&amp;M'!O32*$B$52/12</f>
        <v>0</v>
      </c>
      <c r="P52" s="120">
        <f>'Fuel &amp; O&amp;M'!P32*$B$52/12</f>
        <v>0</v>
      </c>
      <c r="Q52" s="120">
        <f>'Fuel &amp; O&amp;M'!Q32*$B$52/12</f>
        <v>0</v>
      </c>
      <c r="R52" s="120">
        <f>'Fuel &amp; O&amp;M'!R32*$B$52/12</f>
        <v>0</v>
      </c>
      <c r="S52" s="120">
        <f>'Fuel &amp; O&amp;M'!S32*$B$52/12</f>
        <v>0</v>
      </c>
      <c r="T52" s="120">
        <f>'Fuel &amp; O&amp;M'!T32*$B$52/12</f>
        <v>0</v>
      </c>
      <c r="U52" s="120">
        <f>'Fuel &amp; O&amp;M'!U32*$B$52/12</f>
        <v>0</v>
      </c>
      <c r="V52" s="120">
        <f>'Fuel &amp; O&amp;M'!V32*$B$52/12</f>
        <v>0</v>
      </c>
      <c r="W52" s="116">
        <f>'Fuel &amp; O&amp;M'!W32*$B$52/12</f>
        <v>0</v>
      </c>
      <c r="X52" s="116">
        <f>'Fuel &amp; O&amp;M'!X32*$B$52/12</f>
        <v>0</v>
      </c>
      <c r="Y52" s="116">
        <f>'Fuel &amp; O&amp;M'!Y32*$B$52/12</f>
        <v>0</v>
      </c>
      <c r="Z52" s="116">
        <f>'Fuel &amp; O&amp;M'!Z32*$B$52/12</f>
        <v>0</v>
      </c>
      <c r="AA52" s="116">
        <f>'Fuel &amp; O&amp;M'!AA32*$B$52/12</f>
        <v>0</v>
      </c>
      <c r="AB52" s="116">
        <f>'Fuel &amp; O&amp;M'!AB32*$B$52/12</f>
        <v>0</v>
      </c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</row>
    <row r="53" spans="1:71" s="1" customFormat="1" ht="12.75">
      <c r="A53" s="62" t="s">
        <v>210</v>
      </c>
      <c r="B53" s="141">
        <f>Assumption!K21</f>
        <v>2.5</v>
      </c>
      <c r="C53" s="30"/>
      <c r="D53" s="30"/>
      <c r="E53" s="116"/>
      <c r="F53" s="116">
        <f>'Fuel &amp; O&amp;M'!F57*$B$53/12</f>
        <v>110.71652048522382</v>
      </c>
      <c r="G53" s="120">
        <f>'Fuel &amp; O&amp;M'!G57*$B$53/12</f>
        <v>164.0751554120443</v>
      </c>
      <c r="H53" s="120">
        <f>'Fuel &amp; O&amp;M'!H57*$B$53/12</f>
        <v>157.60639529636285</v>
      </c>
      <c r="I53" s="120">
        <f>'Fuel &amp; O&amp;M'!I57*$B$53/12</f>
        <v>157.60639529636285</v>
      </c>
      <c r="J53" s="120">
        <f>'Fuel &amp; O&amp;M'!J57*$B$53/12</f>
        <v>158.35735421390191</v>
      </c>
      <c r="K53" s="120">
        <f>'Fuel &amp; O&amp;M'!K57*$B$53/12</f>
        <v>157.60639529636285</v>
      </c>
      <c r="L53" s="120">
        <f>'Fuel &amp; O&amp;M'!L57*$B$53/12</f>
        <v>157.60639529636285</v>
      </c>
      <c r="M53" s="120">
        <f>'Fuel &amp; O&amp;M'!M57*$B$53/12</f>
        <v>157.60639529636285</v>
      </c>
      <c r="N53" s="120">
        <f>'Fuel &amp; O&amp;M'!N57*$B$53/12</f>
        <v>158.35735421390191</v>
      </c>
      <c r="O53" s="120">
        <f>'Fuel &amp; O&amp;M'!O57*$B$53/12</f>
        <v>157.60639529636285</v>
      </c>
      <c r="P53" s="120">
        <f>'Fuel &amp; O&amp;M'!P57*$B$53/12</f>
        <v>157.60639529636285</v>
      </c>
      <c r="Q53" s="120">
        <f>'Fuel &amp; O&amp;M'!Q57*$B$53/12</f>
        <v>157.60639529636285</v>
      </c>
      <c r="R53" s="120">
        <f>'Fuel &amp; O&amp;M'!R57*$B$53/12</f>
        <v>158.35735421390191</v>
      </c>
      <c r="S53" s="120">
        <f>'Fuel &amp; O&amp;M'!S57*$B$53/12</f>
        <v>157.60639529636285</v>
      </c>
      <c r="T53" s="120">
        <f>'Fuel &amp; O&amp;M'!T57*$B$53/12</f>
        <v>157.60639529636285</v>
      </c>
      <c r="U53" s="120">
        <f>'Fuel &amp; O&amp;M'!U57*$B$53/12</f>
        <v>157.60639529636285</v>
      </c>
      <c r="V53" s="120">
        <f>'Fuel &amp; O&amp;M'!V57*$B$53/12</f>
        <v>158.35735421390191</v>
      </c>
      <c r="W53" s="116">
        <f>'Fuel &amp; O&amp;M'!W57*$B$53/12</f>
        <v>157.60639529636285</v>
      </c>
      <c r="X53" s="116">
        <f>'Fuel &amp; O&amp;M'!X57*$B$53/12</f>
        <v>157.60639529636285</v>
      </c>
      <c r="Y53" s="116">
        <f>'Fuel &amp; O&amp;M'!Y57*$B$53/12</f>
        <v>157.60639529636285</v>
      </c>
      <c r="Z53" s="116">
        <f>'Fuel &amp; O&amp;M'!Z57*$B$53/12</f>
        <v>158.35735421390191</v>
      </c>
      <c r="AA53" s="116">
        <f>'Fuel &amp; O&amp;M'!AA57*$B$53/12</f>
        <v>157.60639529636285</v>
      </c>
      <c r="AB53" s="116">
        <f>'Fuel &amp; O&amp;M'!AB57*$B$53/12</f>
        <v>157.60639529636285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</row>
    <row r="54" spans="1:71" s="1" customFormat="1" ht="12.75">
      <c r="A54" s="62" t="s">
        <v>198</v>
      </c>
      <c r="B54" s="141" t="str">
        <f>Assumption!K22</f>
        <v>1 Month O&amp;M</v>
      </c>
      <c r="C54" s="30"/>
      <c r="D54" s="30"/>
      <c r="E54" s="116"/>
      <c r="F54" s="116">
        <f>'Financial Statement'!F14/12</f>
        <v>28.594083333333334</v>
      </c>
      <c r="G54" s="120">
        <f>'Financial Statement'!G14/12</f>
        <v>23.695000000000004</v>
      </c>
      <c r="H54" s="120">
        <f>'Financial Statement'!H14/12</f>
        <v>21.152226526651194</v>
      </c>
      <c r="I54" s="120">
        <f>'Financial Statement'!I14/12</f>
        <v>22.523519418200006</v>
      </c>
      <c r="J54" s="120">
        <f>'Financial Statement'!J14/12</f>
        <v>23.907430787382193</v>
      </c>
      <c r="K54" s="120">
        <f>'Financial Statement'!K14/12</f>
        <v>25.077584560139812</v>
      </c>
      <c r="L54" s="120">
        <f>'Financial Statement'!L14/12</f>
        <v>26.331463788146806</v>
      </c>
      <c r="M54" s="120">
        <f>'Financial Statement'!M14/12</f>
        <v>27.648036977554145</v>
      </c>
      <c r="N54" s="120">
        <f>'Financial Statement'!N14/12</f>
        <v>29.059631543505478</v>
      </c>
      <c r="O54" s="120">
        <f>'Financial Statement'!O14/12</f>
        <v>30.481960767753446</v>
      </c>
      <c r="P54" s="120">
        <f>'Financial Statement'!P14/12</f>
        <v>32.00605880614112</v>
      </c>
      <c r="Q54" s="120">
        <f>'Financial Statement'!Q14/12</f>
        <v>33.606361746448172</v>
      </c>
      <c r="R54" s="120">
        <f>'Financial Statement'!R14/12</f>
        <v>35.322163763828065</v>
      </c>
      <c r="S54" s="120">
        <f>'Financial Statement'!S14/12</f>
        <v>37.051013825459123</v>
      </c>
      <c r="T54" s="120">
        <f>'Financial Statement'!T14/12</f>
        <v>38.903564516732082</v>
      </c>
      <c r="U54" s="120">
        <f>'Financial Statement'!U14/12</f>
        <v>40.848742742568689</v>
      </c>
      <c r="V54" s="120">
        <f>'Financial Statement'!V14/12</f>
        <v>42.934310818456545</v>
      </c>
      <c r="W54" s="116">
        <f>'Financial Statement'!W14/12</f>
        <v>45.035738873681986</v>
      </c>
      <c r="X54" s="116">
        <f>'Financial Statement'!X14/12</f>
        <v>47.287525817366081</v>
      </c>
      <c r="Y54" s="116">
        <f>'Financial Statement'!Y14/12</f>
        <v>49.651902108234388</v>
      </c>
      <c r="Z54" s="116">
        <f>'Financial Statement'!Z14/12</f>
        <v>52.186923139276558</v>
      </c>
      <c r="AA54" s="116">
        <f>'Financial Statement'!AA14/12</f>
        <v>54.741222074328419</v>
      </c>
      <c r="AB54" s="116">
        <f>'Financial Statement'!AB14/12</f>
        <v>57.478283178044848</v>
      </c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</row>
    <row r="55" spans="1:71" s="1" customFormat="1" ht="12.75">
      <c r="A55" s="62" t="s">
        <v>100</v>
      </c>
      <c r="B55" s="141">
        <f>Assumption!K23</f>
        <v>2</v>
      </c>
      <c r="C55" s="30"/>
      <c r="D55" s="30"/>
      <c r="E55" s="116"/>
      <c r="F55" s="116">
        <f>'Fuel &amp; O&amp;M'!F90*$B$55/12</f>
        <v>2.9953440000000007</v>
      </c>
      <c r="G55" s="120">
        <f>'Fuel &amp; O&amp;M'!G90*$B$55/12</f>
        <v>3.8837175300000002</v>
      </c>
      <c r="H55" s="120">
        <f>'Fuel &amp; O&amp;M'!H90*$B$55/12</f>
        <v>3.9838837500000004</v>
      </c>
      <c r="I55" s="120">
        <f>'Fuel &amp; O&amp;M'!I90*$B$55/12</f>
        <v>4.1830779375000011</v>
      </c>
      <c r="J55" s="120">
        <f>'Fuel &amp; O&amp;M'!J90*$B$55/12</f>
        <v>4.4042653462499999</v>
      </c>
      <c r="K55" s="120">
        <f>'Fuel &amp; O&amp;M'!K90*$B$55/12</f>
        <v>4.6118434260937509</v>
      </c>
      <c r="L55" s="120">
        <f>'Fuel &amp; O&amp;M'!L90*$B$55/12</f>
        <v>4.8424355973984392</v>
      </c>
      <c r="M55" s="120">
        <f>'Fuel &amp; O&amp;M'!M90*$B$55/12</f>
        <v>5.0845573772683617</v>
      </c>
      <c r="N55" s="120">
        <f>'Fuel &amp; O&amp;M'!N90*$B$55/12</f>
        <v>5.3534120550252915</v>
      </c>
      <c r="O55" s="120">
        <f>'Fuel &amp; O&amp;M'!O90*$B$55/12</f>
        <v>5.60572450843837</v>
      </c>
      <c r="P55" s="120">
        <f>'Fuel &amp; O&amp;M'!P90*$B$55/12</f>
        <v>5.8860107338602878</v>
      </c>
      <c r="Q55" s="120">
        <f>'Fuel &amp; O&amp;M'!Q90*$B$55/12</f>
        <v>6.1803112705533012</v>
      </c>
      <c r="R55" s="120">
        <f>'Fuel &amp; O&amp;M'!R90*$B$55/12</f>
        <v>6.5071058117085867</v>
      </c>
      <c r="S55" s="120">
        <f>'Fuel &amp; O&amp;M'!S90*$B$55/12</f>
        <v>6.8137931757850163</v>
      </c>
      <c r="T55" s="120">
        <f>'Fuel &amp; O&amp;M'!T90*$B$55/12</f>
        <v>7.1544828345742673</v>
      </c>
      <c r="U55" s="120">
        <f>'Fuel &amp; O&amp;M'!U90*$B$55/12</f>
        <v>7.5122069763029815</v>
      </c>
      <c r="V55" s="120">
        <f>'Fuel &amp; O&amp;M'!V90*$B$55/12</f>
        <v>7.9094277835431122</v>
      </c>
      <c r="W55" s="116">
        <f>'Fuel &amp; O&amp;M'!W90*$B$55/12</f>
        <v>8.2822081913740373</v>
      </c>
      <c r="X55" s="116">
        <f>'Fuel &amp; O&amp;M'!X90*$B$55/12</f>
        <v>8.6963186009427407</v>
      </c>
      <c r="Y55" s="116">
        <f>'Fuel &amp; O&amp;M'!Y90*$B$55/12</f>
        <v>9.1311345309898773</v>
      </c>
      <c r="Z55" s="116">
        <f>'Fuel &amp; O&amp;M'!Z90*$B$55/12</f>
        <v>9.6139589048203007</v>
      </c>
      <c r="AA55" s="116">
        <f>'Fuel &amp; O&amp;M'!AA90*$B$55/12</f>
        <v>10.06707582041634</v>
      </c>
      <c r="AB55" s="116">
        <f>'Fuel &amp; O&amp;M'!AB90*$B$55/12</f>
        <v>10.570429611437158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</row>
    <row r="56" spans="1:71" s="4" customFormat="1">
      <c r="A56" s="37" t="s">
        <v>205</v>
      </c>
      <c r="B56" s="50"/>
      <c r="C56" s="10"/>
      <c r="D56" s="10"/>
      <c r="E56" s="10">
        <f>'Financial Statement'!E46</f>
        <v>268.77999999999997</v>
      </c>
      <c r="F56" s="10">
        <f t="shared" ref="F56:AB56" si="141">SUM(F50:F55)</f>
        <v>250.56361417294045</v>
      </c>
      <c r="G56" s="482">
        <f t="shared" si="141"/>
        <v>302.24312363956307</v>
      </c>
      <c r="H56" s="482">
        <f t="shared" si="141"/>
        <v>295.7332881439624</v>
      </c>
      <c r="I56" s="482">
        <f t="shared" si="141"/>
        <v>299.7773530526436</v>
      </c>
      <c r="J56" s="482">
        <f t="shared" si="141"/>
        <v>304.68119591263621</v>
      </c>
      <c r="K56" s="482">
        <f t="shared" si="141"/>
        <v>307.93218756715561</v>
      </c>
      <c r="L56" s="482">
        <f t="shared" si="141"/>
        <v>312.11960424750805</v>
      </c>
      <c r="M56" s="482">
        <f t="shared" si="141"/>
        <v>316.46233285625732</v>
      </c>
      <c r="N56" s="482">
        <f t="shared" si="141"/>
        <v>321.76129566616066</v>
      </c>
      <c r="O56" s="482">
        <f t="shared" si="141"/>
        <v>325.63855971439853</v>
      </c>
      <c r="P56" s="482">
        <f t="shared" si="141"/>
        <v>330.48513270496744</v>
      </c>
      <c r="Q56" s="482">
        <f t="shared" si="141"/>
        <v>335.51319057052956</v>
      </c>
      <c r="R56" s="482">
        <f t="shared" si="141"/>
        <v>341.53420406682278</v>
      </c>
      <c r="S56" s="482">
        <f t="shared" si="141"/>
        <v>346.14306433581669</v>
      </c>
      <c r="T56" s="482">
        <f t="shared" si="141"/>
        <v>351.76031489952919</v>
      </c>
      <c r="U56" s="482">
        <f t="shared" si="141"/>
        <v>357.58994778715424</v>
      </c>
      <c r="V56" s="482">
        <f t="shared" si="141"/>
        <v>364.45622802348282</v>
      </c>
      <c r="W56" s="10">
        <f t="shared" si="141"/>
        <v>369.9209859777315</v>
      </c>
      <c r="X56" s="10">
        <f t="shared" si="141"/>
        <v>376.44063699197778</v>
      </c>
      <c r="Y56" s="10">
        <f t="shared" si="141"/>
        <v>383.20919548371631</v>
      </c>
      <c r="Z56" s="10">
        <f t="shared" si="141"/>
        <v>391.06644706507592</v>
      </c>
      <c r="AA56" s="10">
        <f t="shared" si="141"/>
        <v>397.53400467490098</v>
      </c>
      <c r="AB56" s="10">
        <f t="shared" si="141"/>
        <v>405.111853266656</v>
      </c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</row>
    <row r="57" spans="1:71" s="1" customFormat="1" ht="12.75">
      <c r="A57" s="62"/>
      <c r="B57" s="62"/>
      <c r="C57" s="62"/>
      <c r="D57" s="62"/>
      <c r="E57" s="262"/>
      <c r="F57" s="262"/>
      <c r="G57" s="115">
        <f>G56-G54</f>
        <v>278.54812363956307</v>
      </c>
      <c r="H57" s="115">
        <f>H56-H54</f>
        <v>274.58106161731121</v>
      </c>
      <c r="I57" s="115">
        <f t="shared" ref="I57:V57" si="142">I56-I54</f>
        <v>277.25383363444359</v>
      </c>
      <c r="J57" s="115">
        <f t="shared" si="142"/>
        <v>280.77376512525404</v>
      </c>
      <c r="K57" s="115">
        <f t="shared" si="142"/>
        <v>282.85460300701578</v>
      </c>
      <c r="L57" s="115">
        <f t="shared" si="142"/>
        <v>285.78814045936122</v>
      </c>
      <c r="M57" s="115">
        <f t="shared" si="142"/>
        <v>288.81429587870315</v>
      </c>
      <c r="N57" s="115">
        <f t="shared" si="142"/>
        <v>292.70166412265519</v>
      </c>
      <c r="O57" s="115">
        <f t="shared" si="142"/>
        <v>295.15659894664509</v>
      </c>
      <c r="P57" s="115">
        <f t="shared" si="142"/>
        <v>298.4790738988263</v>
      </c>
      <c r="Q57" s="115">
        <f t="shared" si="142"/>
        <v>301.9068288240814</v>
      </c>
      <c r="R57" s="115">
        <f t="shared" si="142"/>
        <v>306.21204030299469</v>
      </c>
      <c r="S57" s="115">
        <f t="shared" si="142"/>
        <v>309.09205051035758</v>
      </c>
      <c r="T57" s="115">
        <f t="shared" si="142"/>
        <v>312.85675038279709</v>
      </c>
      <c r="U57" s="115">
        <f t="shared" si="142"/>
        <v>316.74120504458557</v>
      </c>
      <c r="V57" s="115">
        <f t="shared" si="142"/>
        <v>321.52191720502628</v>
      </c>
      <c r="W57" s="62"/>
      <c r="X57" s="62"/>
      <c r="Y57" s="62"/>
      <c r="Z57" s="62"/>
      <c r="AA57" s="62"/>
      <c r="AB57" s="62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</row>
    <row r="58" spans="1:71" s="1" customFormat="1" ht="15.75">
      <c r="A58" s="138" t="s">
        <v>148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</row>
    <row r="59" spans="1:71" s="1" customFormat="1" ht="12.75">
      <c r="A59" s="62" t="s">
        <v>199</v>
      </c>
      <c r="B59" s="141">
        <v>8</v>
      </c>
      <c r="C59" s="522">
        <v>3</v>
      </c>
      <c r="D59" s="30"/>
      <c r="E59" s="116"/>
      <c r="F59" s="116">
        <f>Revenue!F28*$B$59/12</f>
        <v>547.03632572825597</v>
      </c>
      <c r="G59" s="116">
        <f>Revenue!G28*$C$59/12</f>
        <v>204.40424853272324</v>
      </c>
      <c r="H59" s="116">
        <f>Revenue!H28*$C$59/12</f>
        <v>190.25662558870491</v>
      </c>
      <c r="I59" s="116">
        <f>Revenue!I28*$C$59/12</f>
        <v>193.2613825563661</v>
      </c>
      <c r="J59" s="116">
        <f>Revenue!J28*$C$59/12</f>
        <v>197.09419484213393</v>
      </c>
      <c r="K59" s="116">
        <f>Revenue!K28*$C$59/12</f>
        <v>199.94881877644875</v>
      </c>
      <c r="L59" s="116">
        <f>Revenue!L28*$C$59/12</f>
        <v>203.44374541974221</v>
      </c>
      <c r="M59" s="116">
        <f>Revenue!M28*$C$59/12</f>
        <v>207.4307118623345</v>
      </c>
      <c r="N59" s="116">
        <f>Revenue!N28*$C$59/12</f>
        <v>213.77468096598037</v>
      </c>
      <c r="O59" s="116">
        <f>Revenue!O28*$C$59/12</f>
        <v>219.06171544435065</v>
      </c>
      <c r="P59" s="116">
        <f>Revenue!P28*$C$59/12</f>
        <v>0</v>
      </c>
      <c r="Q59" s="116">
        <f>Revenue!Q28*$C$59/12</f>
        <v>0</v>
      </c>
      <c r="R59" s="116">
        <f>Revenue!R28*$C$59/12</f>
        <v>0</v>
      </c>
      <c r="S59" s="116">
        <f>Revenue!S28*$C$59/12</f>
        <v>0</v>
      </c>
      <c r="T59" s="116">
        <f>Revenue!T28*$C$59/12</f>
        <v>0</v>
      </c>
      <c r="U59" s="116">
        <f>Revenue!U28*$C$59/12</f>
        <v>0</v>
      </c>
      <c r="V59" s="116">
        <f>Revenue!V28*$C$59/12</f>
        <v>0</v>
      </c>
      <c r="W59" s="116">
        <f>Revenue!W28*$B$59/12</f>
        <v>0</v>
      </c>
      <c r="X59" s="116">
        <f>Revenue!X28*$B$59/12</f>
        <v>0</v>
      </c>
      <c r="Y59" s="116">
        <f>Revenue!Y28*$B$59/12</f>
        <v>0</v>
      </c>
      <c r="Z59" s="116">
        <f>Revenue!Z28*$B$59/12</f>
        <v>0</v>
      </c>
      <c r="AA59" s="116">
        <f>Revenue!AA28*$B$59/12</f>
        <v>0</v>
      </c>
      <c r="AB59" s="116">
        <f>Revenue!AB28*$B$59/12</f>
        <v>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</row>
    <row r="60" spans="1:71" s="1" customFormat="1" ht="12.75">
      <c r="A60" s="62" t="s">
        <v>200</v>
      </c>
      <c r="B60" s="141">
        <v>6</v>
      </c>
      <c r="C60" s="522">
        <v>2</v>
      </c>
      <c r="D60" s="30"/>
      <c r="E60" s="116"/>
      <c r="F60" s="116">
        <f>Revenue!F46*$B$60/12</f>
        <v>479.62544818338546</v>
      </c>
      <c r="G60" s="116">
        <f>Revenue!G46*$C$60/12</f>
        <v>156.77996077678117</v>
      </c>
      <c r="H60" s="116">
        <f>Revenue!H46*$C$60/12</f>
        <v>142.29948966475129</v>
      </c>
      <c r="I60" s="116">
        <f>Revenue!I46*$C$60/12</f>
        <v>143.55732465269384</v>
      </c>
      <c r="J60" s="116">
        <f>Revenue!J46*$C$60/12</f>
        <v>146.51875613256945</v>
      </c>
      <c r="K60" s="116">
        <f>Revenue!K46*$C$60/12</f>
        <v>148.8258356668529</v>
      </c>
      <c r="L60" s="116">
        <f>Revenue!L46*$C$60/12</f>
        <v>152.22079456485847</v>
      </c>
      <c r="M60" s="116">
        <f>Revenue!M46*$C$60/12</f>
        <v>157.30772034980424</v>
      </c>
      <c r="N60" s="116">
        <f>Revenue!N46*$C$60/12</f>
        <v>163.18261362788093</v>
      </c>
      <c r="O60" s="116">
        <f>Revenue!O46*$C$60/12</f>
        <v>168.2387358307773</v>
      </c>
      <c r="P60" s="116">
        <f>Revenue!P46*$C$60/12</f>
        <v>174.12345157570061</v>
      </c>
      <c r="Q60" s="116">
        <f>Revenue!Q46*$C$60/12</f>
        <v>180.31477427997163</v>
      </c>
      <c r="R60" s="116">
        <f>Revenue!R46*$C$60/12</f>
        <v>174.67044477675358</v>
      </c>
      <c r="S60" s="116">
        <f>Revenue!S46*$C$60/12</f>
        <v>176.09947091481195</v>
      </c>
      <c r="T60" s="116">
        <f>Revenue!T46*$C$60/12</f>
        <v>180.36126869625627</v>
      </c>
      <c r="U60" s="116">
        <f>Revenue!U46*$C$60/12</f>
        <v>184.85705693614398</v>
      </c>
      <c r="V60" s="116">
        <f>Revenue!V46*$C$60/12</f>
        <v>190.14618993532847</v>
      </c>
      <c r="W60" s="116">
        <f>Revenue!W46*$C$60/12</f>
        <v>200.15185299972509</v>
      </c>
      <c r="X60" s="116">
        <f>Revenue!X46*$C$60/12</f>
        <v>208.63772756871688</v>
      </c>
      <c r="Y60" s="116">
        <f>Revenue!Y46*$C$60/12</f>
        <v>217.5557158347784</v>
      </c>
      <c r="Z60" s="116">
        <f>Revenue!Z46*$C$60/12</f>
        <v>231.66985978077287</v>
      </c>
      <c r="AA60" s="116">
        <f>Revenue!AA46*$C$60/12</f>
        <v>240.93907552818641</v>
      </c>
      <c r="AB60" s="116">
        <f>Revenue!AB46*$C$60/12</f>
        <v>251.54783260303202</v>
      </c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</row>
    <row r="61" spans="1:71" s="1" customFormat="1" ht="12.75">
      <c r="A61" s="62" t="s">
        <v>201</v>
      </c>
      <c r="B61" s="141">
        <f>Assumption!O20</f>
        <v>6</v>
      </c>
      <c r="C61" s="522">
        <v>1</v>
      </c>
      <c r="D61" s="30"/>
      <c r="E61" s="116"/>
      <c r="F61" s="116">
        <f>Revenue!F79*$B$61/12</f>
        <v>38.222584166406996</v>
      </c>
      <c r="G61" s="116">
        <f>Revenue!G79*$C$61/12</f>
        <v>6.4532487289189246</v>
      </c>
      <c r="H61" s="116">
        <f>Revenue!H79*$C$61/12</f>
        <v>6.5077305375692847</v>
      </c>
      <c r="I61" s="116">
        <f>Revenue!I79*$C$61/12</f>
        <v>6.6123600539303125</v>
      </c>
      <c r="J61" s="116">
        <f>Revenue!J79*$C$61/12</f>
        <v>6.7250406101171123</v>
      </c>
      <c r="K61" s="116">
        <f>Revenue!K79*$C$61/12</f>
        <v>6.7706236004661635</v>
      </c>
      <c r="L61" s="116">
        <f>Revenue!L79*$C$61/12</f>
        <v>6.8363957525902563</v>
      </c>
      <c r="M61" s="116">
        <f>Revenue!M79*$C$61/12</f>
        <v>6.9041410692780687</v>
      </c>
      <c r="N61" s="116">
        <f>Revenue!N79*$C$61/12</f>
        <v>6.9921922134903669</v>
      </c>
      <c r="O61" s="116">
        <f>Revenue!O79*$C$61/12</f>
        <v>7.0457897519406183</v>
      </c>
      <c r="P61" s="116">
        <f>Revenue!P79*$C$61/12</f>
        <v>7.1198168886089421</v>
      </c>
      <c r="Q61" s="116">
        <f>Revenue!Q79*$C$61/12</f>
        <v>7.1960648393773168</v>
      </c>
      <c r="R61" s="116">
        <f>Revenue!R79*$C$61/12</f>
        <v>7.2928736966925944</v>
      </c>
      <c r="S61" s="116">
        <f>Revenue!S79*$C$61/12</f>
        <v>7.3554916796389085</v>
      </c>
      <c r="T61" s="116">
        <f>Revenue!T79*$C$61/12</f>
        <v>7.4388098741381832</v>
      </c>
      <c r="U61" s="116">
        <f>Revenue!U79*$C$61/12</f>
        <v>7.5246276144724336</v>
      </c>
      <c r="V61" s="116">
        <f>Revenue!V79*$C$61/12</f>
        <v>7.6312933550405626</v>
      </c>
      <c r="W61" s="116">
        <f>Revenue!W79*$C$61/12</f>
        <v>7.7040639277373195</v>
      </c>
      <c r="X61" s="116">
        <f>Revenue!X79*$C$61/12</f>
        <v>7.7978392896795441</v>
      </c>
      <c r="Y61" s="116">
        <f>Revenue!Y79*$C$61/12</f>
        <v>7.8944279124800376</v>
      </c>
      <c r="Z61" s="116">
        <f>Revenue!Z79*$C$61/12</f>
        <v>8.0121876619883974</v>
      </c>
      <c r="AA61" s="116">
        <f>Revenue!AA79*$C$61/12</f>
        <v>8.0963850638935853</v>
      </c>
      <c r="AB61" s="116">
        <f>Revenue!AB79*$C$61/12</f>
        <v>8.2019300599204978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</row>
    <row r="62" spans="1:71" s="1" customFormat="1" ht="12.75">
      <c r="A62" s="62" t="s">
        <v>202</v>
      </c>
      <c r="B62" s="141">
        <f>Assumption!O21</f>
        <v>6</v>
      </c>
      <c r="C62" s="522">
        <v>4</v>
      </c>
      <c r="D62" s="30"/>
      <c r="E62" s="116"/>
      <c r="F62" s="116">
        <f>Revenue!F60*$B$62/12</f>
        <v>0</v>
      </c>
      <c r="G62" s="116">
        <f>Revenue!G60*$C$62/12</f>
        <v>0</v>
      </c>
      <c r="H62" s="116">
        <f>Revenue!H60*$C$62/12</f>
        <v>0</v>
      </c>
      <c r="I62" s="116">
        <f>Revenue!I60*$C$62/12</f>
        <v>0</v>
      </c>
      <c r="J62" s="116">
        <f>Revenue!J60*$C$62/12</f>
        <v>0</v>
      </c>
      <c r="K62" s="116">
        <f>Revenue!K60*$C$62/12</f>
        <v>0</v>
      </c>
      <c r="L62" s="116">
        <f>Revenue!L60*$C$62/12</f>
        <v>0</v>
      </c>
      <c r="M62" s="116">
        <f>Revenue!M60*$C$62/12</f>
        <v>0</v>
      </c>
      <c r="N62" s="116">
        <f>Revenue!N60*$C$62/12</f>
        <v>0</v>
      </c>
      <c r="O62" s="116">
        <f>Revenue!O60*$C$62/12</f>
        <v>0</v>
      </c>
      <c r="P62" s="116">
        <f>Revenue!P60*$C$62/12</f>
        <v>0</v>
      </c>
      <c r="Q62" s="116">
        <f>Revenue!Q60*$C$62/12</f>
        <v>0</v>
      </c>
      <c r="R62" s="116">
        <f>Revenue!R60*$C$62/12</f>
        <v>0</v>
      </c>
      <c r="S62" s="116">
        <f>Revenue!S60*$C$62/12</f>
        <v>0</v>
      </c>
      <c r="T62" s="116">
        <f>Revenue!T60*$C$62/12</f>
        <v>0</v>
      </c>
      <c r="U62" s="116">
        <f>Revenue!U60*$C$62/12</f>
        <v>0</v>
      </c>
      <c r="V62" s="116">
        <f>Revenue!V60*$C$62/12</f>
        <v>0</v>
      </c>
      <c r="W62" s="116">
        <f>Revenue!W60*$C$62/12</f>
        <v>0</v>
      </c>
      <c r="X62" s="116">
        <f>Revenue!X60*$C$62/12</f>
        <v>0</v>
      </c>
      <c r="Y62" s="116">
        <f>Revenue!Y60*$C$62/12</f>
        <v>0</v>
      </c>
      <c r="Z62" s="116">
        <f>Revenue!Z60*$C$62/12</f>
        <v>0</v>
      </c>
      <c r="AA62" s="116">
        <f>Revenue!AA60*$C$62/12</f>
        <v>0</v>
      </c>
      <c r="AB62" s="116">
        <f>Revenue!AB60*$C$62/12</f>
        <v>0</v>
      </c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</row>
    <row r="63" spans="1:71" s="1" customFormat="1" ht="12.75">
      <c r="A63" s="62" t="s">
        <v>203</v>
      </c>
      <c r="B63" s="141">
        <v>6</v>
      </c>
      <c r="C63" s="522">
        <v>4</v>
      </c>
      <c r="D63" s="30"/>
      <c r="E63" s="116"/>
      <c r="F63" s="116">
        <f>Revenue!F71*$B$63/12</f>
        <v>0</v>
      </c>
      <c r="G63" s="116">
        <f ca="1">Revenue!G71*$C$63/12</f>
        <v>0</v>
      </c>
      <c r="H63" s="116">
        <f ca="1">Revenue!H71*$C$63/12</f>
        <v>0</v>
      </c>
      <c r="I63" s="116">
        <f ca="1">Revenue!I71*$C$63/12</f>
        <v>0</v>
      </c>
      <c r="J63" s="116">
        <f ca="1">Revenue!J71*$C$63/12</f>
        <v>0</v>
      </c>
      <c r="K63" s="116">
        <f ca="1">Revenue!K71*$C$63/12</f>
        <v>0</v>
      </c>
      <c r="L63" s="116">
        <f ca="1">Revenue!L71*$C$63/12</f>
        <v>0</v>
      </c>
      <c r="M63" s="116">
        <f ca="1">Revenue!M71*$C$63/12</f>
        <v>0</v>
      </c>
      <c r="N63" s="116">
        <f ca="1">Revenue!N71*$C$63/12</f>
        <v>0</v>
      </c>
      <c r="O63" s="116">
        <f ca="1">Revenue!O71*$C$63/12</f>
        <v>0</v>
      </c>
      <c r="P63" s="116">
        <f ca="1">Revenue!P71*$C$63/12</f>
        <v>0</v>
      </c>
      <c r="Q63" s="116">
        <f ca="1">Revenue!Q71*$C$63/12</f>
        <v>0</v>
      </c>
      <c r="R63" s="116">
        <f ca="1">Revenue!R71*$C$63/12</f>
        <v>0</v>
      </c>
      <c r="S63" s="116">
        <f ca="1">Revenue!S71*$C$63/12</f>
        <v>0</v>
      </c>
      <c r="T63" s="116">
        <f ca="1">Revenue!T71*$C$63/12</f>
        <v>0</v>
      </c>
      <c r="U63" s="116">
        <f ca="1">Revenue!U71*$C$63/12</f>
        <v>0</v>
      </c>
      <c r="V63" s="116">
        <f ca="1">Revenue!V71*$C$63/12</f>
        <v>0</v>
      </c>
      <c r="W63" s="116">
        <f ca="1">Revenue!W71*$C$63/12</f>
        <v>0</v>
      </c>
      <c r="X63" s="116">
        <f ca="1">Revenue!X71*$C$63/12</f>
        <v>0</v>
      </c>
      <c r="Y63" s="116">
        <f ca="1">Revenue!Y71*$C$63/12</f>
        <v>0</v>
      </c>
      <c r="Z63" s="116">
        <f ca="1">Revenue!Z71*$C$63/12</f>
        <v>0</v>
      </c>
      <c r="AA63" s="116">
        <f ca="1">Revenue!AA71*$C$63/12</f>
        <v>0</v>
      </c>
      <c r="AB63" s="116">
        <f ca="1">Revenue!AB71*$C$63/12</f>
        <v>0</v>
      </c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</row>
    <row r="64" spans="1:71" s="1" customFormat="1" ht="12.75">
      <c r="A64" s="62" t="s">
        <v>204</v>
      </c>
      <c r="B64" s="141">
        <f>Assumption!O23</f>
        <v>2</v>
      </c>
      <c r="C64" s="522">
        <v>1</v>
      </c>
      <c r="D64" s="30"/>
      <c r="E64" s="116"/>
      <c r="F64" s="116">
        <f>(Revenue!F87*$B$64/12)*50%+(Revenue!F87*1/12)*50%</f>
        <v>56.6373654</v>
      </c>
      <c r="G64" s="116">
        <f>(Revenue!G87*$C$64/12)*54%+(Revenue!G87*1/12)*46%</f>
        <v>76.796148554999959</v>
      </c>
      <c r="H64" s="116">
        <f>(Revenue!H87*$C$64/12)*54%+(Revenue!H87*1/12)*46%</f>
        <v>72.338984999999994</v>
      </c>
      <c r="I64" s="116">
        <f>(Revenue!I87*$C$64/12)*54%+(Revenue!I87*1/12)*46%</f>
        <v>71.049658499999978</v>
      </c>
      <c r="J64" s="116">
        <f>(Revenue!J87*$C$64/12)*54%+(Revenue!J87*1/12)*46%</f>
        <v>70.326900000000009</v>
      </c>
      <c r="K64" s="116">
        <f>(Revenue!K87*$C$64/12)*54%+(Revenue!K87*1/12)*46%</f>
        <v>70.134749999999997</v>
      </c>
      <c r="L64" s="116">
        <f>(Revenue!L87*$C$64/12)*54%+(Revenue!L87*1/12)*46%</f>
        <v>70.134749999999997</v>
      </c>
      <c r="M64" s="116">
        <f>(Revenue!M87*$C$64/12)*54%+(Revenue!M87*1/12)*46%</f>
        <v>70.134749999999997</v>
      </c>
      <c r="N64" s="116">
        <f>(Revenue!N87*$C$64/12)*54%+(Revenue!N87*1/12)*46%</f>
        <v>70.326900000000009</v>
      </c>
      <c r="O64" s="116">
        <f>(Revenue!O87*$C$64/12)*54%+(Revenue!O87*1/12)*46%</f>
        <v>70.134749999999997</v>
      </c>
      <c r="P64" s="116">
        <f>(Revenue!P87*$C$64/12)*54%+(Revenue!P87*1/12)*46%</f>
        <v>116.44594999999998</v>
      </c>
      <c r="Q64" s="116">
        <f>(Revenue!Q87*$C$64/12)*54%+(Revenue!Q87*1/12)*46%</f>
        <v>116.44594999999998</v>
      </c>
      <c r="R64" s="116">
        <f>(Revenue!R87*$C$64/12)*54%+(Revenue!R87*1/12)*46%</f>
        <v>116.76498000000001</v>
      </c>
      <c r="S64" s="116">
        <f>(Revenue!S87*$C$64/12)*54%+(Revenue!S87*1/12)*46%</f>
        <v>116.44594999999998</v>
      </c>
      <c r="T64" s="116">
        <f>(Revenue!T87*$C$64/12)*54%+(Revenue!T87*1/12)*46%</f>
        <v>116.44594999999998</v>
      </c>
      <c r="U64" s="116">
        <f>(Revenue!U87*$C$64/12)*54%+(Revenue!U87*1/12)*46%</f>
        <v>116.44594999999998</v>
      </c>
      <c r="V64" s="116">
        <f>(Revenue!V87*$C$64/12)*54%+(Revenue!V87*1/12)*46%</f>
        <v>116.76498000000001</v>
      </c>
      <c r="W64" s="116">
        <f>(Revenue!W87*$C$64/12)*54%+(Revenue!W87*1/12)*46%</f>
        <v>116.44594999999998</v>
      </c>
      <c r="X64" s="116">
        <f>(Revenue!X87*$C$64/12)*54%+(Revenue!X87*1/12)*46%</f>
        <v>116.44594999999998</v>
      </c>
      <c r="Y64" s="116">
        <f>(Revenue!Y87*$C$64/12)*54%+(Revenue!Y87*1/12)*46%</f>
        <v>116.44594999999998</v>
      </c>
      <c r="Z64" s="116">
        <f>(Revenue!Z87*$C$64/12)*54%+(Revenue!Z87*1/12)*46%</f>
        <v>116.76498000000001</v>
      </c>
      <c r="AA64" s="116">
        <f>(Revenue!AA87*$C$64/12)*54%+(Revenue!AA87*1/12)*46%</f>
        <v>116.44594999999998</v>
      </c>
      <c r="AB64" s="116">
        <f>(Revenue!AB87*$C$64/12)*54%+(Revenue!AB87*1/12)*46%</f>
        <v>116.44594999999998</v>
      </c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</row>
    <row r="65" spans="1:71" s="1" customFormat="1" ht="12.75">
      <c r="A65" s="62" t="s">
        <v>207</v>
      </c>
      <c r="B65" s="141">
        <f>Assumption!O24</f>
        <v>8</v>
      </c>
      <c r="C65" s="522">
        <v>2</v>
      </c>
      <c r="D65" s="30"/>
      <c r="E65" s="116"/>
      <c r="F65" s="116">
        <f>(Revenue!F29+Revenue!F47)*$B$65/12</f>
        <v>77.450284800000006</v>
      </c>
      <c r="G65" s="116">
        <f>(Revenue!G29+Revenue!G47)*$C$65/12</f>
        <v>19.309668000000006</v>
      </c>
      <c r="H65" s="116">
        <f>(Revenue!H29+Revenue!H47)*$C$65/12</f>
        <v>19.309668000000006</v>
      </c>
      <c r="I65" s="116">
        <f>(Revenue!I29+Revenue!I47)*$C$65/12</f>
        <v>19.309668000000006</v>
      </c>
      <c r="J65" s="116">
        <f>(Revenue!J29+Revenue!J47)*$C$65/12</f>
        <v>19.362571200000001</v>
      </c>
      <c r="K65" s="116">
        <f>(Revenue!K29+Revenue!K47)*$C$65/12</f>
        <v>19.309668000000006</v>
      </c>
      <c r="L65" s="116">
        <f>(Revenue!L29+Revenue!L47)*$C$65/12</f>
        <v>19.309668000000006</v>
      </c>
      <c r="M65" s="116">
        <f>(Revenue!M29+Revenue!M47)*$C$65/12</f>
        <v>19.309668000000006</v>
      </c>
      <c r="N65" s="116">
        <f>(Revenue!N29+Revenue!N47)*$C$65/12</f>
        <v>19.362571200000001</v>
      </c>
      <c r="O65" s="116">
        <f>(Revenue!O29+Revenue!O47)*$C$65/12</f>
        <v>19.309668000000006</v>
      </c>
      <c r="P65" s="116">
        <f>(Revenue!P29+Revenue!P47)*$C$65/12</f>
        <v>10.806628000000003</v>
      </c>
      <c r="Q65" s="116">
        <f>(Revenue!Q29+Revenue!Q47)*$C$65/12</f>
        <v>10.806628000000003</v>
      </c>
      <c r="R65" s="116">
        <f>(Revenue!R29+Revenue!R47)*$C$65/12</f>
        <v>10.836235199999999</v>
      </c>
      <c r="S65" s="116">
        <f>(Revenue!S29+Revenue!S47)*$C$65/12</f>
        <v>10.806628000000003</v>
      </c>
      <c r="T65" s="116">
        <f>(Revenue!T29+Revenue!T47)*$C$65/12</f>
        <v>10.806628000000003</v>
      </c>
      <c r="U65" s="116">
        <f>(Revenue!U29+Revenue!U47)*$C$65/12</f>
        <v>10.806628000000003</v>
      </c>
      <c r="V65" s="116">
        <f>(Revenue!V29+Revenue!V47)*$C$65/12</f>
        <v>10.836235199999999</v>
      </c>
      <c r="W65" s="116">
        <f>(Revenue!W29+Revenue!W47)*$C$65/12</f>
        <v>10.806628000000003</v>
      </c>
      <c r="X65" s="116">
        <f>(Revenue!X29+Revenue!X47)*$C$65/12</f>
        <v>10.806628000000003</v>
      </c>
      <c r="Y65" s="116">
        <f>(Revenue!Y29+Revenue!Y47)*$C$65/12</f>
        <v>10.806628000000003</v>
      </c>
      <c r="Z65" s="116">
        <f>(Revenue!Z29+Revenue!Z47)*$C$65/12</f>
        <v>10.836235199999999</v>
      </c>
      <c r="AA65" s="116">
        <f>(Revenue!AA29+Revenue!AA47)*$C$65/12</f>
        <v>10.806628000000003</v>
      </c>
      <c r="AB65" s="116">
        <f>(Revenue!AB29+Revenue!AB47)*$C$65/12</f>
        <v>10.806628000000003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</row>
    <row r="66" spans="1:71" s="4" customFormat="1">
      <c r="A66" s="37" t="s">
        <v>206</v>
      </c>
      <c r="B66" s="50"/>
      <c r="C66" s="10"/>
      <c r="D66" s="10"/>
      <c r="E66" s="10">
        <f>'Financial Statement'!E47</f>
        <v>782.60400000000004</v>
      </c>
      <c r="F66" s="10">
        <f t="shared" ref="F66:AB66" si="143">SUM(F59:F65)</f>
        <v>1198.9720082780482</v>
      </c>
      <c r="G66" s="10">
        <f t="shared" ca="1" si="143"/>
        <v>463.74327459342328</v>
      </c>
      <c r="H66" s="10">
        <f t="shared" ca="1" si="143"/>
        <v>430.71249879102544</v>
      </c>
      <c r="I66" s="10">
        <f t="shared" ca="1" si="143"/>
        <v>433.79039376299022</v>
      </c>
      <c r="J66" s="10">
        <f t="shared" ca="1" si="143"/>
        <v>440.0274627848205</v>
      </c>
      <c r="K66" s="10">
        <f t="shared" ca="1" si="143"/>
        <v>444.98969604376776</v>
      </c>
      <c r="L66" s="10">
        <f t="shared" ca="1" si="143"/>
        <v>451.94535373719089</v>
      </c>
      <c r="M66" s="10">
        <f t="shared" ca="1" si="143"/>
        <v>461.08699128141677</v>
      </c>
      <c r="N66" s="10">
        <f t="shared" ca="1" si="143"/>
        <v>473.63895800735168</v>
      </c>
      <c r="O66" s="10">
        <f t="shared" ca="1" si="143"/>
        <v>483.79065902706856</v>
      </c>
      <c r="P66" s="10">
        <f t="shared" ca="1" si="143"/>
        <v>308.49584646430952</v>
      </c>
      <c r="Q66" s="10">
        <f t="shared" ca="1" si="143"/>
        <v>314.76341711934896</v>
      </c>
      <c r="R66" s="10">
        <f t="shared" ca="1" si="143"/>
        <v>309.56453367344619</v>
      </c>
      <c r="S66" s="10">
        <f t="shared" ca="1" si="143"/>
        <v>310.70754059445079</v>
      </c>
      <c r="T66" s="10">
        <f t="shared" ca="1" si="143"/>
        <v>315.05265657039439</v>
      </c>
      <c r="U66" s="10">
        <f t="shared" ca="1" si="143"/>
        <v>319.63426255061637</v>
      </c>
      <c r="V66" s="10">
        <f t="shared" ca="1" si="143"/>
        <v>325.378698490369</v>
      </c>
      <c r="W66" s="10">
        <f t="shared" ca="1" si="143"/>
        <v>335.10849492746235</v>
      </c>
      <c r="X66" s="10">
        <f t="shared" ca="1" si="143"/>
        <v>343.68814485839641</v>
      </c>
      <c r="Y66" s="10">
        <f t="shared" ca="1" si="143"/>
        <v>352.70272174725841</v>
      </c>
      <c r="Z66" s="10">
        <f t="shared" ca="1" si="143"/>
        <v>367.28326264276126</v>
      </c>
      <c r="AA66" s="10">
        <f t="shared" ca="1" si="143"/>
        <v>376.28803859208</v>
      </c>
      <c r="AB66" s="10">
        <f t="shared" ca="1" si="143"/>
        <v>387.00234066295246</v>
      </c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</row>
    <row r="67" spans="1:71" s="1" customFormat="1" ht="12.7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</row>
    <row r="68" spans="1:71" s="4" customFormat="1">
      <c r="A68" s="37" t="s">
        <v>211</v>
      </c>
      <c r="B68" s="50"/>
      <c r="C68" s="10"/>
      <c r="D68" s="10"/>
      <c r="E68" s="10">
        <f>E66+E56</f>
        <v>1051.384</v>
      </c>
      <c r="F68" s="10">
        <f t="shared" ref="F68:AB68" si="144">F66+F56</f>
        <v>1449.5356224509887</v>
      </c>
      <c r="G68" s="10">
        <f t="shared" ca="1" si="144"/>
        <v>765.9863982329864</v>
      </c>
      <c r="H68" s="10">
        <f t="shared" ca="1" si="144"/>
        <v>726.44578693498784</v>
      </c>
      <c r="I68" s="10">
        <f t="shared" ca="1" si="144"/>
        <v>733.56774681563388</v>
      </c>
      <c r="J68" s="10">
        <f t="shared" ca="1" si="144"/>
        <v>744.70865869745671</v>
      </c>
      <c r="K68" s="10">
        <f t="shared" ca="1" si="144"/>
        <v>752.92188361092337</v>
      </c>
      <c r="L68" s="10">
        <f t="shared" ca="1" si="144"/>
        <v>764.06495798469894</v>
      </c>
      <c r="M68" s="10">
        <f t="shared" ca="1" si="144"/>
        <v>777.54932413767415</v>
      </c>
      <c r="N68" s="10">
        <f t="shared" ca="1" si="144"/>
        <v>795.40025367351234</v>
      </c>
      <c r="O68" s="10">
        <f t="shared" ca="1" si="144"/>
        <v>809.42921874146714</v>
      </c>
      <c r="P68" s="10">
        <f t="shared" ca="1" si="144"/>
        <v>638.98097916927691</v>
      </c>
      <c r="Q68" s="10">
        <f t="shared" ca="1" si="144"/>
        <v>650.27660768987857</v>
      </c>
      <c r="R68" s="10">
        <f t="shared" ca="1" si="144"/>
        <v>651.09873774026892</v>
      </c>
      <c r="S68" s="10">
        <f t="shared" ca="1" si="144"/>
        <v>656.85060493026754</v>
      </c>
      <c r="T68" s="10">
        <f t="shared" ca="1" si="144"/>
        <v>666.81297146992358</v>
      </c>
      <c r="U68" s="10">
        <f t="shared" ca="1" si="144"/>
        <v>677.22421033777061</v>
      </c>
      <c r="V68" s="10">
        <f t="shared" ca="1" si="144"/>
        <v>689.83492651385177</v>
      </c>
      <c r="W68" s="10">
        <f t="shared" ca="1" si="144"/>
        <v>705.02948090519385</v>
      </c>
      <c r="X68" s="10">
        <f t="shared" ca="1" si="144"/>
        <v>720.12878185037425</v>
      </c>
      <c r="Y68" s="10">
        <f t="shared" ca="1" si="144"/>
        <v>735.91191723097472</v>
      </c>
      <c r="Z68" s="10">
        <f t="shared" ca="1" si="144"/>
        <v>758.34970970783718</v>
      </c>
      <c r="AA68" s="10">
        <f t="shared" ca="1" si="144"/>
        <v>773.82204326698093</v>
      </c>
      <c r="AB68" s="10">
        <f t="shared" ca="1" si="144"/>
        <v>792.11419392960852</v>
      </c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</row>
    <row r="69" spans="1:71" s="1" customFormat="1" ht="12.7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</row>
    <row r="70" spans="1:71" s="1" customFormat="1" ht="12.75">
      <c r="A70" s="37" t="s">
        <v>46</v>
      </c>
      <c r="B70" s="144">
        <f>Assumption!K7</f>
        <v>0.25</v>
      </c>
      <c r="C70" s="10"/>
      <c r="D70" s="10"/>
      <c r="E70" s="10">
        <f>E68-E72</f>
        <v>329.38199999999995</v>
      </c>
      <c r="F70" s="10">
        <f t="shared" ref="F70:AB70" si="145">F68*$B$70</f>
        <v>362.38390561274718</v>
      </c>
      <c r="G70" s="10">
        <f t="shared" ca="1" si="145"/>
        <v>191.4965995582466</v>
      </c>
      <c r="H70" s="10">
        <f t="shared" ca="1" si="145"/>
        <v>181.61144673374696</v>
      </c>
      <c r="I70" s="10">
        <f t="shared" ca="1" si="145"/>
        <v>183.39193670390847</v>
      </c>
      <c r="J70" s="10">
        <f t="shared" ca="1" si="145"/>
        <v>186.17716467436418</v>
      </c>
      <c r="K70" s="10">
        <f t="shared" ca="1" si="145"/>
        <v>188.23047090273084</v>
      </c>
      <c r="L70" s="10">
        <f t="shared" ca="1" si="145"/>
        <v>191.01623949617473</v>
      </c>
      <c r="M70" s="10">
        <f t="shared" ca="1" si="145"/>
        <v>194.38733103441854</v>
      </c>
      <c r="N70" s="10">
        <f t="shared" ca="1" si="145"/>
        <v>198.85006341837808</v>
      </c>
      <c r="O70" s="10">
        <f t="shared" ca="1" si="145"/>
        <v>202.35730468536678</v>
      </c>
      <c r="P70" s="10">
        <f t="shared" ca="1" si="145"/>
        <v>159.74524479231923</v>
      </c>
      <c r="Q70" s="10">
        <f t="shared" ca="1" si="145"/>
        <v>162.56915192246964</v>
      </c>
      <c r="R70" s="10">
        <f t="shared" ca="1" si="145"/>
        <v>162.77468443506723</v>
      </c>
      <c r="S70" s="10">
        <f t="shared" ca="1" si="145"/>
        <v>164.21265123256688</v>
      </c>
      <c r="T70" s="10">
        <f t="shared" ca="1" si="145"/>
        <v>166.7032428674809</v>
      </c>
      <c r="U70" s="10">
        <f t="shared" ca="1" si="145"/>
        <v>169.30605258444265</v>
      </c>
      <c r="V70" s="10">
        <f t="shared" ca="1" si="145"/>
        <v>172.45873162846294</v>
      </c>
      <c r="W70" s="10">
        <f t="shared" ca="1" si="145"/>
        <v>176.25737022629846</v>
      </c>
      <c r="X70" s="10">
        <f t="shared" ca="1" si="145"/>
        <v>180.03219546259356</v>
      </c>
      <c r="Y70" s="10">
        <f t="shared" ca="1" si="145"/>
        <v>183.97797930774368</v>
      </c>
      <c r="Z70" s="10">
        <f t="shared" ca="1" si="145"/>
        <v>189.58742742695929</v>
      </c>
      <c r="AA70" s="10">
        <f t="shared" ca="1" si="145"/>
        <v>193.45551081674523</v>
      </c>
      <c r="AB70" s="10">
        <f t="shared" ca="1" si="145"/>
        <v>198.02854848240213</v>
      </c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</row>
    <row r="71" spans="1:71" s="1" customFormat="1" ht="12.75">
      <c r="A71" s="62"/>
      <c r="B71" s="62"/>
      <c r="C71" s="62"/>
      <c r="D71" s="62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</row>
    <row r="72" spans="1:71" s="1" customFormat="1" ht="12.75">
      <c r="A72" s="37" t="s">
        <v>194</v>
      </c>
      <c r="B72" s="144"/>
      <c r="C72" s="10"/>
      <c r="D72" s="10"/>
      <c r="E72" s="10">
        <f>'Financial Statement'!E72</f>
        <v>722.00200000000007</v>
      </c>
      <c r="F72" s="10">
        <f>MIN((F68-F70),900)</f>
        <v>900</v>
      </c>
      <c r="G72" s="10">
        <f ca="1">MIN((G68-G70),900)</f>
        <v>574.48979867473986</v>
      </c>
      <c r="H72" s="10">
        <f ca="1">MIN((H68-H70),900)</f>
        <v>544.83434020124082</v>
      </c>
      <c r="I72" s="10">
        <f t="shared" ref="I72:AB72" ca="1" si="146">I68-I70</f>
        <v>550.17581011172547</v>
      </c>
      <c r="J72" s="10">
        <f t="shared" ca="1" si="146"/>
        <v>558.53149402309259</v>
      </c>
      <c r="K72" s="10">
        <f t="shared" ca="1" si="146"/>
        <v>564.6914127081925</v>
      </c>
      <c r="L72" s="10">
        <f t="shared" ca="1" si="146"/>
        <v>573.04871848852417</v>
      </c>
      <c r="M72" s="10">
        <f t="shared" ca="1" si="146"/>
        <v>583.16199310325555</v>
      </c>
      <c r="N72" s="10">
        <f t="shared" ca="1" si="146"/>
        <v>596.55019025513423</v>
      </c>
      <c r="O72" s="10">
        <f t="shared" ca="1" si="146"/>
        <v>607.07191405610035</v>
      </c>
      <c r="P72" s="10">
        <f t="shared" ca="1" si="146"/>
        <v>479.23573437695768</v>
      </c>
      <c r="Q72" s="10">
        <f t="shared" ca="1" si="146"/>
        <v>487.70745576740893</v>
      </c>
      <c r="R72" s="10">
        <f t="shared" ca="1" si="146"/>
        <v>488.32405330520169</v>
      </c>
      <c r="S72" s="10">
        <f t="shared" ca="1" si="146"/>
        <v>492.63795369770065</v>
      </c>
      <c r="T72" s="10">
        <f t="shared" ca="1" si="146"/>
        <v>500.10972860244271</v>
      </c>
      <c r="U72" s="10">
        <f t="shared" ca="1" si="146"/>
        <v>507.91815775332793</v>
      </c>
      <c r="V72" s="10">
        <f t="shared" ca="1" si="146"/>
        <v>517.37619488538883</v>
      </c>
      <c r="W72" s="10">
        <f t="shared" ca="1" si="146"/>
        <v>528.77211067889539</v>
      </c>
      <c r="X72" s="10">
        <f t="shared" ca="1" si="146"/>
        <v>540.09658638778069</v>
      </c>
      <c r="Y72" s="10">
        <f t="shared" ca="1" si="146"/>
        <v>551.93393792323104</v>
      </c>
      <c r="Z72" s="10">
        <f t="shared" ca="1" si="146"/>
        <v>568.76228228087791</v>
      </c>
      <c r="AA72" s="10">
        <f t="shared" ca="1" si="146"/>
        <v>580.3665324502357</v>
      </c>
      <c r="AB72" s="10">
        <f t="shared" ca="1" si="146"/>
        <v>594.08564544720639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</row>
    <row r="73" spans="1:71" s="1" customFormat="1" ht="12.7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</row>
    <row r="74" spans="1:71" s="250" customFormat="1" ht="12.75">
      <c r="A74" s="37" t="s">
        <v>386</v>
      </c>
      <c r="B74" s="247"/>
      <c r="C74" s="27"/>
      <c r="D74" s="248"/>
      <c r="E74" s="28">
        <f>E68-E70-E72</f>
        <v>0</v>
      </c>
      <c r="F74" s="28">
        <f t="shared" ref="F74:AB74" si="147">F68-F70-F72</f>
        <v>187.15171683824155</v>
      </c>
      <c r="G74" s="28">
        <f t="shared" ca="1" si="147"/>
        <v>0</v>
      </c>
      <c r="H74" s="28">
        <f t="shared" ca="1" si="147"/>
        <v>0</v>
      </c>
      <c r="I74" s="28">
        <f t="shared" ca="1" si="147"/>
        <v>0</v>
      </c>
      <c r="J74" s="28">
        <f t="shared" ca="1" si="147"/>
        <v>0</v>
      </c>
      <c r="K74" s="28">
        <f t="shared" ca="1" si="147"/>
        <v>0</v>
      </c>
      <c r="L74" s="28">
        <f t="shared" ca="1" si="147"/>
        <v>0</v>
      </c>
      <c r="M74" s="28">
        <f t="shared" ca="1" si="147"/>
        <v>0</v>
      </c>
      <c r="N74" s="28">
        <f t="shared" ca="1" si="147"/>
        <v>0</v>
      </c>
      <c r="O74" s="28">
        <f t="shared" ca="1" si="147"/>
        <v>0</v>
      </c>
      <c r="P74" s="28">
        <f t="shared" ca="1" si="147"/>
        <v>0</v>
      </c>
      <c r="Q74" s="28">
        <f t="shared" ca="1" si="147"/>
        <v>0</v>
      </c>
      <c r="R74" s="28">
        <f t="shared" ca="1" si="147"/>
        <v>0</v>
      </c>
      <c r="S74" s="28">
        <f t="shared" ca="1" si="147"/>
        <v>0</v>
      </c>
      <c r="T74" s="28">
        <f t="shared" ca="1" si="147"/>
        <v>0</v>
      </c>
      <c r="U74" s="28">
        <f t="shared" ca="1" si="147"/>
        <v>0</v>
      </c>
      <c r="V74" s="28">
        <f t="shared" ca="1" si="147"/>
        <v>0</v>
      </c>
      <c r="W74" s="28">
        <f t="shared" ca="1" si="147"/>
        <v>0</v>
      </c>
      <c r="X74" s="28">
        <f t="shared" ca="1" si="147"/>
        <v>0</v>
      </c>
      <c r="Y74" s="28">
        <f t="shared" ca="1" si="147"/>
        <v>0</v>
      </c>
      <c r="Z74" s="28">
        <f t="shared" ca="1" si="147"/>
        <v>0</v>
      </c>
      <c r="AA74" s="28">
        <f t="shared" ca="1" si="147"/>
        <v>0</v>
      </c>
      <c r="AB74" s="28">
        <f t="shared" ca="1" si="147"/>
        <v>0</v>
      </c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  <c r="BC74" s="249"/>
      <c r="BD74" s="249"/>
      <c r="BE74" s="249"/>
      <c r="BF74" s="249"/>
      <c r="BG74" s="249"/>
      <c r="BH74" s="249"/>
      <c r="BI74" s="249"/>
      <c r="BJ74" s="249"/>
      <c r="BK74" s="249"/>
      <c r="BL74" s="249"/>
      <c r="BM74" s="249"/>
      <c r="BN74" s="249"/>
      <c r="BO74" s="249"/>
      <c r="BP74" s="249"/>
      <c r="BQ74" s="249"/>
      <c r="BR74" s="249"/>
      <c r="BS74" s="249"/>
    </row>
    <row r="75" spans="1:71" s="1" customFormat="1" ht="12.7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</row>
    <row r="76" spans="1:71" s="1" customFormat="1" ht="13.5" thickBot="1">
      <c r="A76" s="71" t="s">
        <v>212</v>
      </c>
      <c r="B76" s="127">
        <f>Assumption!K14</f>
        <v>8.4500000000000006E-2</v>
      </c>
      <c r="C76" s="73"/>
      <c r="D76" s="121"/>
      <c r="E76" s="74">
        <f>AVERAGE(D72:E72)*$B$76</f>
        <v>61.009169000000007</v>
      </c>
      <c r="F76" s="74">
        <f>AVERAGE(E72:F72)*$B$76</f>
        <v>68.529584499999999</v>
      </c>
      <c r="G76" s="74">
        <f ca="1">AVERAGE(F72:G72)*$B$76</f>
        <v>62.297193994007763</v>
      </c>
      <c r="H76" s="74">
        <f t="shared" ref="H76:AB76" ca="1" si="148">AVERAGE(G72:H72)*$B$76</f>
        <v>47.291444867510187</v>
      </c>
      <c r="I76" s="74">
        <f t="shared" ca="1" si="148"/>
        <v>46.264178850722828</v>
      </c>
      <c r="J76" s="74">
        <f t="shared" ca="1" si="148"/>
        <v>46.842883599696066</v>
      </c>
      <c r="K76" s="74">
        <f t="shared" ca="1" si="148"/>
        <v>47.456167809396796</v>
      </c>
      <c r="L76" s="74">
        <f t="shared" ca="1" si="148"/>
        <v>48.06952054306128</v>
      </c>
      <c r="M76" s="74">
        <f t="shared" ca="1" si="148"/>
        <v>48.849902564752696</v>
      </c>
      <c r="N76" s="74">
        <f t="shared" ca="1" si="148"/>
        <v>49.842839746891968</v>
      </c>
      <c r="O76" s="74">
        <f t="shared" ca="1" si="148"/>
        <v>50.853033907149666</v>
      </c>
      <c r="P76" s="74">
        <f t="shared" ca="1" si="148"/>
        <v>45.896498146296707</v>
      </c>
      <c r="Q76" s="74">
        <f t="shared" ca="1" si="148"/>
        <v>40.853349783599491</v>
      </c>
      <c r="R76" s="74">
        <f t="shared" ca="1" si="148"/>
        <v>41.237331258317802</v>
      </c>
      <c r="S76" s="74">
        <f t="shared" ca="1" si="148"/>
        <v>41.445644795872624</v>
      </c>
      <c r="T76" s="74">
        <f t="shared" ca="1" si="148"/>
        <v>41.943589577181065</v>
      </c>
      <c r="U76" s="74">
        <f t="shared" ca="1" si="148"/>
        <v>42.589178198531314</v>
      </c>
      <c r="V76" s="74">
        <f t="shared" ca="1" si="148"/>
        <v>43.318686398985783</v>
      </c>
      <c r="W76" s="74">
        <f t="shared" ca="1" si="148"/>
        <v>44.199765910091017</v>
      </c>
      <c r="X76" s="74">
        <f t="shared" ca="1" si="148"/>
        <v>45.159702451067069</v>
      </c>
      <c r="Y76" s="74">
        <f t="shared" ca="1" si="148"/>
        <v>46.138289652140251</v>
      </c>
      <c r="Z76" s="74">
        <f t="shared" ca="1" si="148"/>
        <v>47.349415303623609</v>
      </c>
      <c r="AA76" s="74">
        <f t="shared" ca="1" si="148"/>
        <v>48.550692422389552</v>
      </c>
      <c r="AB76" s="74">
        <f t="shared" ca="1" si="148"/>
        <v>49.620604516166935</v>
      </c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</row>
    <row r="77" spans="1:71" s="1" customFormat="1" ht="13.5" thickTop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</row>
    <row r="78" spans="1:71" s="1" customFormat="1" ht="12.75">
      <c r="A78" s="62"/>
      <c r="B78" s="62"/>
      <c r="C78" s="62"/>
      <c r="D78" s="62"/>
      <c r="E78" s="62"/>
      <c r="F78" s="112"/>
      <c r="G78" s="112"/>
      <c r="H78" s="173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</row>
    <row r="79" spans="1:71" s="1" customFormat="1" ht="12.7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</row>
    <row r="80" spans="1:71" customFormat="1">
      <c r="A80" s="14" t="s">
        <v>31</v>
      </c>
      <c r="B80" s="4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</sheetData>
  <mergeCells count="2">
    <mergeCell ref="A5:A7"/>
    <mergeCell ref="A46:A48"/>
  </mergeCells>
  <pageMargins left="0.25" right="0.25" top="0.75" bottom="0.75" header="0.3" footer="0.3"/>
  <pageSetup paperSize="9" scale="21" orientation="landscape" r:id="rId1"/>
  <ignoredErrors>
    <ignoredError sqref="L27 G1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RowHeight="12.75"/>
  <cols>
    <col min="1" max="1" width="34.85546875" style="1" bestFit="1" customWidth="1"/>
    <col min="2" max="16384" width="9.140625" style="1"/>
  </cols>
  <sheetData>
    <row r="1" spans="1:28" s="151" customFormat="1" ht="18.75">
      <c r="A1" s="21" t="s">
        <v>29</v>
      </c>
      <c r="B1" s="4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s="151" customFormat="1" ht="15.75">
      <c r="A2" s="22" t="s">
        <v>289</v>
      </c>
      <c r="B2" s="4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4" spans="1:28" ht="13.5" thickBot="1"/>
    <row r="5" spans="1:28" ht="13.5" thickTop="1">
      <c r="A5" s="641" t="s">
        <v>0</v>
      </c>
      <c r="B5" s="46"/>
      <c r="C5" s="19">
        <f>B6+1</f>
        <v>42461</v>
      </c>
      <c r="D5" s="19">
        <f>C6+1</f>
        <v>42826</v>
      </c>
      <c r="E5" s="19">
        <v>43191</v>
      </c>
      <c r="F5" s="19">
        <f>E6+1</f>
        <v>43556</v>
      </c>
      <c r="G5" s="19">
        <f>F6+1</f>
        <v>43922</v>
      </c>
      <c r="H5" s="19">
        <f t="shared" ref="H5:AB5" si="0">G6+1</f>
        <v>44287</v>
      </c>
      <c r="I5" s="19">
        <f t="shared" si="0"/>
        <v>44652</v>
      </c>
      <c r="J5" s="19">
        <f t="shared" si="0"/>
        <v>45017</v>
      </c>
      <c r="K5" s="19">
        <f t="shared" si="0"/>
        <v>45383</v>
      </c>
      <c r="L5" s="19">
        <f t="shared" si="0"/>
        <v>45748</v>
      </c>
      <c r="M5" s="19">
        <f t="shared" si="0"/>
        <v>46113</v>
      </c>
      <c r="N5" s="19">
        <f t="shared" si="0"/>
        <v>46478</v>
      </c>
      <c r="O5" s="19">
        <f t="shared" si="0"/>
        <v>46844</v>
      </c>
      <c r="P5" s="19">
        <f t="shared" si="0"/>
        <v>47209</v>
      </c>
      <c r="Q5" s="19">
        <f t="shared" si="0"/>
        <v>47574</v>
      </c>
      <c r="R5" s="19">
        <f t="shared" si="0"/>
        <v>47939</v>
      </c>
      <c r="S5" s="19">
        <f t="shared" si="0"/>
        <v>48305</v>
      </c>
      <c r="T5" s="19">
        <f t="shared" si="0"/>
        <v>48670</v>
      </c>
      <c r="U5" s="19">
        <f t="shared" si="0"/>
        <v>49035</v>
      </c>
      <c r="V5" s="19">
        <f t="shared" si="0"/>
        <v>49400</v>
      </c>
      <c r="W5" s="19">
        <f t="shared" si="0"/>
        <v>49766</v>
      </c>
      <c r="X5" s="19">
        <f t="shared" si="0"/>
        <v>50131</v>
      </c>
      <c r="Y5" s="19">
        <f t="shared" si="0"/>
        <v>50496</v>
      </c>
      <c r="Z5" s="19">
        <f t="shared" si="0"/>
        <v>50861</v>
      </c>
      <c r="AA5" s="19">
        <f t="shared" si="0"/>
        <v>51227</v>
      </c>
      <c r="AB5" s="19">
        <f t="shared" si="0"/>
        <v>51592</v>
      </c>
    </row>
    <row r="6" spans="1:28" s="174" customFormat="1">
      <c r="A6" s="642"/>
      <c r="B6" s="6">
        <v>42460</v>
      </c>
      <c r="C6" s="6">
        <f>EOMONTH(B6,12)</f>
        <v>42825</v>
      </c>
      <c r="D6" s="6">
        <f>EOMONTH(C6,12)</f>
        <v>43190</v>
      </c>
      <c r="E6" s="6">
        <v>43555</v>
      </c>
      <c r="F6" s="6">
        <f>EOMONTH(E6,12)</f>
        <v>43921</v>
      </c>
      <c r="G6" s="6">
        <f t="shared" ref="G6:AB6" si="1">EOMONTH(F6,12)</f>
        <v>44286</v>
      </c>
      <c r="H6" s="6">
        <f t="shared" si="1"/>
        <v>44651</v>
      </c>
      <c r="I6" s="6">
        <f t="shared" si="1"/>
        <v>45016</v>
      </c>
      <c r="J6" s="6">
        <f t="shared" si="1"/>
        <v>45382</v>
      </c>
      <c r="K6" s="6">
        <f t="shared" si="1"/>
        <v>45747</v>
      </c>
      <c r="L6" s="6">
        <f t="shared" si="1"/>
        <v>46112</v>
      </c>
      <c r="M6" s="6">
        <f t="shared" si="1"/>
        <v>46477</v>
      </c>
      <c r="N6" s="6">
        <f t="shared" si="1"/>
        <v>46843</v>
      </c>
      <c r="O6" s="6">
        <f t="shared" si="1"/>
        <v>47208</v>
      </c>
      <c r="P6" s="6">
        <f t="shared" si="1"/>
        <v>47573</v>
      </c>
      <c r="Q6" s="6">
        <f t="shared" si="1"/>
        <v>47938</v>
      </c>
      <c r="R6" s="6">
        <f t="shared" si="1"/>
        <v>48304</v>
      </c>
      <c r="S6" s="6">
        <f t="shared" si="1"/>
        <v>48669</v>
      </c>
      <c r="T6" s="6">
        <f t="shared" si="1"/>
        <v>49034</v>
      </c>
      <c r="U6" s="6">
        <f t="shared" si="1"/>
        <v>49399</v>
      </c>
      <c r="V6" s="6">
        <f t="shared" si="1"/>
        <v>49765</v>
      </c>
      <c r="W6" s="6">
        <f t="shared" si="1"/>
        <v>50130</v>
      </c>
      <c r="X6" s="6">
        <f t="shared" si="1"/>
        <v>50495</v>
      </c>
      <c r="Y6" s="6">
        <f t="shared" si="1"/>
        <v>50860</v>
      </c>
      <c r="Z6" s="6">
        <f t="shared" si="1"/>
        <v>51226</v>
      </c>
      <c r="AA6" s="6">
        <f t="shared" si="1"/>
        <v>51591</v>
      </c>
      <c r="AB6" s="6">
        <f t="shared" si="1"/>
        <v>51956</v>
      </c>
    </row>
    <row r="7" spans="1:28">
      <c r="A7" s="642"/>
      <c r="B7" s="176">
        <f>YEAR(B6)</f>
        <v>2016</v>
      </c>
      <c r="C7" s="176">
        <f>YEAR(C6)</f>
        <v>2017</v>
      </c>
      <c r="D7" s="176">
        <f t="shared" ref="D7:AB7" si="2">YEAR(D6)</f>
        <v>2018</v>
      </c>
      <c r="E7" s="176">
        <f t="shared" si="2"/>
        <v>2019</v>
      </c>
      <c r="F7" s="176">
        <f t="shared" si="2"/>
        <v>2020</v>
      </c>
      <c r="G7" s="176">
        <f t="shared" si="2"/>
        <v>2021</v>
      </c>
      <c r="H7" s="176">
        <f t="shared" si="2"/>
        <v>2022</v>
      </c>
      <c r="I7" s="176">
        <f t="shared" si="2"/>
        <v>2023</v>
      </c>
      <c r="J7" s="176">
        <f t="shared" si="2"/>
        <v>2024</v>
      </c>
      <c r="K7" s="176">
        <f t="shared" si="2"/>
        <v>2025</v>
      </c>
      <c r="L7" s="176">
        <f t="shared" si="2"/>
        <v>2026</v>
      </c>
      <c r="M7" s="176">
        <f t="shared" si="2"/>
        <v>2027</v>
      </c>
      <c r="N7" s="176">
        <f t="shared" si="2"/>
        <v>2028</v>
      </c>
      <c r="O7" s="176">
        <f t="shared" si="2"/>
        <v>2029</v>
      </c>
      <c r="P7" s="176">
        <f t="shared" si="2"/>
        <v>2030</v>
      </c>
      <c r="Q7" s="176">
        <f t="shared" si="2"/>
        <v>2031</v>
      </c>
      <c r="R7" s="176">
        <f t="shared" si="2"/>
        <v>2032</v>
      </c>
      <c r="S7" s="176">
        <f t="shared" si="2"/>
        <v>2033</v>
      </c>
      <c r="T7" s="176">
        <f t="shared" si="2"/>
        <v>2034</v>
      </c>
      <c r="U7" s="176">
        <f t="shared" si="2"/>
        <v>2035</v>
      </c>
      <c r="V7" s="176">
        <f t="shared" si="2"/>
        <v>2036</v>
      </c>
      <c r="W7" s="176">
        <f t="shared" si="2"/>
        <v>2037</v>
      </c>
      <c r="X7" s="176">
        <f t="shared" si="2"/>
        <v>2038</v>
      </c>
      <c r="Y7" s="176">
        <f t="shared" si="2"/>
        <v>2039</v>
      </c>
      <c r="Z7" s="176">
        <f t="shared" si="2"/>
        <v>2040</v>
      </c>
      <c r="AA7" s="176">
        <f t="shared" si="2"/>
        <v>2041</v>
      </c>
      <c r="AB7" s="176">
        <f t="shared" si="2"/>
        <v>2042</v>
      </c>
    </row>
    <row r="8" spans="1:28" s="175" customFormat="1">
      <c r="A8" s="177" t="s">
        <v>265</v>
      </c>
      <c r="B8" s="178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179"/>
      <c r="Z8" s="179"/>
      <c r="AA8" s="179"/>
      <c r="AB8" s="179"/>
    </row>
    <row r="9" spans="1:28" s="175" customFormat="1">
      <c r="A9" s="178" t="s">
        <v>266</v>
      </c>
      <c r="B9" s="178"/>
      <c r="C9" s="181">
        <f>'Financial Statement'!C23</f>
        <v>-251.03400000000013</v>
      </c>
      <c r="D9" s="181">
        <f>'Financial Statement'!D23</f>
        <v>-35.734000000000293</v>
      </c>
      <c r="E9" s="181">
        <f>'Financial Statement'!E23</f>
        <v>-45.625000000000114</v>
      </c>
      <c r="F9" s="181">
        <f>'Financial Statement'!F23</f>
        <v>359.72899999999993</v>
      </c>
      <c r="G9" s="181">
        <f ca="1">'Financial Statement'!G23</f>
        <v>405.66199999999975</v>
      </c>
      <c r="H9" s="181">
        <f ca="1">'Financial Statement'!H23</f>
        <v>242.0302426880445</v>
      </c>
      <c r="I9" s="181">
        <f ca="1">'Financial Statement'!I23</f>
        <v>261.30125338708638</v>
      </c>
      <c r="J9" s="181">
        <f ca="1">'Financial Statement'!J23</f>
        <v>293.52968878866477</v>
      </c>
      <c r="K9" s="181">
        <f ca="1">'Financial Statement'!K23</f>
        <v>342.32982467255022</v>
      </c>
      <c r="L9" s="181">
        <f ca="1">'Financial Statement'!L23</f>
        <v>397.88938001570705</v>
      </c>
      <c r="M9" s="181">
        <f ca="1">'Financial Statement'!M23</f>
        <v>468.03021337477935</v>
      </c>
      <c r="N9" s="181">
        <f ca="1">'Financial Statement'!N23</f>
        <v>549.92658564836665</v>
      </c>
      <c r="O9" s="181">
        <f ca="1">'Financial Statement'!O23</f>
        <v>626.46722607188167</v>
      </c>
      <c r="P9" s="181">
        <f ca="1">'Financial Statement'!P23</f>
        <v>274.4402711805003</v>
      </c>
      <c r="Q9" s="181">
        <f ca="1">'Financial Statement'!Q23</f>
        <v>333.24988883452284</v>
      </c>
      <c r="R9" s="181">
        <f ca="1">'Financial Statement'!R23</f>
        <v>311.54114709958799</v>
      </c>
      <c r="S9" s="181">
        <f ca="1">'Financial Statement'!S23</f>
        <v>329.00463233607059</v>
      </c>
      <c r="T9" s="181">
        <f ca="1">'Financial Statement'!T23</f>
        <v>362.61899252559397</v>
      </c>
      <c r="U9" s="181">
        <f ca="1">'Financial Statement'!U23</f>
        <v>405.88919250004449</v>
      </c>
      <c r="V9" s="181">
        <f ca="1">'Financial Statement'!V23</f>
        <v>415.36159730699467</v>
      </c>
      <c r="W9" s="181">
        <f ca="1">'Financial Statement'!W23</f>
        <v>441.61396016628498</v>
      </c>
      <c r="X9" s="181">
        <f ca="1">'Financial Statement'!X23</f>
        <v>451.83878551107944</v>
      </c>
      <c r="Y9" s="181">
        <f ca="1">'Financial Statement'!Y23</f>
        <v>474.9550028601808</v>
      </c>
      <c r="Z9" s="181">
        <f ca="1">'Financial Statement'!Z23</f>
        <v>527.80787727303141</v>
      </c>
      <c r="AA9" s="181">
        <f ca="1">'Financial Statement'!AA23</f>
        <v>550.32853416426997</v>
      </c>
      <c r="AB9" s="181">
        <f ca="1">'Financial Statement'!AB23</f>
        <v>646.28771662766314</v>
      </c>
    </row>
    <row r="10" spans="1:28" s="175" customFormat="1">
      <c r="A10" s="178" t="s">
        <v>267</v>
      </c>
      <c r="B10" s="178"/>
      <c r="C10" s="181">
        <f>'Financial Statement'!C22</f>
        <v>204.19300000000001</v>
      </c>
      <c r="D10" s="181">
        <f>'Financial Statement'!D22</f>
        <v>219.21299999999999</v>
      </c>
      <c r="E10" s="181">
        <f>'Financial Statement'!E22</f>
        <v>307.505</v>
      </c>
      <c r="F10" s="181">
        <f>'Financial Statement'!F22</f>
        <v>325.10000000000002</v>
      </c>
      <c r="G10" s="181">
        <f>'Financial Statement'!G22</f>
        <v>322.04000000000002</v>
      </c>
      <c r="H10" s="181">
        <f ca="1">'Financial Statement'!H22</f>
        <v>311.43826747784306</v>
      </c>
      <c r="I10" s="181">
        <f ca="1">'Financial Statement'!I22</f>
        <v>322.9197041048817</v>
      </c>
      <c r="J10" s="181">
        <f ca="1">'Financial Statement'!J22</f>
        <v>328.75813352613363</v>
      </c>
      <c r="K10" s="181">
        <f ca="1">'Financial Statement'!K22</f>
        <v>328.75813352613386</v>
      </c>
      <c r="L10" s="181">
        <f ca="1">'Financial Statement'!L22</f>
        <v>328.75813352613386</v>
      </c>
      <c r="M10" s="181">
        <f ca="1">'Financial Statement'!M22</f>
        <v>328.75813352613386</v>
      </c>
      <c r="N10" s="181">
        <f ca="1">'Financial Statement'!N22</f>
        <v>328.75813352613386</v>
      </c>
      <c r="O10" s="181">
        <f ca="1">'Financial Statement'!O22</f>
        <v>328.75813352613386</v>
      </c>
      <c r="P10" s="181">
        <f ca="1">'Financial Statement'!P22</f>
        <v>328.75813352613341</v>
      </c>
      <c r="Q10" s="181">
        <f ca="1">'Financial Statement'!Q22</f>
        <v>328.75813352613386</v>
      </c>
      <c r="R10" s="181">
        <f ca="1">'Financial Statement'!R22</f>
        <v>328.75813352613386</v>
      </c>
      <c r="S10" s="181">
        <f ca="1">'Financial Statement'!S22</f>
        <v>328.75813352613386</v>
      </c>
      <c r="T10" s="181">
        <f ca="1">'Financial Statement'!T22</f>
        <v>328.75813352613386</v>
      </c>
      <c r="U10" s="181">
        <f ca="1">'Financial Statement'!U22</f>
        <v>328.75813352613386</v>
      </c>
      <c r="V10" s="181">
        <f ca="1">'Financial Statement'!V22</f>
        <v>328.75813352613386</v>
      </c>
      <c r="W10" s="181">
        <f ca="1">'Financial Statement'!W22</f>
        <v>328.75813352613386</v>
      </c>
      <c r="X10" s="181">
        <f ca="1">'Financial Statement'!X22</f>
        <v>328.75813352613386</v>
      </c>
      <c r="Y10" s="181">
        <f ca="1">'Financial Statement'!Y22</f>
        <v>328.75813352613386</v>
      </c>
      <c r="Z10" s="181">
        <f ca="1">'Financial Statement'!Z22</f>
        <v>328.75813352613386</v>
      </c>
      <c r="AA10" s="181">
        <f ca="1">'Financial Statement'!AA22</f>
        <v>328.75813352613386</v>
      </c>
      <c r="AB10" s="181">
        <f ca="1">'Financial Statement'!AB22</f>
        <v>328.75813352613386</v>
      </c>
    </row>
    <row r="11" spans="1:28" s="175" customFormat="1">
      <c r="A11" s="178" t="s">
        <v>268</v>
      </c>
      <c r="B11" s="178"/>
      <c r="C11" s="183">
        <f>Phasing!C81</f>
        <v>1064.0291942554368</v>
      </c>
      <c r="D11" s="183">
        <f>Phasing!D81</f>
        <v>669.14513052032828</v>
      </c>
      <c r="E11" s="183">
        <f>Phasing!E81</f>
        <v>705.96690552032828</v>
      </c>
      <c r="F11" s="183">
        <f>Phasing!F81</f>
        <v>643.35429469227904</v>
      </c>
      <c r="G11" s="183">
        <f>Phasing!G81</f>
        <v>558.69132548843731</v>
      </c>
      <c r="H11" s="183">
        <f>Phasing!H81</f>
        <v>480.26715166517158</v>
      </c>
      <c r="I11" s="183">
        <f>Phasing!I81</f>
        <v>408.22707891539585</v>
      </c>
      <c r="J11" s="183">
        <f>Phasing!J81</f>
        <v>346.99301707808644</v>
      </c>
      <c r="K11" s="183">
        <f>Phasing!K81</f>
        <v>294.94406451637349</v>
      </c>
      <c r="L11" s="183">
        <f>Phasing!L81</f>
        <v>250.70245483891748</v>
      </c>
      <c r="M11" s="183">
        <f>Phasing!M81</f>
        <v>213.09708661307988</v>
      </c>
      <c r="N11" s="183">
        <f>Phasing!N81</f>
        <v>181.13252362111788</v>
      </c>
      <c r="O11" s="183">
        <f>Phasing!O81</f>
        <v>153.96264507795021</v>
      </c>
      <c r="P11" s="183">
        <f>Phasing!P81</f>
        <v>130.86824831625768</v>
      </c>
      <c r="Q11" s="183">
        <f>Phasing!Q81</f>
        <v>111.23801106881903</v>
      </c>
      <c r="R11" s="183">
        <f>Phasing!R81</f>
        <v>94.552309408496185</v>
      </c>
      <c r="S11" s="183">
        <f>Phasing!S81</f>
        <v>80.36946299722176</v>
      </c>
      <c r="T11" s="183">
        <f>Phasing!T81</f>
        <v>68.314043547638491</v>
      </c>
      <c r="U11" s="183">
        <f>Phasing!U81</f>
        <v>58.066937015492712</v>
      </c>
      <c r="V11" s="183">
        <f>Phasing!V81</f>
        <v>49.356896463168802</v>
      </c>
      <c r="W11" s="183">
        <f>Phasing!W81</f>
        <v>41.953361993693484</v>
      </c>
      <c r="X11" s="183">
        <f>Phasing!X81</f>
        <v>35.660357694639458</v>
      </c>
      <c r="Y11" s="183">
        <f>Phasing!Y81</f>
        <v>30.311304040443542</v>
      </c>
      <c r="Z11" s="183">
        <f>Phasing!Z81</f>
        <v>25.764608434377013</v>
      </c>
      <c r="AA11" s="183">
        <f>Phasing!AA81</f>
        <v>21.899917169220462</v>
      </c>
      <c r="AB11" s="183">
        <f>Phasing!AB81</f>
        <v>18.614929593837392</v>
      </c>
    </row>
    <row r="12" spans="1:28" s="4" customFormat="1" ht="15">
      <c r="A12" s="37" t="s">
        <v>269</v>
      </c>
      <c r="B12" s="10"/>
      <c r="C12" s="10">
        <f>C9+C10-C11</f>
        <v>-1110.8701942554369</v>
      </c>
      <c r="D12" s="10">
        <f>D9+D10-D11</f>
        <v>-485.66613052032858</v>
      </c>
      <c r="E12" s="10">
        <f t="shared" ref="E12:AB12" si="3">E9+E10-E11</f>
        <v>-444.0869055203284</v>
      </c>
      <c r="F12" s="10">
        <f t="shared" si="3"/>
        <v>41.47470530772091</v>
      </c>
      <c r="G12" s="10">
        <f t="shared" ca="1" si="3"/>
        <v>169.01067451156246</v>
      </c>
      <c r="H12" s="10">
        <f t="shared" ca="1" si="3"/>
        <v>73.201358500715969</v>
      </c>
      <c r="I12" s="10">
        <f t="shared" ca="1" si="3"/>
        <v>175.99387857657223</v>
      </c>
      <c r="J12" s="10">
        <f t="shared" ca="1" si="3"/>
        <v>275.29480523671197</v>
      </c>
      <c r="K12" s="10">
        <f t="shared" ca="1" si="3"/>
        <v>376.14389368231059</v>
      </c>
      <c r="L12" s="10">
        <f t="shared" ca="1" si="3"/>
        <v>475.94505870292346</v>
      </c>
      <c r="M12" s="10">
        <f t="shared" ca="1" si="3"/>
        <v>583.6912602878333</v>
      </c>
      <c r="N12" s="10">
        <f t="shared" ca="1" si="3"/>
        <v>697.5521955533826</v>
      </c>
      <c r="O12" s="10">
        <f t="shared" ca="1" si="3"/>
        <v>801.26271452006529</v>
      </c>
      <c r="P12" s="10">
        <f t="shared" ca="1" si="3"/>
        <v>472.33015639037603</v>
      </c>
      <c r="Q12" s="10">
        <f t="shared" ca="1" si="3"/>
        <v>550.7700112918377</v>
      </c>
      <c r="R12" s="10">
        <f t="shared" ca="1" si="3"/>
        <v>545.74697121722568</v>
      </c>
      <c r="S12" s="10">
        <f t="shared" ca="1" si="3"/>
        <v>577.39330286498273</v>
      </c>
      <c r="T12" s="10">
        <f t="shared" ca="1" si="3"/>
        <v>623.06308250408938</v>
      </c>
      <c r="U12" s="10">
        <f t="shared" ca="1" si="3"/>
        <v>676.58038901068562</v>
      </c>
      <c r="V12" s="10">
        <f t="shared" ca="1" si="3"/>
        <v>694.76283436995971</v>
      </c>
      <c r="W12" s="10">
        <f t="shared" ca="1" si="3"/>
        <v>728.41873169872531</v>
      </c>
      <c r="X12" s="10">
        <f t="shared" ca="1" si="3"/>
        <v>744.9365613425739</v>
      </c>
      <c r="Y12" s="10">
        <f t="shared" ca="1" si="3"/>
        <v>773.40183234587107</v>
      </c>
      <c r="Z12" s="10">
        <f t="shared" ca="1" si="3"/>
        <v>830.80140236478826</v>
      </c>
      <c r="AA12" s="10">
        <f t="shared" ca="1" si="3"/>
        <v>857.1867505211834</v>
      </c>
      <c r="AB12" s="10">
        <f t="shared" ca="1" si="3"/>
        <v>956.43092055995965</v>
      </c>
    </row>
    <row r="13" spans="1:28" s="175" customFormat="1">
      <c r="A13" s="178"/>
      <c r="B13" s="178"/>
      <c r="C13" s="178"/>
      <c r="D13" s="178"/>
      <c r="E13" s="178"/>
      <c r="F13" s="178"/>
      <c r="G13" s="182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79"/>
      <c r="Z13" s="179"/>
      <c r="AA13" s="179"/>
      <c r="AB13" s="179"/>
    </row>
    <row r="14" spans="1:28" s="175" customFormat="1">
      <c r="A14" s="178" t="s">
        <v>270</v>
      </c>
      <c r="B14" s="178"/>
      <c r="C14" s="181">
        <f>IF(C12&lt;0,C12+B16,B16+0)</f>
        <v>-1110.8701942554369</v>
      </c>
      <c r="D14" s="181">
        <f>IF(D12&lt;0,D12+C16,C16+0)</f>
        <v>-1596.5363247757655</v>
      </c>
      <c r="E14" s="181">
        <f>IF(E12&lt;0,E12+D16,D16+0)</f>
        <v>-2040.6232302960939</v>
      </c>
      <c r="F14" s="181">
        <f t="shared" ref="F14:X14" si="4">IF(F12&lt;0,F12+E16,E16+0)</f>
        <v>-2040.6232302960939</v>
      </c>
      <c r="G14" s="181">
        <f t="shared" ca="1" si="4"/>
        <v>-1999.1485249883731</v>
      </c>
      <c r="H14" s="181">
        <f t="shared" ca="1" si="4"/>
        <v>-1830.1378504768106</v>
      </c>
      <c r="I14" s="181">
        <f t="shared" ca="1" si="4"/>
        <v>-1756.9364919760947</v>
      </c>
      <c r="J14" s="181">
        <f t="shared" ca="1" si="4"/>
        <v>-1580.9426133995225</v>
      </c>
      <c r="K14" s="181">
        <f t="shared" ca="1" si="4"/>
        <v>-1305.6478081628106</v>
      </c>
      <c r="L14" s="181">
        <f t="shared" ca="1" si="4"/>
        <v>-929.50391448050004</v>
      </c>
      <c r="M14" s="181">
        <f t="shared" ca="1" si="4"/>
        <v>-453.55885577757658</v>
      </c>
      <c r="N14" s="181">
        <f t="shared" ca="1" si="4"/>
        <v>0</v>
      </c>
      <c r="O14" s="181">
        <f t="shared" ca="1" si="4"/>
        <v>0</v>
      </c>
      <c r="P14" s="181">
        <f t="shared" ca="1" si="4"/>
        <v>0</v>
      </c>
      <c r="Q14" s="181">
        <f t="shared" ca="1" si="4"/>
        <v>0</v>
      </c>
      <c r="R14" s="181">
        <f t="shared" ca="1" si="4"/>
        <v>0</v>
      </c>
      <c r="S14" s="181">
        <f t="shared" ca="1" si="4"/>
        <v>0</v>
      </c>
      <c r="T14" s="181">
        <f t="shared" ca="1" si="4"/>
        <v>0</v>
      </c>
      <c r="U14" s="181">
        <f t="shared" ca="1" si="4"/>
        <v>0</v>
      </c>
      <c r="V14" s="181">
        <f t="shared" ca="1" si="4"/>
        <v>0</v>
      </c>
      <c r="W14" s="181">
        <f t="shared" ca="1" si="4"/>
        <v>0</v>
      </c>
      <c r="X14" s="181">
        <f t="shared" ca="1" si="4"/>
        <v>0</v>
      </c>
      <c r="Y14" s="181">
        <f t="shared" ref="Y14" ca="1" si="5">IF(Y12&lt;0,Y12+X16,X16+0)</f>
        <v>0</v>
      </c>
      <c r="Z14" s="181">
        <f t="shared" ref="Z14" ca="1" si="6">IF(Z12&lt;0,Z12+Y16,Y16+0)</f>
        <v>0</v>
      </c>
      <c r="AA14" s="181">
        <f t="shared" ref="AA14" ca="1" si="7">IF(AA12&lt;0,AA12+Z16,Z16+0)</f>
        <v>0</v>
      </c>
      <c r="AB14" s="181">
        <f t="shared" ref="AB14" ca="1" si="8">IF(AB12&lt;0,AB12+AA16,AA16+0)</f>
        <v>0</v>
      </c>
    </row>
    <row r="15" spans="1:28" s="175" customFormat="1">
      <c r="A15" s="178" t="s">
        <v>271</v>
      </c>
      <c r="B15" s="178"/>
      <c r="C15" s="181">
        <f>IF(C12&lt;0,0,MIN(C12,-C14))</f>
        <v>0</v>
      </c>
      <c r="D15" s="181">
        <f t="shared" ref="D15:X15" si="9">IF(D12&lt;0,0,MIN(D12,-D14))</f>
        <v>0</v>
      </c>
      <c r="E15" s="181">
        <f t="shared" si="9"/>
        <v>0</v>
      </c>
      <c r="F15" s="181">
        <f t="shared" si="9"/>
        <v>41.47470530772091</v>
      </c>
      <c r="G15" s="181">
        <f t="shared" ca="1" si="9"/>
        <v>169.01067451156246</v>
      </c>
      <c r="H15" s="181">
        <f t="shared" ca="1" si="9"/>
        <v>73.201358500715969</v>
      </c>
      <c r="I15" s="181">
        <f t="shared" ca="1" si="9"/>
        <v>175.99387857657223</v>
      </c>
      <c r="J15" s="181">
        <f t="shared" ca="1" si="9"/>
        <v>275.29480523671197</v>
      </c>
      <c r="K15" s="181">
        <f t="shared" ca="1" si="9"/>
        <v>376.14389368231059</v>
      </c>
      <c r="L15" s="181">
        <f t="shared" ca="1" si="9"/>
        <v>475.94505870292346</v>
      </c>
      <c r="M15" s="181">
        <f t="shared" ca="1" si="9"/>
        <v>453.55885577757658</v>
      </c>
      <c r="N15" s="181">
        <f t="shared" ca="1" si="9"/>
        <v>0</v>
      </c>
      <c r="O15" s="181">
        <f t="shared" ca="1" si="9"/>
        <v>0</v>
      </c>
      <c r="P15" s="181">
        <f t="shared" ca="1" si="9"/>
        <v>0</v>
      </c>
      <c r="Q15" s="181">
        <f t="shared" ca="1" si="9"/>
        <v>0</v>
      </c>
      <c r="R15" s="181">
        <f t="shared" ca="1" si="9"/>
        <v>0</v>
      </c>
      <c r="S15" s="181">
        <f t="shared" ca="1" si="9"/>
        <v>0</v>
      </c>
      <c r="T15" s="181">
        <f t="shared" ca="1" si="9"/>
        <v>0</v>
      </c>
      <c r="U15" s="181">
        <f t="shared" ca="1" si="9"/>
        <v>0</v>
      </c>
      <c r="V15" s="181">
        <f t="shared" ca="1" si="9"/>
        <v>0</v>
      </c>
      <c r="W15" s="181">
        <f t="shared" ca="1" si="9"/>
        <v>0</v>
      </c>
      <c r="X15" s="181">
        <f t="shared" ca="1" si="9"/>
        <v>0</v>
      </c>
      <c r="Y15" s="181">
        <f t="shared" ref="Y15:AB15" ca="1" si="10">IF(Y12&lt;0,0,MIN(Y12,-Y14))</f>
        <v>0</v>
      </c>
      <c r="Z15" s="181">
        <f t="shared" ca="1" si="10"/>
        <v>0</v>
      </c>
      <c r="AA15" s="181">
        <f t="shared" ca="1" si="10"/>
        <v>0</v>
      </c>
      <c r="AB15" s="181">
        <f t="shared" ca="1" si="10"/>
        <v>0</v>
      </c>
    </row>
    <row r="16" spans="1:28" s="175" customFormat="1">
      <c r="A16" s="178"/>
      <c r="B16" s="178"/>
      <c r="C16" s="181">
        <f t="shared" ref="C16:X16" si="11">C14+C15</f>
        <v>-1110.8701942554369</v>
      </c>
      <c r="D16" s="181">
        <f t="shared" si="11"/>
        <v>-1596.5363247757655</v>
      </c>
      <c r="E16" s="181">
        <f t="shared" si="11"/>
        <v>-2040.6232302960939</v>
      </c>
      <c r="F16" s="181">
        <f t="shared" si="11"/>
        <v>-1999.1485249883731</v>
      </c>
      <c r="G16" s="181">
        <f t="shared" ca="1" si="11"/>
        <v>-1830.1378504768106</v>
      </c>
      <c r="H16" s="181">
        <f t="shared" ca="1" si="11"/>
        <v>-1756.9364919760947</v>
      </c>
      <c r="I16" s="181">
        <f t="shared" ca="1" si="11"/>
        <v>-1580.9426133995225</v>
      </c>
      <c r="J16" s="181">
        <f t="shared" ca="1" si="11"/>
        <v>-1305.6478081628106</v>
      </c>
      <c r="K16" s="181">
        <f t="shared" ca="1" si="11"/>
        <v>-929.50391448050004</v>
      </c>
      <c r="L16" s="181">
        <f t="shared" ca="1" si="11"/>
        <v>-453.55885577757658</v>
      </c>
      <c r="M16" s="181">
        <f t="shared" ca="1" si="11"/>
        <v>0</v>
      </c>
      <c r="N16" s="181">
        <f t="shared" ca="1" si="11"/>
        <v>0</v>
      </c>
      <c r="O16" s="181">
        <f t="shared" ca="1" si="11"/>
        <v>0</v>
      </c>
      <c r="P16" s="181">
        <f t="shared" ca="1" si="11"/>
        <v>0</v>
      </c>
      <c r="Q16" s="181">
        <f t="shared" ca="1" si="11"/>
        <v>0</v>
      </c>
      <c r="R16" s="181">
        <f t="shared" ca="1" si="11"/>
        <v>0</v>
      </c>
      <c r="S16" s="181">
        <f t="shared" ca="1" si="11"/>
        <v>0</v>
      </c>
      <c r="T16" s="181">
        <f t="shared" ca="1" si="11"/>
        <v>0</v>
      </c>
      <c r="U16" s="181">
        <f t="shared" ca="1" si="11"/>
        <v>0</v>
      </c>
      <c r="V16" s="181">
        <f t="shared" ca="1" si="11"/>
        <v>0</v>
      </c>
      <c r="W16" s="181">
        <f t="shared" ca="1" si="11"/>
        <v>0</v>
      </c>
      <c r="X16" s="181">
        <f t="shared" ca="1" si="11"/>
        <v>0</v>
      </c>
      <c r="Y16" s="181">
        <f t="shared" ref="Y16:AB16" ca="1" si="12">Y14+Y15</f>
        <v>0</v>
      </c>
      <c r="Z16" s="181">
        <f t="shared" ca="1" si="12"/>
        <v>0</v>
      </c>
      <c r="AA16" s="181">
        <f t="shared" ca="1" si="12"/>
        <v>0</v>
      </c>
      <c r="AB16" s="181">
        <f t="shared" ca="1" si="12"/>
        <v>0</v>
      </c>
    </row>
    <row r="17" spans="1:28" s="175" customFormat="1">
      <c r="A17" s="177" t="s">
        <v>272</v>
      </c>
      <c r="B17" s="178"/>
      <c r="C17" s="186">
        <f>IF((C12-C15)&lt;0,0,(C12-C15))</f>
        <v>0</v>
      </c>
      <c r="D17" s="186">
        <f>IF((D12-D15)&lt;0,0,(D12-D15))</f>
        <v>0</v>
      </c>
      <c r="E17" s="186">
        <f t="shared" ref="E17:AB17" si="13">IF((E12-E15)&lt;0,0,(E12-E15))</f>
        <v>0</v>
      </c>
      <c r="F17" s="186">
        <f t="shared" si="13"/>
        <v>0</v>
      </c>
      <c r="G17" s="186">
        <f t="shared" ca="1" si="13"/>
        <v>0</v>
      </c>
      <c r="H17" s="186">
        <f t="shared" ca="1" si="13"/>
        <v>0</v>
      </c>
      <c r="I17" s="186">
        <f t="shared" ca="1" si="13"/>
        <v>0</v>
      </c>
      <c r="J17" s="186">
        <f t="shared" ca="1" si="13"/>
        <v>0</v>
      </c>
      <c r="K17" s="186">
        <f t="shared" ca="1" si="13"/>
        <v>0</v>
      </c>
      <c r="L17" s="186">
        <f t="shared" ca="1" si="13"/>
        <v>0</v>
      </c>
      <c r="M17" s="186">
        <f t="shared" ca="1" si="13"/>
        <v>130.13240451025672</v>
      </c>
      <c r="N17" s="186">
        <f t="shared" ca="1" si="13"/>
        <v>697.5521955533826</v>
      </c>
      <c r="O17" s="186">
        <f t="shared" ca="1" si="13"/>
        <v>801.26271452006529</v>
      </c>
      <c r="P17" s="186">
        <f t="shared" ca="1" si="13"/>
        <v>472.33015639037603</v>
      </c>
      <c r="Q17" s="186">
        <f t="shared" ca="1" si="13"/>
        <v>550.7700112918377</v>
      </c>
      <c r="R17" s="186">
        <f t="shared" ca="1" si="13"/>
        <v>545.74697121722568</v>
      </c>
      <c r="S17" s="186">
        <f t="shared" ca="1" si="13"/>
        <v>577.39330286498273</v>
      </c>
      <c r="T17" s="186">
        <f t="shared" ca="1" si="13"/>
        <v>623.06308250408938</v>
      </c>
      <c r="U17" s="186">
        <f t="shared" ca="1" si="13"/>
        <v>676.58038901068562</v>
      </c>
      <c r="V17" s="186">
        <f t="shared" ca="1" si="13"/>
        <v>694.76283436995971</v>
      </c>
      <c r="W17" s="186">
        <f t="shared" ca="1" si="13"/>
        <v>728.41873169872531</v>
      </c>
      <c r="X17" s="186">
        <f t="shared" ca="1" si="13"/>
        <v>744.9365613425739</v>
      </c>
      <c r="Y17" s="186">
        <f t="shared" ca="1" si="13"/>
        <v>773.40183234587107</v>
      </c>
      <c r="Z17" s="186">
        <f t="shared" ca="1" si="13"/>
        <v>830.80140236478826</v>
      </c>
      <c r="AA17" s="186">
        <f t="shared" ca="1" si="13"/>
        <v>857.1867505211834</v>
      </c>
      <c r="AB17" s="186">
        <f t="shared" ca="1" si="13"/>
        <v>956.43092055995965</v>
      </c>
    </row>
    <row r="18" spans="1:28" s="175" customFormat="1">
      <c r="A18" s="177" t="s">
        <v>273</v>
      </c>
      <c r="B18" s="177"/>
      <c r="C18" s="181">
        <f t="shared" ref="C18:X18" si="14">IF(OR(C17&gt;0,C7&gt;5),B18+1,0)</f>
        <v>1</v>
      </c>
      <c r="D18" s="181">
        <f t="shared" si="14"/>
        <v>2</v>
      </c>
      <c r="E18" s="181">
        <f t="shared" si="14"/>
        <v>3</v>
      </c>
      <c r="F18" s="181">
        <f t="shared" si="14"/>
        <v>4</v>
      </c>
      <c r="G18" s="181">
        <f t="shared" ca="1" si="14"/>
        <v>5</v>
      </c>
      <c r="H18" s="181">
        <f t="shared" ca="1" si="14"/>
        <v>6</v>
      </c>
      <c r="I18" s="181">
        <f t="shared" ca="1" si="14"/>
        <v>7</v>
      </c>
      <c r="J18" s="181">
        <f t="shared" ca="1" si="14"/>
        <v>8</v>
      </c>
      <c r="K18" s="181">
        <f t="shared" ca="1" si="14"/>
        <v>9</v>
      </c>
      <c r="L18" s="181">
        <f t="shared" ca="1" si="14"/>
        <v>10</v>
      </c>
      <c r="M18" s="181">
        <f t="shared" ca="1" si="14"/>
        <v>11</v>
      </c>
      <c r="N18" s="181">
        <f t="shared" ca="1" si="14"/>
        <v>12</v>
      </c>
      <c r="O18" s="181">
        <f t="shared" ca="1" si="14"/>
        <v>13</v>
      </c>
      <c r="P18" s="181">
        <f t="shared" ca="1" si="14"/>
        <v>14</v>
      </c>
      <c r="Q18" s="181">
        <f t="shared" ca="1" si="14"/>
        <v>15</v>
      </c>
      <c r="R18" s="181">
        <f t="shared" ca="1" si="14"/>
        <v>16</v>
      </c>
      <c r="S18" s="181">
        <f t="shared" ca="1" si="14"/>
        <v>17</v>
      </c>
      <c r="T18" s="181">
        <f t="shared" ca="1" si="14"/>
        <v>18</v>
      </c>
      <c r="U18" s="181">
        <f t="shared" ca="1" si="14"/>
        <v>19</v>
      </c>
      <c r="V18" s="181">
        <f t="shared" ca="1" si="14"/>
        <v>20</v>
      </c>
      <c r="W18" s="181">
        <f t="shared" ca="1" si="14"/>
        <v>21</v>
      </c>
      <c r="X18" s="181">
        <f t="shared" ca="1" si="14"/>
        <v>22</v>
      </c>
      <c r="Y18" s="181">
        <f t="shared" ref="Y18" ca="1" si="15">IF(OR(Y17&gt;0,Y7&gt;5),X18+1,0)</f>
        <v>23</v>
      </c>
      <c r="Z18" s="181">
        <f t="shared" ref="Z18" ca="1" si="16">IF(OR(Z17&gt;0,Z7&gt;5),Y18+1,0)</f>
        <v>24</v>
      </c>
      <c r="AA18" s="181">
        <f t="shared" ref="AA18" ca="1" si="17">IF(OR(AA17&gt;0,AA7&gt;5),Z18+1,0)</f>
        <v>25</v>
      </c>
      <c r="AB18" s="181">
        <f t="shared" ref="AB18" ca="1" si="18">IF(OR(AB17&gt;0,AB7&gt;5),AA18+1,0)</f>
        <v>26</v>
      </c>
    </row>
    <row r="19" spans="1:28" s="175" customFormat="1">
      <c r="A19" s="178" t="s">
        <v>274</v>
      </c>
      <c r="B19" s="178" t="s">
        <v>275</v>
      </c>
      <c r="C19" s="181">
        <f t="shared" ref="C19" si="19">IF(AND(C18&gt;0,C18&lt;=15,$B$19="Yes"),C17,0)</f>
        <v>0</v>
      </c>
      <c r="D19" s="181">
        <f t="shared" ref="D19:L19" si="20">IF(AND(D18&gt;0,D18&lt;=15,$B$19="Yes"),D17,0)</f>
        <v>0</v>
      </c>
      <c r="E19" s="181">
        <f t="shared" si="20"/>
        <v>0</v>
      </c>
      <c r="F19" s="181">
        <f t="shared" si="20"/>
        <v>0</v>
      </c>
      <c r="G19" s="181">
        <f t="shared" ca="1" si="20"/>
        <v>0</v>
      </c>
      <c r="H19" s="181">
        <f t="shared" ca="1" si="20"/>
        <v>0</v>
      </c>
      <c r="I19" s="181">
        <f t="shared" ca="1" si="20"/>
        <v>0</v>
      </c>
      <c r="J19" s="181">
        <f ca="1">IF(AND(J18&gt;0,J18&lt;=15,$B$19="Yes"),J17,0)</f>
        <v>0</v>
      </c>
      <c r="K19" s="181">
        <f t="shared" ca="1" si="20"/>
        <v>0</v>
      </c>
      <c r="L19" s="181">
        <f t="shared" ca="1" si="20"/>
        <v>0</v>
      </c>
      <c r="M19" s="181">
        <f t="shared" ref="M19:R19" ca="1" si="21">IF(AND(M18&gt;0,M18&lt;=15,$B$19="Yes"),M17,0)</f>
        <v>130.13240451025672</v>
      </c>
      <c r="N19" s="181">
        <f t="shared" ca="1" si="21"/>
        <v>697.5521955533826</v>
      </c>
      <c r="O19" s="181">
        <f t="shared" ca="1" si="21"/>
        <v>801.26271452006529</v>
      </c>
      <c r="P19" s="181">
        <f t="shared" ca="1" si="21"/>
        <v>472.33015639037603</v>
      </c>
      <c r="Q19" s="181">
        <f t="shared" ca="1" si="21"/>
        <v>550.7700112918377</v>
      </c>
      <c r="R19" s="181">
        <f t="shared" ca="1" si="21"/>
        <v>0</v>
      </c>
      <c r="S19" s="181">
        <f t="shared" ref="S19:W19" ca="1" si="22">IF(AND(S18&gt;0,S18&lt;=10,$B$19="Yes"),S17,0)</f>
        <v>0</v>
      </c>
      <c r="T19" s="181">
        <f t="shared" ca="1" si="22"/>
        <v>0</v>
      </c>
      <c r="U19" s="181">
        <f t="shared" ca="1" si="22"/>
        <v>0</v>
      </c>
      <c r="V19" s="181">
        <f t="shared" ca="1" si="22"/>
        <v>0</v>
      </c>
      <c r="W19" s="181">
        <f t="shared" ca="1" si="22"/>
        <v>0</v>
      </c>
      <c r="X19" s="181">
        <f ca="1">IF(AND(X18&gt;0,X18&lt;=10,$B$19="Yes"),X17,0)</f>
        <v>0</v>
      </c>
      <c r="Y19" s="181">
        <f t="shared" ref="Y19:AB19" ca="1" si="23">IF(AND(Y18&gt;0,Y18&lt;=10,$B$19="Yes"),Y17,0)</f>
        <v>0</v>
      </c>
      <c r="Z19" s="181">
        <f t="shared" ca="1" si="23"/>
        <v>0</v>
      </c>
      <c r="AA19" s="181">
        <f t="shared" ca="1" si="23"/>
        <v>0</v>
      </c>
      <c r="AB19" s="181">
        <f t="shared" ca="1" si="23"/>
        <v>0</v>
      </c>
    </row>
    <row r="20" spans="1:28" s="175" customFormat="1">
      <c r="A20" s="178" t="s">
        <v>276</v>
      </c>
      <c r="B20" s="184">
        <f>(30* 112%)*1.04%*0+25.17%</f>
        <v>0.25170000000000003</v>
      </c>
      <c r="C20" s="181">
        <f t="shared" ref="C20" si="24">C17-C19</f>
        <v>0</v>
      </c>
      <c r="D20" s="181">
        <f t="shared" ref="D20:AB20" si="25">D17-D19</f>
        <v>0</v>
      </c>
      <c r="E20" s="181">
        <f t="shared" si="25"/>
        <v>0</v>
      </c>
      <c r="F20" s="181">
        <f t="shared" si="25"/>
        <v>0</v>
      </c>
      <c r="G20" s="181">
        <f t="shared" ca="1" si="25"/>
        <v>0</v>
      </c>
      <c r="H20" s="181">
        <f t="shared" ca="1" si="25"/>
        <v>0</v>
      </c>
      <c r="I20" s="181">
        <f t="shared" ca="1" si="25"/>
        <v>0</v>
      </c>
      <c r="J20" s="181">
        <f t="shared" ca="1" si="25"/>
        <v>0</v>
      </c>
      <c r="K20" s="181">
        <f t="shared" ca="1" si="25"/>
        <v>0</v>
      </c>
      <c r="L20" s="181">
        <f t="shared" ca="1" si="25"/>
        <v>0</v>
      </c>
      <c r="M20" s="181">
        <f t="shared" ca="1" si="25"/>
        <v>0</v>
      </c>
      <c r="N20" s="181">
        <f t="shared" ca="1" si="25"/>
        <v>0</v>
      </c>
      <c r="O20" s="181">
        <f t="shared" ca="1" si="25"/>
        <v>0</v>
      </c>
      <c r="P20" s="181">
        <f t="shared" ca="1" si="25"/>
        <v>0</v>
      </c>
      <c r="Q20" s="181">
        <f t="shared" ca="1" si="25"/>
        <v>0</v>
      </c>
      <c r="R20" s="181">
        <f t="shared" ca="1" si="25"/>
        <v>545.74697121722568</v>
      </c>
      <c r="S20" s="181">
        <f t="shared" ca="1" si="25"/>
        <v>577.39330286498273</v>
      </c>
      <c r="T20" s="181">
        <f t="shared" ca="1" si="25"/>
        <v>623.06308250408938</v>
      </c>
      <c r="U20" s="181">
        <f t="shared" ca="1" si="25"/>
        <v>676.58038901068562</v>
      </c>
      <c r="V20" s="181">
        <f t="shared" ca="1" si="25"/>
        <v>694.76283436995971</v>
      </c>
      <c r="W20" s="181">
        <f t="shared" ca="1" si="25"/>
        <v>728.41873169872531</v>
      </c>
      <c r="X20" s="181">
        <f t="shared" ca="1" si="25"/>
        <v>744.9365613425739</v>
      </c>
      <c r="Y20" s="181">
        <f t="shared" ca="1" si="25"/>
        <v>773.40183234587107</v>
      </c>
      <c r="Z20" s="181">
        <f t="shared" ca="1" si="25"/>
        <v>830.80140236478826</v>
      </c>
      <c r="AA20" s="181">
        <f t="shared" ca="1" si="25"/>
        <v>857.1867505211834</v>
      </c>
      <c r="AB20" s="181">
        <f t="shared" ca="1" si="25"/>
        <v>956.43092055995965</v>
      </c>
    </row>
    <row r="21" spans="1:28" s="175" customFormat="1">
      <c r="A21" s="178" t="s">
        <v>277</v>
      </c>
      <c r="B21" s="178"/>
      <c r="C21" s="181">
        <f t="shared" ref="C21" si="26">IF(C20&lt;=0,0,(C20*$B$20))</f>
        <v>0</v>
      </c>
      <c r="D21" s="181">
        <f t="shared" ref="D21:AB21" si="27">IF(D20&lt;=0,0,(D20*$B$20))</f>
        <v>0</v>
      </c>
      <c r="E21" s="181">
        <f t="shared" si="27"/>
        <v>0</v>
      </c>
      <c r="F21" s="181">
        <f t="shared" si="27"/>
        <v>0</v>
      </c>
      <c r="G21" s="181">
        <f t="shared" ca="1" si="27"/>
        <v>0</v>
      </c>
      <c r="H21" s="181">
        <f t="shared" ca="1" si="27"/>
        <v>0</v>
      </c>
      <c r="I21" s="181">
        <f t="shared" ca="1" si="27"/>
        <v>0</v>
      </c>
      <c r="J21" s="181">
        <f ca="1">IF(J20&lt;=0,0,(J20*$B$20))</f>
        <v>0</v>
      </c>
      <c r="K21" s="181">
        <f t="shared" ca="1" si="27"/>
        <v>0</v>
      </c>
      <c r="L21" s="181">
        <f t="shared" ca="1" si="27"/>
        <v>0</v>
      </c>
      <c r="M21" s="181">
        <f t="shared" ca="1" si="27"/>
        <v>0</v>
      </c>
      <c r="N21" s="181">
        <f t="shared" ca="1" si="27"/>
        <v>0</v>
      </c>
      <c r="O21" s="181">
        <f t="shared" ca="1" si="27"/>
        <v>0</v>
      </c>
      <c r="P21" s="181">
        <f t="shared" ca="1" si="27"/>
        <v>0</v>
      </c>
      <c r="Q21" s="181">
        <f t="shared" ca="1" si="27"/>
        <v>0</v>
      </c>
      <c r="R21" s="181">
        <f t="shared" ca="1" si="27"/>
        <v>137.36451265537573</v>
      </c>
      <c r="S21" s="181">
        <f t="shared" ca="1" si="27"/>
        <v>145.32989433111618</v>
      </c>
      <c r="T21" s="181">
        <f t="shared" ca="1" si="27"/>
        <v>156.82497786627931</v>
      </c>
      <c r="U21" s="181">
        <f t="shared" ca="1" si="27"/>
        <v>170.29528391398961</v>
      </c>
      <c r="V21" s="181">
        <f t="shared" ca="1" si="27"/>
        <v>174.87180541091888</v>
      </c>
      <c r="W21" s="181">
        <f t="shared" ca="1" si="27"/>
        <v>183.34299476856918</v>
      </c>
      <c r="X21" s="181">
        <f t="shared" ca="1" si="27"/>
        <v>187.50053248992589</v>
      </c>
      <c r="Y21" s="181">
        <f t="shared" ca="1" si="27"/>
        <v>194.66524120145579</v>
      </c>
      <c r="Z21" s="181">
        <f t="shared" ca="1" si="27"/>
        <v>209.11271297521722</v>
      </c>
      <c r="AA21" s="181">
        <f t="shared" ca="1" si="27"/>
        <v>215.75390510618189</v>
      </c>
      <c r="AB21" s="181">
        <f t="shared" ca="1" si="27"/>
        <v>240.73366270494188</v>
      </c>
    </row>
    <row r="22" spans="1:28" s="175" customFormat="1">
      <c r="A22" s="177" t="s">
        <v>278</v>
      </c>
      <c r="B22" s="184">
        <f>(18.5* 112%)*1.04%*0</f>
        <v>0</v>
      </c>
      <c r="C22" s="181">
        <f t="shared" ref="C22" si="28">IF(C9&gt;=0,C9*$B$22,0)</f>
        <v>0</v>
      </c>
      <c r="D22" s="181">
        <f t="shared" ref="D22:AB22" si="29">IF(D9&gt;=0,D9*$B$22,0)</f>
        <v>0</v>
      </c>
      <c r="E22" s="181">
        <f t="shared" si="29"/>
        <v>0</v>
      </c>
      <c r="F22" s="181">
        <f t="shared" si="29"/>
        <v>0</v>
      </c>
      <c r="G22" s="181">
        <f t="shared" ca="1" si="29"/>
        <v>0</v>
      </c>
      <c r="H22" s="181">
        <f t="shared" ca="1" si="29"/>
        <v>0</v>
      </c>
      <c r="I22" s="181">
        <f t="shared" ca="1" si="29"/>
        <v>0</v>
      </c>
      <c r="J22" s="181">
        <f t="shared" ca="1" si="29"/>
        <v>0</v>
      </c>
      <c r="K22" s="181">
        <f t="shared" ca="1" si="29"/>
        <v>0</v>
      </c>
      <c r="L22" s="181">
        <f t="shared" ca="1" si="29"/>
        <v>0</v>
      </c>
      <c r="M22" s="181">
        <f t="shared" ca="1" si="29"/>
        <v>0</v>
      </c>
      <c r="N22" s="181">
        <f t="shared" ca="1" si="29"/>
        <v>0</v>
      </c>
      <c r="O22" s="181">
        <f t="shared" ca="1" si="29"/>
        <v>0</v>
      </c>
      <c r="P22" s="181">
        <f t="shared" ca="1" si="29"/>
        <v>0</v>
      </c>
      <c r="Q22" s="181">
        <f t="shared" ca="1" si="29"/>
        <v>0</v>
      </c>
      <c r="R22" s="181">
        <f t="shared" ca="1" si="29"/>
        <v>0</v>
      </c>
      <c r="S22" s="181">
        <f t="shared" ca="1" si="29"/>
        <v>0</v>
      </c>
      <c r="T22" s="181">
        <f t="shared" ca="1" si="29"/>
        <v>0</v>
      </c>
      <c r="U22" s="181">
        <f t="shared" ca="1" si="29"/>
        <v>0</v>
      </c>
      <c r="V22" s="181">
        <f t="shared" ca="1" si="29"/>
        <v>0</v>
      </c>
      <c r="W22" s="181">
        <f t="shared" ca="1" si="29"/>
        <v>0</v>
      </c>
      <c r="X22" s="181">
        <f t="shared" ca="1" si="29"/>
        <v>0</v>
      </c>
      <c r="Y22" s="181">
        <f t="shared" ca="1" si="29"/>
        <v>0</v>
      </c>
      <c r="Z22" s="181">
        <f t="shared" ca="1" si="29"/>
        <v>0</v>
      </c>
      <c r="AA22" s="181">
        <f t="shared" ca="1" si="29"/>
        <v>0</v>
      </c>
      <c r="AB22" s="181">
        <f t="shared" ca="1" si="29"/>
        <v>0</v>
      </c>
    </row>
    <row r="23" spans="1:28" s="175" customFormat="1">
      <c r="A23" s="178" t="s">
        <v>279</v>
      </c>
      <c r="B23" s="178"/>
      <c r="C23" s="181">
        <f t="shared" ref="C23" si="30">MAX(C21,C22)</f>
        <v>0</v>
      </c>
      <c r="D23" s="181">
        <f t="shared" ref="D23:AB23" si="31">MAX(D21,D22)</f>
        <v>0</v>
      </c>
      <c r="E23" s="181">
        <f t="shared" si="31"/>
        <v>0</v>
      </c>
      <c r="F23" s="181">
        <f t="shared" si="31"/>
        <v>0</v>
      </c>
      <c r="G23" s="181">
        <f t="shared" ca="1" si="31"/>
        <v>0</v>
      </c>
      <c r="H23" s="181">
        <f t="shared" ca="1" si="31"/>
        <v>0</v>
      </c>
      <c r="I23" s="181">
        <f t="shared" ca="1" si="31"/>
        <v>0</v>
      </c>
      <c r="J23" s="181">
        <f ca="1">MAX(J21,J22)</f>
        <v>0</v>
      </c>
      <c r="K23" s="181">
        <f t="shared" ca="1" si="31"/>
        <v>0</v>
      </c>
      <c r="L23" s="181">
        <f t="shared" ca="1" si="31"/>
        <v>0</v>
      </c>
      <c r="M23" s="181">
        <f t="shared" ca="1" si="31"/>
        <v>0</v>
      </c>
      <c r="N23" s="181">
        <f t="shared" ca="1" si="31"/>
        <v>0</v>
      </c>
      <c r="O23" s="181">
        <f t="shared" ca="1" si="31"/>
        <v>0</v>
      </c>
      <c r="P23" s="181">
        <f t="shared" ca="1" si="31"/>
        <v>0</v>
      </c>
      <c r="Q23" s="181">
        <f t="shared" ca="1" si="31"/>
        <v>0</v>
      </c>
      <c r="R23" s="181">
        <f t="shared" ca="1" si="31"/>
        <v>137.36451265537573</v>
      </c>
      <c r="S23" s="181">
        <f t="shared" ca="1" si="31"/>
        <v>145.32989433111618</v>
      </c>
      <c r="T23" s="181">
        <f t="shared" ca="1" si="31"/>
        <v>156.82497786627931</v>
      </c>
      <c r="U23" s="181">
        <f t="shared" ca="1" si="31"/>
        <v>170.29528391398961</v>
      </c>
      <c r="V23" s="181">
        <f t="shared" ca="1" si="31"/>
        <v>174.87180541091888</v>
      </c>
      <c r="W23" s="181">
        <f t="shared" ca="1" si="31"/>
        <v>183.34299476856918</v>
      </c>
      <c r="X23" s="181">
        <f t="shared" ca="1" si="31"/>
        <v>187.50053248992589</v>
      </c>
      <c r="Y23" s="181">
        <f t="shared" ca="1" si="31"/>
        <v>194.66524120145579</v>
      </c>
      <c r="Z23" s="181">
        <f t="shared" ca="1" si="31"/>
        <v>209.11271297521722</v>
      </c>
      <c r="AA23" s="181">
        <f t="shared" ca="1" si="31"/>
        <v>215.75390510618189</v>
      </c>
      <c r="AB23" s="181">
        <f t="shared" ca="1" si="31"/>
        <v>240.73366270494188</v>
      </c>
    </row>
    <row r="24" spans="1:28" s="175" customFormat="1">
      <c r="A24" s="178" t="s">
        <v>280</v>
      </c>
      <c r="B24" s="185"/>
      <c r="C24" s="178"/>
      <c r="D24" s="180" t="str">
        <f t="shared" ref="D24:AB24" si="32">IF(D22&gt;=D21,"MAT","Normal Tax")</f>
        <v>MAT</v>
      </c>
      <c r="E24" s="180" t="str">
        <f t="shared" si="32"/>
        <v>MAT</v>
      </c>
      <c r="F24" s="180" t="str">
        <f t="shared" si="32"/>
        <v>MAT</v>
      </c>
      <c r="G24" s="180" t="str">
        <f t="shared" ca="1" si="32"/>
        <v>MAT</v>
      </c>
      <c r="H24" s="180" t="str">
        <f t="shared" ca="1" si="32"/>
        <v>MAT</v>
      </c>
      <c r="I24" s="180" t="str">
        <f t="shared" ca="1" si="32"/>
        <v>MAT</v>
      </c>
      <c r="J24" s="180" t="str">
        <f t="shared" ca="1" si="32"/>
        <v>MAT</v>
      </c>
      <c r="K24" s="180" t="str">
        <f t="shared" ca="1" si="32"/>
        <v>MAT</v>
      </c>
      <c r="L24" s="180" t="str">
        <f t="shared" ca="1" si="32"/>
        <v>MAT</v>
      </c>
      <c r="M24" s="180" t="str">
        <f t="shared" ca="1" si="32"/>
        <v>MAT</v>
      </c>
      <c r="N24" s="180" t="str">
        <f t="shared" ca="1" si="32"/>
        <v>MAT</v>
      </c>
      <c r="O24" s="180" t="str">
        <f t="shared" ca="1" si="32"/>
        <v>MAT</v>
      </c>
      <c r="P24" s="180" t="str">
        <f t="shared" ca="1" si="32"/>
        <v>MAT</v>
      </c>
      <c r="Q24" s="180" t="str">
        <f t="shared" ca="1" si="32"/>
        <v>MAT</v>
      </c>
      <c r="R24" s="180" t="str">
        <f t="shared" ca="1" si="32"/>
        <v>Normal Tax</v>
      </c>
      <c r="S24" s="180" t="str">
        <f t="shared" ca="1" si="32"/>
        <v>Normal Tax</v>
      </c>
      <c r="T24" s="180" t="str">
        <f t="shared" ca="1" si="32"/>
        <v>Normal Tax</v>
      </c>
      <c r="U24" s="180" t="str">
        <f t="shared" ca="1" si="32"/>
        <v>Normal Tax</v>
      </c>
      <c r="V24" s="180" t="str">
        <f t="shared" ca="1" si="32"/>
        <v>Normal Tax</v>
      </c>
      <c r="W24" s="180" t="str">
        <f t="shared" ca="1" si="32"/>
        <v>Normal Tax</v>
      </c>
      <c r="X24" s="180" t="str">
        <f t="shared" ca="1" si="32"/>
        <v>Normal Tax</v>
      </c>
      <c r="Y24" s="180" t="str">
        <f t="shared" ca="1" si="32"/>
        <v>Normal Tax</v>
      </c>
      <c r="Z24" s="180" t="str">
        <f t="shared" ca="1" si="32"/>
        <v>Normal Tax</v>
      </c>
      <c r="AA24" s="180" t="str">
        <f t="shared" ca="1" si="32"/>
        <v>Normal Tax</v>
      </c>
      <c r="AB24" s="180" t="str">
        <f t="shared" ca="1" si="32"/>
        <v>Normal Tax</v>
      </c>
    </row>
    <row r="25" spans="1:28" s="175" customFormat="1">
      <c r="A25" s="178" t="s">
        <v>281</v>
      </c>
      <c r="B25" s="185"/>
      <c r="C25" s="178"/>
      <c r="D25" s="180"/>
      <c r="E25" s="180">
        <f>IF(E24="MAT",D25+1,D25)</f>
        <v>1</v>
      </c>
      <c r="F25" s="180">
        <f>IF(F24="MAT",E25+1,E25)</f>
        <v>2</v>
      </c>
      <c r="G25" s="180">
        <f ca="1">IF(G24="MAT",F25+1,F25)</f>
        <v>3</v>
      </c>
      <c r="H25" s="180">
        <f ca="1">IF(H24="MAT",G25+1,G25)</f>
        <v>4</v>
      </c>
      <c r="I25" s="180">
        <f t="shared" ref="I25:X25" ca="1" si="33">IF(I24="MAT",H25+1,H25)</f>
        <v>5</v>
      </c>
      <c r="J25" s="180">
        <f t="shared" ca="1" si="33"/>
        <v>6</v>
      </c>
      <c r="K25" s="180">
        <f t="shared" ca="1" si="33"/>
        <v>7</v>
      </c>
      <c r="L25" s="180">
        <f t="shared" ca="1" si="33"/>
        <v>8</v>
      </c>
      <c r="M25" s="180">
        <f t="shared" ca="1" si="33"/>
        <v>9</v>
      </c>
      <c r="N25" s="180">
        <f t="shared" ca="1" si="33"/>
        <v>10</v>
      </c>
      <c r="O25" s="180">
        <f t="shared" ca="1" si="33"/>
        <v>11</v>
      </c>
      <c r="P25" s="180">
        <f t="shared" ca="1" si="33"/>
        <v>12</v>
      </c>
      <c r="Q25" s="180">
        <f t="shared" ca="1" si="33"/>
        <v>13</v>
      </c>
      <c r="R25" s="180">
        <f t="shared" ca="1" si="33"/>
        <v>13</v>
      </c>
      <c r="S25" s="180">
        <f t="shared" ca="1" si="33"/>
        <v>13</v>
      </c>
      <c r="T25" s="180">
        <f t="shared" ca="1" si="33"/>
        <v>13</v>
      </c>
      <c r="U25" s="180">
        <f t="shared" ca="1" si="33"/>
        <v>13</v>
      </c>
      <c r="V25" s="180">
        <f t="shared" ca="1" si="33"/>
        <v>13</v>
      </c>
      <c r="W25" s="180">
        <f t="shared" ca="1" si="33"/>
        <v>13</v>
      </c>
      <c r="X25" s="180">
        <f t="shared" ca="1" si="33"/>
        <v>13</v>
      </c>
      <c r="Y25" s="180">
        <f t="shared" ref="Y25" ca="1" si="34">IF(Y24="MAT",X25+1,X25)</f>
        <v>13</v>
      </c>
      <c r="Z25" s="180">
        <f t="shared" ref="Z25" ca="1" si="35">IF(Z24="MAT",Y25+1,Y25)</f>
        <v>13</v>
      </c>
      <c r="AA25" s="180">
        <f t="shared" ref="AA25" ca="1" si="36">IF(AA24="MAT",Z25+1,Z25)</f>
        <v>13</v>
      </c>
      <c r="AB25" s="180">
        <f t="shared" ref="AB25" ca="1" si="37">IF(AB24="MAT",AA25+1,AA25)</f>
        <v>13</v>
      </c>
    </row>
    <row r="26" spans="1:28" s="175" customFormat="1">
      <c r="A26" s="178" t="s">
        <v>282</v>
      </c>
      <c r="B26" s="185"/>
      <c r="C26" s="178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79"/>
      <c r="Z26" s="179"/>
      <c r="AA26" s="179"/>
      <c r="AB26" s="179"/>
    </row>
    <row r="27" spans="1:28" s="175" customFormat="1">
      <c r="A27" s="177" t="s">
        <v>283</v>
      </c>
      <c r="B27" s="178"/>
      <c r="C27" s="178"/>
      <c r="D27" s="178"/>
      <c r="E27" s="178"/>
      <c r="F27" s="178"/>
      <c r="G27" s="182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9"/>
      <c r="Z27" s="179"/>
      <c r="AA27" s="179"/>
      <c r="AB27" s="179"/>
    </row>
    <row r="28" spans="1:28" s="175" customFormat="1">
      <c r="A28" s="178" t="s">
        <v>284</v>
      </c>
      <c r="B28" s="178"/>
      <c r="C28" s="178"/>
      <c r="D28" s="65">
        <f t="shared" ref="D28:X28" si="38">IF(D24="mat",C31+D22,C31+0)</f>
        <v>0</v>
      </c>
      <c r="E28" s="65">
        <f t="shared" si="38"/>
        <v>0</v>
      </c>
      <c r="F28" s="65">
        <f t="shared" si="38"/>
        <v>0</v>
      </c>
      <c r="G28" s="65">
        <f t="shared" ca="1" si="38"/>
        <v>0</v>
      </c>
      <c r="H28" s="65">
        <f t="shared" ca="1" si="38"/>
        <v>0</v>
      </c>
      <c r="I28" s="65">
        <f t="shared" ca="1" si="38"/>
        <v>0</v>
      </c>
      <c r="J28" s="65">
        <f t="shared" ca="1" si="38"/>
        <v>0</v>
      </c>
      <c r="K28" s="65">
        <f t="shared" ca="1" si="38"/>
        <v>0</v>
      </c>
      <c r="L28" s="65">
        <f t="shared" ca="1" si="38"/>
        <v>0</v>
      </c>
      <c r="M28" s="65">
        <f t="shared" ca="1" si="38"/>
        <v>0</v>
      </c>
      <c r="N28" s="65">
        <f t="shared" ca="1" si="38"/>
        <v>0</v>
      </c>
      <c r="O28" s="65">
        <f t="shared" ca="1" si="38"/>
        <v>0</v>
      </c>
      <c r="P28" s="65">
        <f t="shared" ca="1" si="38"/>
        <v>0</v>
      </c>
      <c r="Q28" s="65">
        <f t="shared" ca="1" si="38"/>
        <v>0</v>
      </c>
      <c r="R28" s="65">
        <f t="shared" ca="1" si="38"/>
        <v>0</v>
      </c>
      <c r="S28" s="65">
        <f t="shared" ca="1" si="38"/>
        <v>0</v>
      </c>
      <c r="T28" s="65">
        <f t="shared" ca="1" si="38"/>
        <v>0</v>
      </c>
      <c r="U28" s="65">
        <f t="shared" ca="1" si="38"/>
        <v>0</v>
      </c>
      <c r="V28" s="65">
        <f t="shared" ca="1" si="38"/>
        <v>0</v>
      </c>
      <c r="W28" s="65">
        <f t="shared" ca="1" si="38"/>
        <v>0</v>
      </c>
      <c r="X28" s="65">
        <f t="shared" ca="1" si="38"/>
        <v>0</v>
      </c>
      <c r="Y28" s="65">
        <f t="shared" ref="Y28" ca="1" si="39">IF(Y24="mat",X31+Y22,X31+0)</f>
        <v>0</v>
      </c>
      <c r="Z28" s="65">
        <f t="shared" ref="Z28" ca="1" si="40">IF(Z24="mat",Y31+Z22,Y31+0)</f>
        <v>0</v>
      </c>
      <c r="AA28" s="65">
        <f t="shared" ref="AA28" ca="1" si="41">IF(AA24="mat",Z31+AA22,Z31+0)</f>
        <v>0</v>
      </c>
      <c r="AB28" s="65">
        <f t="shared" ref="AB28" ca="1" si="42">IF(AB24="mat",AA31+AB22,AA31+0)</f>
        <v>0</v>
      </c>
    </row>
    <row r="29" spans="1:28" s="175" customFormat="1">
      <c r="A29" s="178" t="s">
        <v>285</v>
      </c>
      <c r="B29" s="178"/>
      <c r="C29" s="178"/>
      <c r="D29" s="65">
        <f t="shared" ref="D29:AB29" si="43">IF(D24="normal tax",MIN(D28-D30,D21-D22),0)</f>
        <v>0</v>
      </c>
      <c r="E29" s="65">
        <f t="shared" si="43"/>
        <v>0</v>
      </c>
      <c r="F29" s="65">
        <f t="shared" si="43"/>
        <v>0</v>
      </c>
      <c r="G29" s="65">
        <f t="shared" ca="1" si="43"/>
        <v>0</v>
      </c>
      <c r="H29" s="65">
        <f t="shared" ca="1" si="43"/>
        <v>0</v>
      </c>
      <c r="I29" s="65">
        <f t="shared" ca="1" si="43"/>
        <v>0</v>
      </c>
      <c r="J29" s="65">
        <f t="shared" ca="1" si="43"/>
        <v>0</v>
      </c>
      <c r="K29" s="65">
        <f t="shared" ca="1" si="43"/>
        <v>0</v>
      </c>
      <c r="L29" s="65">
        <f t="shared" ca="1" si="43"/>
        <v>0</v>
      </c>
      <c r="M29" s="65">
        <f t="shared" ca="1" si="43"/>
        <v>0</v>
      </c>
      <c r="N29" s="65">
        <f t="shared" ca="1" si="43"/>
        <v>0</v>
      </c>
      <c r="O29" s="65">
        <f t="shared" ca="1" si="43"/>
        <v>0</v>
      </c>
      <c r="P29" s="65">
        <f t="shared" ca="1" si="43"/>
        <v>0</v>
      </c>
      <c r="Q29" s="65">
        <f t="shared" ca="1" si="43"/>
        <v>0</v>
      </c>
      <c r="R29" s="65">
        <f t="shared" ca="1" si="43"/>
        <v>0</v>
      </c>
      <c r="S29" s="65">
        <f t="shared" ca="1" si="43"/>
        <v>0</v>
      </c>
      <c r="T29" s="65">
        <f t="shared" ca="1" si="43"/>
        <v>0</v>
      </c>
      <c r="U29" s="65">
        <f t="shared" ca="1" si="43"/>
        <v>0</v>
      </c>
      <c r="V29" s="65">
        <f t="shared" ca="1" si="43"/>
        <v>0</v>
      </c>
      <c r="W29" s="65">
        <f t="shared" ca="1" si="43"/>
        <v>0</v>
      </c>
      <c r="X29" s="65">
        <f t="shared" ca="1" si="43"/>
        <v>0</v>
      </c>
      <c r="Y29" s="65">
        <f t="shared" ca="1" si="43"/>
        <v>0</v>
      </c>
      <c r="Z29" s="65">
        <f t="shared" ca="1" si="43"/>
        <v>0</v>
      </c>
      <c r="AA29" s="65">
        <f t="shared" ca="1" si="43"/>
        <v>0</v>
      </c>
      <c r="AB29" s="65">
        <f t="shared" ca="1" si="43"/>
        <v>0</v>
      </c>
    </row>
    <row r="30" spans="1:28" s="175" customFormat="1">
      <c r="A30" s="178" t="s">
        <v>286</v>
      </c>
      <c r="B30" s="178"/>
      <c r="C30" s="178"/>
      <c r="D30" s="178"/>
      <c r="E30" s="178"/>
      <c r="F30" s="178"/>
      <c r="G30" s="182"/>
      <c r="H30" s="178"/>
      <c r="I30" s="178"/>
      <c r="J30" s="178"/>
      <c r="K30" s="178"/>
      <c r="L30" s="178"/>
      <c r="M30" s="180"/>
      <c r="N30" s="180"/>
      <c r="O30" s="180"/>
      <c r="P30" s="180"/>
      <c r="Q30" s="180"/>
      <c r="R30" s="180"/>
      <c r="S30" s="180"/>
      <c r="T30" s="180">
        <v>0</v>
      </c>
      <c r="U30" s="180">
        <v>0</v>
      </c>
      <c r="V30" s="180">
        <v>0</v>
      </c>
      <c r="W30" s="180">
        <v>0</v>
      </c>
      <c r="X30" s="180">
        <v>0</v>
      </c>
      <c r="Y30" s="180">
        <v>0</v>
      </c>
      <c r="Z30" s="180">
        <v>0</v>
      </c>
      <c r="AA30" s="180">
        <v>0</v>
      </c>
      <c r="AB30" s="180">
        <v>0</v>
      </c>
    </row>
    <row r="31" spans="1:28" s="175" customFormat="1">
      <c r="A31" s="178"/>
      <c r="B31" s="178"/>
      <c r="C31" s="178"/>
      <c r="D31" s="180">
        <f>(D28-D29-D30)</f>
        <v>0</v>
      </c>
      <c r="E31" s="180">
        <f t="shared" ref="E31:AB31" si="44">(E28-E29-E30)</f>
        <v>0</v>
      </c>
      <c r="F31" s="180">
        <f t="shared" si="44"/>
        <v>0</v>
      </c>
      <c r="G31" s="180">
        <f t="shared" ca="1" si="44"/>
        <v>0</v>
      </c>
      <c r="H31" s="180">
        <f t="shared" ca="1" si="44"/>
        <v>0</v>
      </c>
      <c r="I31" s="180">
        <f t="shared" ca="1" si="44"/>
        <v>0</v>
      </c>
      <c r="J31" s="180">
        <f t="shared" ca="1" si="44"/>
        <v>0</v>
      </c>
      <c r="K31" s="180">
        <f t="shared" ca="1" si="44"/>
        <v>0</v>
      </c>
      <c r="L31" s="180">
        <f t="shared" ca="1" si="44"/>
        <v>0</v>
      </c>
      <c r="M31" s="180">
        <f t="shared" ca="1" si="44"/>
        <v>0</v>
      </c>
      <c r="N31" s="180">
        <f t="shared" ca="1" si="44"/>
        <v>0</v>
      </c>
      <c r="O31" s="180">
        <f t="shared" ca="1" si="44"/>
        <v>0</v>
      </c>
      <c r="P31" s="180">
        <f t="shared" ca="1" si="44"/>
        <v>0</v>
      </c>
      <c r="Q31" s="180">
        <f t="shared" ca="1" si="44"/>
        <v>0</v>
      </c>
      <c r="R31" s="180">
        <f t="shared" ca="1" si="44"/>
        <v>0</v>
      </c>
      <c r="S31" s="180">
        <f t="shared" ca="1" si="44"/>
        <v>0</v>
      </c>
      <c r="T31" s="180">
        <f t="shared" ca="1" si="44"/>
        <v>0</v>
      </c>
      <c r="U31" s="180">
        <f t="shared" ca="1" si="44"/>
        <v>0</v>
      </c>
      <c r="V31" s="180">
        <f t="shared" ca="1" si="44"/>
        <v>0</v>
      </c>
      <c r="W31" s="180">
        <f t="shared" ca="1" si="44"/>
        <v>0</v>
      </c>
      <c r="X31" s="180">
        <f t="shared" ca="1" si="44"/>
        <v>0</v>
      </c>
      <c r="Y31" s="180">
        <f t="shared" ca="1" si="44"/>
        <v>0</v>
      </c>
      <c r="Z31" s="180">
        <f t="shared" ca="1" si="44"/>
        <v>0</v>
      </c>
      <c r="AA31" s="180">
        <f t="shared" ca="1" si="44"/>
        <v>0</v>
      </c>
      <c r="AB31" s="180">
        <f t="shared" ca="1" si="44"/>
        <v>0</v>
      </c>
    </row>
    <row r="32" spans="1:28" s="175" customFormat="1">
      <c r="A32" s="178" t="s">
        <v>287</v>
      </c>
      <c r="B32" s="178"/>
      <c r="C32" s="178"/>
      <c r="D32" s="180">
        <f t="shared" ref="D32:AB32" si="45">D23-D29</f>
        <v>0</v>
      </c>
      <c r="E32" s="180">
        <f t="shared" si="45"/>
        <v>0</v>
      </c>
      <c r="F32" s="180">
        <f t="shared" si="45"/>
        <v>0</v>
      </c>
      <c r="G32" s="180">
        <f t="shared" ca="1" si="45"/>
        <v>0</v>
      </c>
      <c r="H32" s="180">
        <f t="shared" ca="1" si="45"/>
        <v>0</v>
      </c>
      <c r="I32" s="180">
        <f t="shared" ca="1" si="45"/>
        <v>0</v>
      </c>
      <c r="J32" s="180">
        <f ca="1">J23-J29</f>
        <v>0</v>
      </c>
      <c r="K32" s="180">
        <f t="shared" ca="1" si="45"/>
        <v>0</v>
      </c>
      <c r="L32" s="180">
        <f t="shared" ca="1" si="45"/>
        <v>0</v>
      </c>
      <c r="M32" s="180">
        <f t="shared" ca="1" si="45"/>
        <v>0</v>
      </c>
      <c r="N32" s="180">
        <f t="shared" ca="1" si="45"/>
        <v>0</v>
      </c>
      <c r="O32" s="180">
        <f t="shared" ca="1" si="45"/>
        <v>0</v>
      </c>
      <c r="P32" s="180">
        <f t="shared" ca="1" si="45"/>
        <v>0</v>
      </c>
      <c r="Q32" s="180">
        <f t="shared" ca="1" si="45"/>
        <v>0</v>
      </c>
      <c r="R32" s="180">
        <f t="shared" ca="1" si="45"/>
        <v>137.36451265537573</v>
      </c>
      <c r="S32" s="180">
        <f t="shared" ca="1" si="45"/>
        <v>145.32989433111618</v>
      </c>
      <c r="T32" s="180">
        <f t="shared" ca="1" si="45"/>
        <v>156.82497786627931</v>
      </c>
      <c r="U32" s="180">
        <f t="shared" ca="1" si="45"/>
        <v>170.29528391398961</v>
      </c>
      <c r="V32" s="180">
        <f t="shared" ca="1" si="45"/>
        <v>174.87180541091888</v>
      </c>
      <c r="W32" s="180">
        <f t="shared" ca="1" si="45"/>
        <v>183.34299476856918</v>
      </c>
      <c r="X32" s="180">
        <f t="shared" ca="1" si="45"/>
        <v>187.50053248992589</v>
      </c>
      <c r="Y32" s="180">
        <f t="shared" ca="1" si="45"/>
        <v>194.66524120145579</v>
      </c>
      <c r="Z32" s="180">
        <f t="shared" ca="1" si="45"/>
        <v>209.11271297521722</v>
      </c>
      <c r="AA32" s="180">
        <f t="shared" ca="1" si="45"/>
        <v>215.75390510618189</v>
      </c>
      <c r="AB32" s="180">
        <f t="shared" ca="1" si="45"/>
        <v>240.73366270494188</v>
      </c>
    </row>
    <row r="33" spans="1:28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</row>
    <row r="34" spans="1:28">
      <c r="A34" s="179" t="s">
        <v>288</v>
      </c>
      <c r="B34" s="179"/>
      <c r="C34" s="179"/>
      <c r="D34" s="184"/>
      <c r="E34" s="184">
        <f t="shared" ref="E34:U34" si="46">E32/E9</f>
        <v>0</v>
      </c>
      <c r="F34" s="184">
        <f t="shared" si="46"/>
        <v>0</v>
      </c>
      <c r="G34" s="184">
        <f t="shared" ca="1" si="46"/>
        <v>0</v>
      </c>
      <c r="H34" s="184">
        <f t="shared" ca="1" si="46"/>
        <v>0</v>
      </c>
      <c r="I34" s="184">
        <f t="shared" ca="1" si="46"/>
        <v>0</v>
      </c>
      <c r="J34" s="184">
        <f t="shared" ca="1" si="46"/>
        <v>0</v>
      </c>
      <c r="K34" s="184">
        <f t="shared" ca="1" si="46"/>
        <v>0</v>
      </c>
      <c r="L34" s="184">
        <f t="shared" ca="1" si="46"/>
        <v>0</v>
      </c>
      <c r="M34" s="184">
        <f t="shared" ca="1" si="46"/>
        <v>0</v>
      </c>
      <c r="N34" s="184">
        <f t="shared" ca="1" si="46"/>
        <v>0</v>
      </c>
      <c r="O34" s="184">
        <f t="shared" ca="1" si="46"/>
        <v>0</v>
      </c>
      <c r="P34" s="184">
        <f t="shared" ca="1" si="46"/>
        <v>0</v>
      </c>
      <c r="Q34" s="184">
        <f t="shared" ca="1" si="46"/>
        <v>0</v>
      </c>
      <c r="R34" s="184">
        <f t="shared" ca="1" si="46"/>
        <v>0.44091932617640861</v>
      </c>
      <c r="S34" s="184">
        <f t="shared" ca="1" si="46"/>
        <v>0.44172598209093017</v>
      </c>
      <c r="T34" s="184">
        <f t="shared" ca="1" si="46"/>
        <v>0.43247866520728495</v>
      </c>
      <c r="U34" s="184">
        <f t="shared" ca="1" si="46"/>
        <v>0.41956102074329299</v>
      </c>
      <c r="V34" s="184">
        <f t="shared" ref="V34:AB34" ca="1" si="47">V32/V12</f>
        <v>0.25170000000000003</v>
      </c>
      <c r="W34" s="184">
        <f t="shared" ca="1" si="47"/>
        <v>0.25170000000000003</v>
      </c>
      <c r="X34" s="184">
        <f t="shared" ca="1" si="47"/>
        <v>0.25170000000000003</v>
      </c>
      <c r="Y34" s="184">
        <f t="shared" ca="1" si="47"/>
        <v>0.25170000000000003</v>
      </c>
      <c r="Z34" s="184">
        <f t="shared" ca="1" si="47"/>
        <v>0.25170000000000003</v>
      </c>
      <c r="AA34" s="184">
        <f t="shared" ca="1" si="47"/>
        <v>0.25170000000000003</v>
      </c>
      <c r="AB34" s="184">
        <f t="shared" ca="1" si="47"/>
        <v>0.25170000000000003</v>
      </c>
    </row>
    <row r="35" spans="1:28">
      <c r="A35" s="179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</row>
    <row r="36" spans="1:28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</row>
    <row r="37" spans="1:28" customFormat="1" ht="15">
      <c r="A37" s="14" t="s">
        <v>31</v>
      </c>
      <c r="B37" s="4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42" spans="1:28">
      <c r="E42" s="187"/>
    </row>
  </sheetData>
  <mergeCells count="1">
    <mergeCell ref="A5:A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5"/>
  <sheetViews>
    <sheetView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F69" sqref="F69"/>
    </sheetView>
  </sheetViews>
  <sheetFormatPr defaultRowHeight="15"/>
  <cols>
    <col min="1" max="1" width="27" customWidth="1"/>
  </cols>
  <sheetData>
    <row r="1" spans="1:29" s="15" customFormat="1" ht="18.75">
      <c r="A1" s="21" t="s">
        <v>29</v>
      </c>
      <c r="B1" s="4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9" s="17" customFormat="1" ht="15.75">
      <c r="A2" s="22" t="s">
        <v>221</v>
      </c>
      <c r="B2" s="4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9" s="17" customForma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9" s="17" customFormat="1" ht="16.5" thickBot="1">
      <c r="A4" s="109" t="s">
        <v>222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29" s="17" customFormat="1" ht="15.75" thickTop="1">
      <c r="A5" s="641" t="s">
        <v>0</v>
      </c>
      <c r="B5" s="135"/>
      <c r="C5" s="647" t="s">
        <v>242</v>
      </c>
      <c r="D5" s="46"/>
      <c r="E5" s="19">
        <f>D6+1</f>
        <v>43191</v>
      </c>
      <c r="F5" s="19">
        <f>E6+1</f>
        <v>43282</v>
      </c>
      <c r="G5" s="19">
        <v>43191</v>
      </c>
      <c r="H5" s="19">
        <f>G6+1</f>
        <v>43466</v>
      </c>
      <c r="I5" s="19">
        <f>H6+1</f>
        <v>43556</v>
      </c>
      <c r="J5" s="19">
        <f t="shared" ref="J5:P5" si="0">I6+1</f>
        <v>43647</v>
      </c>
      <c r="K5" s="19">
        <f t="shared" si="0"/>
        <v>43739</v>
      </c>
      <c r="L5" s="19">
        <f t="shared" si="0"/>
        <v>43831</v>
      </c>
      <c r="M5" s="19">
        <f t="shared" si="0"/>
        <v>43922</v>
      </c>
      <c r="N5" s="19">
        <f t="shared" si="0"/>
        <v>44013</v>
      </c>
      <c r="O5" s="19">
        <f t="shared" si="0"/>
        <v>44105</v>
      </c>
      <c r="P5" s="19">
        <f t="shared" si="0"/>
        <v>44197</v>
      </c>
      <c r="Q5" s="19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</row>
    <row r="6" spans="1:29" s="17" customFormat="1">
      <c r="A6" s="642"/>
      <c r="B6" s="136"/>
      <c r="C6" s="648"/>
      <c r="D6" s="6">
        <v>43190</v>
      </c>
      <c r="E6" s="6">
        <f>EOMONTH(D6,3)</f>
        <v>43281</v>
      </c>
      <c r="F6" s="6">
        <f t="shared" ref="F6:P6" si="1">EOMONTH(E6,3)</f>
        <v>43373</v>
      </c>
      <c r="G6" s="6">
        <f t="shared" si="1"/>
        <v>43465</v>
      </c>
      <c r="H6" s="6">
        <f t="shared" si="1"/>
        <v>43555</v>
      </c>
      <c r="I6" s="6">
        <f t="shared" si="1"/>
        <v>43646</v>
      </c>
      <c r="J6" s="6">
        <f t="shared" si="1"/>
        <v>43738</v>
      </c>
      <c r="K6" s="6">
        <f t="shared" si="1"/>
        <v>43830</v>
      </c>
      <c r="L6" s="6">
        <f t="shared" si="1"/>
        <v>43921</v>
      </c>
      <c r="M6" s="6">
        <f t="shared" si="1"/>
        <v>44012</v>
      </c>
      <c r="N6" s="6">
        <f t="shared" si="1"/>
        <v>44104</v>
      </c>
      <c r="O6" s="6">
        <f t="shared" si="1"/>
        <v>44196</v>
      </c>
      <c r="P6" s="6">
        <f t="shared" si="1"/>
        <v>44286</v>
      </c>
      <c r="Q6" s="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</row>
    <row r="7" spans="1:29" s="17" customFormat="1">
      <c r="A7" s="643"/>
      <c r="B7" s="137"/>
      <c r="C7" s="649"/>
      <c r="D7" s="132"/>
      <c r="E7" s="132">
        <f>IF(MONTH(E6)&lt;=3,YEAR(E6),YEAR(E6)+1)</f>
        <v>2019</v>
      </c>
      <c r="F7" s="132">
        <f>IF(MONTH(F6)&lt;=3,YEAR(F6),YEAR(F6)+1)</f>
        <v>2019</v>
      </c>
      <c r="G7" s="132">
        <f>IF(MONTH(G6)&lt;=3,YEAR(G6),YEAR(G6)+1)</f>
        <v>2019</v>
      </c>
      <c r="H7" s="132">
        <f>IF(MONTH(H6)&lt;=3,YEAR(H6),YEAR(H6)+1)</f>
        <v>2019</v>
      </c>
      <c r="I7" s="132">
        <f>IF(MONTH(I6)&lt;=3,YEAR(I6),YEAR(I6)+1)</f>
        <v>2020</v>
      </c>
      <c r="J7" s="132">
        <f t="shared" ref="J7:P7" si="2">IF(MONTH(J6)&lt;=3,YEAR(J6),YEAR(J6)+1)</f>
        <v>2020</v>
      </c>
      <c r="K7" s="132">
        <f t="shared" si="2"/>
        <v>2020</v>
      </c>
      <c r="L7" s="132">
        <f t="shared" si="2"/>
        <v>2020</v>
      </c>
      <c r="M7" s="132">
        <f t="shared" si="2"/>
        <v>2021</v>
      </c>
      <c r="N7" s="132">
        <f t="shared" si="2"/>
        <v>2021</v>
      </c>
      <c r="O7" s="132">
        <f t="shared" si="2"/>
        <v>2021</v>
      </c>
      <c r="P7" s="132">
        <f t="shared" si="2"/>
        <v>2021</v>
      </c>
      <c r="Q7" s="132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</row>
    <row r="8" spans="1:29" s="17" customFormat="1">
      <c r="A8" s="62" t="s">
        <v>223</v>
      </c>
      <c r="B8" s="62"/>
      <c r="C8" s="116">
        <v>239</v>
      </c>
      <c r="D8" s="116">
        <v>181.39</v>
      </c>
      <c r="E8" s="110">
        <v>0</v>
      </c>
      <c r="F8" s="110">
        <v>0</v>
      </c>
      <c r="G8" s="110">
        <v>0.25</v>
      </c>
      <c r="H8" s="110">
        <v>0.25</v>
      </c>
      <c r="I8" s="110">
        <v>0.25</v>
      </c>
      <c r="J8" s="110">
        <v>0.25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f>SUM(E8:P8)</f>
        <v>1</v>
      </c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</row>
    <row r="9" spans="1:29" s="17" customFormat="1">
      <c r="A9" s="62" t="s">
        <v>224</v>
      </c>
      <c r="B9" s="62"/>
      <c r="C9" s="116">
        <v>74.23</v>
      </c>
      <c r="D9" s="116">
        <v>74.23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f t="shared" ref="Q9:Q25" si="3">SUM(E9:P9)</f>
        <v>0</v>
      </c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</row>
    <row r="10" spans="1:29" s="17" customFormat="1">
      <c r="A10" s="62" t="s">
        <v>225</v>
      </c>
      <c r="B10" s="62"/>
      <c r="C10" s="116">
        <v>3172</v>
      </c>
      <c r="D10" s="116">
        <v>3129.52</v>
      </c>
      <c r="E10" s="110">
        <v>0</v>
      </c>
      <c r="F10" s="110">
        <v>0</v>
      </c>
      <c r="G10" s="110">
        <v>0.5</v>
      </c>
      <c r="H10" s="110">
        <v>0.5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f t="shared" si="3"/>
        <v>1</v>
      </c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</row>
    <row r="11" spans="1:29" s="17" customFormat="1">
      <c r="A11" s="62" t="s">
        <v>226</v>
      </c>
      <c r="B11" s="62"/>
      <c r="C11" s="116">
        <v>1721.1</v>
      </c>
      <c r="D11" s="116">
        <v>1670.42</v>
      </c>
      <c r="E11" s="110">
        <v>0</v>
      </c>
      <c r="F11" s="110">
        <v>0</v>
      </c>
      <c r="G11" s="110">
        <v>0.5</v>
      </c>
      <c r="H11" s="110">
        <v>0.5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f t="shared" si="3"/>
        <v>1</v>
      </c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</row>
    <row r="12" spans="1:29" s="17" customFormat="1">
      <c r="A12" s="62" t="s">
        <v>227</v>
      </c>
      <c r="B12" s="62"/>
      <c r="C12" s="116">
        <v>178.1</v>
      </c>
      <c r="D12" s="116">
        <v>177.04</v>
      </c>
      <c r="E12" s="110">
        <v>0</v>
      </c>
      <c r="F12" s="110">
        <v>1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f t="shared" si="3"/>
        <v>1</v>
      </c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</row>
    <row r="13" spans="1:29" s="17" customFormat="1">
      <c r="A13" s="62" t="s">
        <v>228</v>
      </c>
      <c r="B13" s="62"/>
      <c r="C13" s="116">
        <v>107</v>
      </c>
      <c r="D13" s="116">
        <v>107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f t="shared" si="3"/>
        <v>0</v>
      </c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</row>
    <row r="14" spans="1:29" s="17" customFormat="1">
      <c r="A14" s="62" t="s">
        <v>229</v>
      </c>
      <c r="B14" s="62"/>
      <c r="C14" s="116">
        <v>99</v>
      </c>
      <c r="D14" s="116">
        <v>70.8</v>
      </c>
      <c r="E14" s="110">
        <v>0.1</v>
      </c>
      <c r="F14" s="110">
        <v>0.05</v>
      </c>
      <c r="G14" s="110">
        <v>0.05</v>
      </c>
      <c r="H14" s="110">
        <v>0.1</v>
      </c>
      <c r="I14" s="110">
        <v>0.1</v>
      </c>
      <c r="J14" s="110">
        <v>0.05</v>
      </c>
      <c r="K14" s="110">
        <v>0.1</v>
      </c>
      <c r="L14" s="110">
        <v>0.1</v>
      </c>
      <c r="M14" s="110">
        <v>0.1</v>
      </c>
      <c r="N14" s="110">
        <v>0.05</v>
      </c>
      <c r="O14" s="110">
        <v>0.1</v>
      </c>
      <c r="P14" s="110">
        <v>0.1</v>
      </c>
      <c r="Q14" s="110">
        <f t="shared" si="3"/>
        <v>1</v>
      </c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</row>
    <row r="15" spans="1:29" s="17" customFormat="1">
      <c r="A15" s="62" t="s">
        <v>230</v>
      </c>
      <c r="B15" s="62"/>
      <c r="C15" s="116">
        <v>10</v>
      </c>
      <c r="D15" s="116">
        <v>9.6999999999999993</v>
      </c>
      <c r="E15" s="110">
        <v>0</v>
      </c>
      <c r="F15" s="110">
        <v>1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f t="shared" si="3"/>
        <v>1</v>
      </c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</row>
    <row r="16" spans="1:29" s="17" customFormat="1">
      <c r="A16" s="62" t="s">
        <v>231</v>
      </c>
      <c r="B16" s="62"/>
      <c r="C16" s="116">
        <v>473.94</v>
      </c>
      <c r="D16" s="116">
        <v>338.32</v>
      </c>
      <c r="E16" s="110">
        <v>0.1</v>
      </c>
      <c r="F16" s="110">
        <v>0.05</v>
      </c>
      <c r="G16" s="110">
        <v>0.05</v>
      </c>
      <c r="H16" s="110">
        <v>0.1</v>
      </c>
      <c r="I16" s="110">
        <v>0.1</v>
      </c>
      <c r="J16" s="110">
        <v>0.05</v>
      </c>
      <c r="K16" s="110">
        <v>0.1</v>
      </c>
      <c r="L16" s="110">
        <v>0.1</v>
      </c>
      <c r="M16" s="110">
        <v>0.1</v>
      </c>
      <c r="N16" s="110">
        <v>0.05</v>
      </c>
      <c r="O16" s="110">
        <v>0.1</v>
      </c>
      <c r="P16" s="110">
        <v>0.1</v>
      </c>
      <c r="Q16" s="110">
        <f t="shared" si="3"/>
        <v>1</v>
      </c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s="17" customFormat="1">
      <c r="A17" s="62" t="s">
        <v>232</v>
      </c>
      <c r="B17" s="62"/>
      <c r="C17" s="116">
        <v>76</v>
      </c>
      <c r="D17" s="116">
        <v>71.37</v>
      </c>
      <c r="E17" s="110">
        <v>0.25</v>
      </c>
      <c r="F17" s="110">
        <v>0.25</v>
      </c>
      <c r="G17" s="110">
        <v>0.25</v>
      </c>
      <c r="H17" s="110">
        <v>0.25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f t="shared" si="3"/>
        <v>1</v>
      </c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1:29" s="17" customFormat="1">
      <c r="A18" s="62" t="s">
        <v>233</v>
      </c>
      <c r="B18" s="62"/>
      <c r="C18" s="116">
        <v>98.240000000000009</v>
      </c>
      <c r="D18" s="116">
        <v>83.85</v>
      </c>
      <c r="E18" s="110">
        <v>0.25</v>
      </c>
      <c r="F18" s="110">
        <v>0.25</v>
      </c>
      <c r="G18" s="110">
        <v>0.25</v>
      </c>
      <c r="H18" s="110">
        <v>0.25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f t="shared" si="3"/>
        <v>1</v>
      </c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  <row r="19" spans="1:29" s="17" customFormat="1">
      <c r="A19" s="146" t="s">
        <v>234</v>
      </c>
      <c r="B19" s="146"/>
      <c r="C19" s="10">
        <f>SUM(C8:C18)</f>
        <v>6248.61</v>
      </c>
      <c r="D19" s="10">
        <f t="shared" ref="D19" si="4">SUM(D8:D18)</f>
        <v>5913.6399999999994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0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</row>
    <row r="20" spans="1:29" s="17" customFormat="1">
      <c r="A20" s="62" t="s">
        <v>235</v>
      </c>
      <c r="B20" s="62"/>
      <c r="C20" s="116">
        <v>408.03</v>
      </c>
      <c r="D20" s="116">
        <v>408.03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f t="shared" si="3"/>
        <v>0</v>
      </c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</row>
    <row r="21" spans="1:29" s="17" customFormat="1">
      <c r="A21" s="62" t="s">
        <v>236</v>
      </c>
      <c r="B21" s="62"/>
      <c r="C21" s="116">
        <v>17.54</v>
      </c>
      <c r="D21" s="116">
        <v>17.54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f t="shared" si="3"/>
        <v>0</v>
      </c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</row>
    <row r="22" spans="1:29" s="17" customFormat="1">
      <c r="A22" s="62" t="s">
        <v>237</v>
      </c>
      <c r="B22" s="62"/>
      <c r="C22" s="116">
        <v>86.4</v>
      </c>
      <c r="D22" s="116">
        <v>86.4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f t="shared" si="3"/>
        <v>0</v>
      </c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</row>
    <row r="23" spans="1:29" s="17" customFormat="1">
      <c r="A23" s="62" t="s">
        <v>238</v>
      </c>
      <c r="B23" s="62"/>
      <c r="C23" s="116">
        <v>1795.8899999999999</v>
      </c>
      <c r="D23" s="116">
        <v>1795.89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f t="shared" si="3"/>
        <v>0</v>
      </c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</row>
    <row r="24" spans="1:29" s="17" customFormat="1">
      <c r="A24" s="62" t="s">
        <v>239</v>
      </c>
      <c r="B24" s="62"/>
      <c r="C24" s="116">
        <v>15</v>
      </c>
      <c r="D24" s="116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0.5</v>
      </c>
      <c r="P24" s="110">
        <v>0.5</v>
      </c>
      <c r="Q24" s="110">
        <f t="shared" si="3"/>
        <v>1</v>
      </c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</row>
    <row r="25" spans="1:29" s="17" customFormat="1">
      <c r="A25" s="62" t="s">
        <v>240</v>
      </c>
      <c r="B25" s="62"/>
      <c r="C25" s="116">
        <v>270.12697364685118</v>
      </c>
      <c r="D25" s="116">
        <v>270.12697364685118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f t="shared" si="3"/>
        <v>0</v>
      </c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</row>
    <row r="26" spans="1:29" s="17" customFormat="1">
      <c r="A26" s="146" t="s">
        <v>241</v>
      </c>
      <c r="B26" s="146"/>
      <c r="C26" s="10">
        <f>SUM(C19:C25)</f>
        <v>8841.5969736468505</v>
      </c>
      <c r="D26" s="10">
        <f t="shared" ref="D26" si="5">SUM(D19:D25)</f>
        <v>8491.6269736468494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0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</row>
    <row r="27" spans="1:29" s="17" customFormat="1" ht="18.75">
      <c r="A27" s="145"/>
      <c r="B27" s="106"/>
      <c r="C27" s="106"/>
      <c r="D27" s="106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</row>
    <row r="28" spans="1:29" s="17" customFormat="1">
      <c r="A28" s="146" t="s">
        <v>243</v>
      </c>
      <c r="B28" s="146"/>
      <c r="C28" s="10"/>
      <c r="D28" s="10">
        <f>-65.865+223.146+2.797</f>
        <v>160.078</v>
      </c>
      <c r="E28" s="148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0.2</v>
      </c>
      <c r="L28" s="148">
        <v>0.2</v>
      </c>
      <c r="M28" s="148">
        <v>0.2</v>
      </c>
      <c r="N28" s="148">
        <v>0.2</v>
      </c>
      <c r="O28" s="148">
        <v>0.2</v>
      </c>
      <c r="P28" s="148"/>
      <c r="Q28" s="148">
        <f>SUM((E28:P28))</f>
        <v>1</v>
      </c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</row>
    <row r="29" spans="1:29" s="17" customFormat="1">
      <c r="A29" s="62"/>
      <c r="B29" s="62"/>
      <c r="C29" s="116"/>
      <c r="D29" s="116">
        <f>D26-D28</f>
        <v>8331.5489736468498</v>
      </c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47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</row>
    <row r="30" spans="1:29" s="17" customFormat="1">
      <c r="A30" s="62"/>
      <c r="B30" s="62"/>
      <c r="C30" s="116"/>
      <c r="D30" s="11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47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</row>
    <row r="31" spans="1:29" s="17" customFormat="1" ht="16.5" thickBot="1">
      <c r="A31" s="109" t="s">
        <v>222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</row>
    <row r="32" spans="1:29" s="17" customFormat="1" ht="15.75" thickTop="1">
      <c r="A32" s="62" t="s">
        <v>223</v>
      </c>
      <c r="B32" s="62"/>
      <c r="C32" s="116">
        <v>239</v>
      </c>
      <c r="D32" s="116">
        <v>181.39</v>
      </c>
      <c r="E32" s="116">
        <f>$Q$32*E8</f>
        <v>0</v>
      </c>
      <c r="F32" s="116">
        <f t="shared" ref="F32:P32" si="6">$Q$32*F8</f>
        <v>0</v>
      </c>
      <c r="G32" s="116">
        <f t="shared" si="6"/>
        <v>14.402500000000003</v>
      </c>
      <c r="H32" s="116">
        <f t="shared" si="6"/>
        <v>14.402500000000003</v>
      </c>
      <c r="I32" s="116">
        <f t="shared" si="6"/>
        <v>14.402500000000003</v>
      </c>
      <c r="J32" s="116">
        <f t="shared" si="6"/>
        <v>14.402500000000003</v>
      </c>
      <c r="K32" s="116">
        <f t="shared" si="6"/>
        <v>0</v>
      </c>
      <c r="L32" s="116">
        <f t="shared" si="6"/>
        <v>0</v>
      </c>
      <c r="M32" s="116">
        <f t="shared" si="6"/>
        <v>0</v>
      </c>
      <c r="N32" s="116">
        <f t="shared" si="6"/>
        <v>0</v>
      </c>
      <c r="O32" s="116">
        <f t="shared" si="6"/>
        <v>0</v>
      </c>
      <c r="P32" s="116">
        <f t="shared" si="6"/>
        <v>0</v>
      </c>
      <c r="Q32" s="116">
        <f>C32-D32</f>
        <v>57.610000000000014</v>
      </c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</row>
    <row r="33" spans="1:29" s="17" customFormat="1">
      <c r="A33" s="62" t="s">
        <v>224</v>
      </c>
      <c r="B33" s="62"/>
      <c r="C33" s="116">
        <v>74.23</v>
      </c>
      <c r="D33" s="116">
        <v>74.23</v>
      </c>
      <c r="E33" s="116">
        <f>$Q$33*E9</f>
        <v>0</v>
      </c>
      <c r="F33" s="116">
        <f t="shared" ref="F33:P33" si="7">$Q$33*F9</f>
        <v>0</v>
      </c>
      <c r="G33" s="116">
        <f t="shared" si="7"/>
        <v>0</v>
      </c>
      <c r="H33" s="116">
        <f t="shared" si="7"/>
        <v>0</v>
      </c>
      <c r="I33" s="116">
        <f t="shared" si="7"/>
        <v>0</v>
      </c>
      <c r="J33" s="116">
        <f t="shared" si="7"/>
        <v>0</v>
      </c>
      <c r="K33" s="116">
        <f t="shared" si="7"/>
        <v>0</v>
      </c>
      <c r="L33" s="116">
        <f t="shared" si="7"/>
        <v>0</v>
      </c>
      <c r="M33" s="116">
        <f t="shared" si="7"/>
        <v>0</v>
      </c>
      <c r="N33" s="116">
        <f t="shared" si="7"/>
        <v>0</v>
      </c>
      <c r="O33" s="116">
        <f t="shared" si="7"/>
        <v>0</v>
      </c>
      <c r="P33" s="116">
        <f t="shared" si="7"/>
        <v>0</v>
      </c>
      <c r="Q33" s="116">
        <f t="shared" ref="Q33:Q49" si="8">C33-D33</f>
        <v>0</v>
      </c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</row>
    <row r="34" spans="1:29" s="17" customFormat="1">
      <c r="A34" s="62" t="s">
        <v>225</v>
      </c>
      <c r="B34" s="62"/>
      <c r="C34" s="116">
        <v>3172</v>
      </c>
      <c r="D34" s="116">
        <v>3129.52</v>
      </c>
      <c r="E34" s="116">
        <f>$Q$34*E10</f>
        <v>0</v>
      </c>
      <c r="F34" s="116">
        <f t="shared" ref="F34:P34" si="9">$Q$34*F10</f>
        <v>0</v>
      </c>
      <c r="G34" s="116">
        <f t="shared" si="9"/>
        <v>21.240000000000009</v>
      </c>
      <c r="H34" s="116">
        <f t="shared" si="9"/>
        <v>21.240000000000009</v>
      </c>
      <c r="I34" s="116">
        <f t="shared" si="9"/>
        <v>0</v>
      </c>
      <c r="J34" s="116">
        <f t="shared" si="9"/>
        <v>0</v>
      </c>
      <c r="K34" s="116">
        <f t="shared" si="9"/>
        <v>0</v>
      </c>
      <c r="L34" s="116">
        <f t="shared" si="9"/>
        <v>0</v>
      </c>
      <c r="M34" s="116">
        <f t="shared" si="9"/>
        <v>0</v>
      </c>
      <c r="N34" s="116">
        <f t="shared" si="9"/>
        <v>0</v>
      </c>
      <c r="O34" s="116">
        <f t="shared" si="9"/>
        <v>0</v>
      </c>
      <c r="P34" s="116">
        <f t="shared" si="9"/>
        <v>0</v>
      </c>
      <c r="Q34" s="116">
        <f t="shared" si="8"/>
        <v>42.480000000000018</v>
      </c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</row>
    <row r="35" spans="1:29" s="17" customFormat="1">
      <c r="A35" s="62" t="s">
        <v>226</v>
      </c>
      <c r="B35" s="62"/>
      <c r="C35" s="116">
        <v>1721.1</v>
      </c>
      <c r="D35" s="116">
        <v>1670.42</v>
      </c>
      <c r="E35" s="116">
        <f>$Q$35*E11</f>
        <v>0</v>
      </c>
      <c r="F35" s="116">
        <f t="shared" ref="F35:P35" si="10">$Q$35*F11</f>
        <v>0</v>
      </c>
      <c r="G35" s="116">
        <f t="shared" si="10"/>
        <v>25.339999999999918</v>
      </c>
      <c r="H35" s="116">
        <f t="shared" si="10"/>
        <v>25.339999999999918</v>
      </c>
      <c r="I35" s="116">
        <f t="shared" si="10"/>
        <v>0</v>
      </c>
      <c r="J35" s="116">
        <f t="shared" si="10"/>
        <v>0</v>
      </c>
      <c r="K35" s="116">
        <f t="shared" si="10"/>
        <v>0</v>
      </c>
      <c r="L35" s="116">
        <f t="shared" si="10"/>
        <v>0</v>
      </c>
      <c r="M35" s="116">
        <f t="shared" si="10"/>
        <v>0</v>
      </c>
      <c r="N35" s="116">
        <f t="shared" si="10"/>
        <v>0</v>
      </c>
      <c r="O35" s="116">
        <f t="shared" si="10"/>
        <v>0</v>
      </c>
      <c r="P35" s="116">
        <f t="shared" si="10"/>
        <v>0</v>
      </c>
      <c r="Q35" s="116">
        <f t="shared" si="8"/>
        <v>50.679999999999836</v>
      </c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</row>
    <row r="36" spans="1:29" s="17" customFormat="1">
      <c r="A36" s="62" t="s">
        <v>227</v>
      </c>
      <c r="B36" s="62"/>
      <c r="C36" s="116">
        <v>178.1</v>
      </c>
      <c r="D36" s="116">
        <v>177.04</v>
      </c>
      <c r="E36" s="116">
        <f>$Q$36*E12</f>
        <v>0</v>
      </c>
      <c r="F36" s="116">
        <f t="shared" ref="F36:P36" si="11">$Q$36*F12</f>
        <v>1.0600000000000023</v>
      </c>
      <c r="G36" s="116">
        <f t="shared" si="11"/>
        <v>0</v>
      </c>
      <c r="H36" s="116">
        <f t="shared" si="11"/>
        <v>0</v>
      </c>
      <c r="I36" s="116">
        <f t="shared" si="11"/>
        <v>0</v>
      </c>
      <c r="J36" s="116">
        <f t="shared" si="11"/>
        <v>0</v>
      </c>
      <c r="K36" s="116">
        <f t="shared" si="11"/>
        <v>0</v>
      </c>
      <c r="L36" s="116">
        <f t="shared" si="11"/>
        <v>0</v>
      </c>
      <c r="M36" s="116">
        <f t="shared" si="11"/>
        <v>0</v>
      </c>
      <c r="N36" s="116">
        <f t="shared" si="11"/>
        <v>0</v>
      </c>
      <c r="O36" s="116">
        <f t="shared" si="11"/>
        <v>0</v>
      </c>
      <c r="P36" s="116">
        <f t="shared" si="11"/>
        <v>0</v>
      </c>
      <c r="Q36" s="116">
        <f t="shared" si="8"/>
        <v>1.0600000000000023</v>
      </c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1:29" s="17" customFormat="1">
      <c r="A37" s="62" t="s">
        <v>228</v>
      </c>
      <c r="B37" s="62"/>
      <c r="C37" s="116">
        <v>107</v>
      </c>
      <c r="D37" s="116">
        <v>107</v>
      </c>
      <c r="E37" s="116">
        <f>$Q$37*E13</f>
        <v>0</v>
      </c>
      <c r="F37" s="116">
        <f t="shared" ref="F37:P37" si="12">$Q$37*F13</f>
        <v>0</v>
      </c>
      <c r="G37" s="116">
        <f t="shared" si="12"/>
        <v>0</v>
      </c>
      <c r="H37" s="116">
        <f t="shared" si="12"/>
        <v>0</v>
      </c>
      <c r="I37" s="116">
        <f t="shared" si="12"/>
        <v>0</v>
      </c>
      <c r="J37" s="116">
        <f t="shared" si="12"/>
        <v>0</v>
      </c>
      <c r="K37" s="116">
        <f t="shared" si="12"/>
        <v>0</v>
      </c>
      <c r="L37" s="116">
        <f t="shared" si="12"/>
        <v>0</v>
      </c>
      <c r="M37" s="116">
        <f t="shared" si="12"/>
        <v>0</v>
      </c>
      <c r="N37" s="116">
        <f t="shared" si="12"/>
        <v>0</v>
      </c>
      <c r="O37" s="116">
        <f t="shared" si="12"/>
        <v>0</v>
      </c>
      <c r="P37" s="116">
        <f t="shared" si="12"/>
        <v>0</v>
      </c>
      <c r="Q37" s="116">
        <f t="shared" si="8"/>
        <v>0</v>
      </c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</row>
    <row r="38" spans="1:29" s="17" customFormat="1">
      <c r="A38" s="62" t="s">
        <v>229</v>
      </c>
      <c r="B38" s="62"/>
      <c r="C38" s="116">
        <v>99</v>
      </c>
      <c r="D38" s="116">
        <v>70.8</v>
      </c>
      <c r="E38" s="116">
        <f>$Q$38*E14</f>
        <v>2.8200000000000003</v>
      </c>
      <c r="F38" s="116">
        <f t="shared" ref="F38:P38" si="13">$Q$38*F14</f>
        <v>1.4100000000000001</v>
      </c>
      <c r="G38" s="116">
        <f t="shared" si="13"/>
        <v>1.4100000000000001</v>
      </c>
      <c r="H38" s="116">
        <f t="shared" si="13"/>
        <v>2.8200000000000003</v>
      </c>
      <c r="I38" s="116">
        <f t="shared" si="13"/>
        <v>2.8200000000000003</v>
      </c>
      <c r="J38" s="116">
        <f t="shared" si="13"/>
        <v>1.4100000000000001</v>
      </c>
      <c r="K38" s="116">
        <f t="shared" si="13"/>
        <v>2.8200000000000003</v>
      </c>
      <c r="L38" s="116">
        <f t="shared" si="13"/>
        <v>2.8200000000000003</v>
      </c>
      <c r="M38" s="116">
        <f t="shared" si="13"/>
        <v>2.8200000000000003</v>
      </c>
      <c r="N38" s="116">
        <f t="shared" si="13"/>
        <v>1.4100000000000001</v>
      </c>
      <c r="O38" s="116">
        <f t="shared" si="13"/>
        <v>2.8200000000000003</v>
      </c>
      <c r="P38" s="116">
        <f t="shared" si="13"/>
        <v>2.8200000000000003</v>
      </c>
      <c r="Q38" s="116">
        <f t="shared" si="8"/>
        <v>28.200000000000003</v>
      </c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</row>
    <row r="39" spans="1:29" s="17" customFormat="1">
      <c r="A39" s="62" t="s">
        <v>230</v>
      </c>
      <c r="B39" s="62"/>
      <c r="C39" s="116">
        <v>10</v>
      </c>
      <c r="D39" s="116">
        <v>9.6999999999999993</v>
      </c>
      <c r="E39" s="116">
        <f>Q39*E15</f>
        <v>0</v>
      </c>
      <c r="F39" s="116">
        <f t="shared" ref="F39:P39" si="14">R39*F15</f>
        <v>0</v>
      </c>
      <c r="G39" s="116">
        <f t="shared" si="14"/>
        <v>0</v>
      </c>
      <c r="H39" s="116">
        <f t="shared" si="14"/>
        <v>0</v>
      </c>
      <c r="I39" s="116">
        <f t="shared" si="14"/>
        <v>0</v>
      </c>
      <c r="J39" s="116">
        <f t="shared" si="14"/>
        <v>0</v>
      </c>
      <c r="K39" s="116">
        <f t="shared" si="14"/>
        <v>0</v>
      </c>
      <c r="L39" s="116">
        <f t="shared" si="14"/>
        <v>0</v>
      </c>
      <c r="M39" s="116">
        <f t="shared" si="14"/>
        <v>0</v>
      </c>
      <c r="N39" s="116">
        <f t="shared" si="14"/>
        <v>0</v>
      </c>
      <c r="O39" s="116">
        <f t="shared" si="14"/>
        <v>0</v>
      </c>
      <c r="P39" s="116">
        <f t="shared" si="14"/>
        <v>0</v>
      </c>
      <c r="Q39" s="116">
        <f t="shared" si="8"/>
        <v>0.30000000000000071</v>
      </c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</row>
    <row r="40" spans="1:29" s="17" customFormat="1">
      <c r="A40" s="62" t="s">
        <v>231</v>
      </c>
      <c r="B40" s="62"/>
      <c r="C40" s="116">
        <v>473.94</v>
      </c>
      <c r="D40" s="116">
        <v>338.32</v>
      </c>
      <c r="E40" s="116">
        <f>$Q$40*E16</f>
        <v>13.562000000000001</v>
      </c>
      <c r="F40" s="116">
        <f t="shared" ref="F40:P40" si="15">$Q$40*F16</f>
        <v>6.7810000000000006</v>
      </c>
      <c r="G40" s="116">
        <f t="shared" si="15"/>
        <v>6.7810000000000006</v>
      </c>
      <c r="H40" s="116">
        <f t="shared" si="15"/>
        <v>13.562000000000001</v>
      </c>
      <c r="I40" s="116">
        <f t="shared" si="15"/>
        <v>13.562000000000001</v>
      </c>
      <c r="J40" s="116">
        <f t="shared" si="15"/>
        <v>6.7810000000000006</v>
      </c>
      <c r="K40" s="116">
        <f t="shared" si="15"/>
        <v>13.562000000000001</v>
      </c>
      <c r="L40" s="116">
        <f t="shared" si="15"/>
        <v>13.562000000000001</v>
      </c>
      <c r="M40" s="116">
        <f t="shared" si="15"/>
        <v>13.562000000000001</v>
      </c>
      <c r="N40" s="116">
        <f t="shared" si="15"/>
        <v>6.7810000000000006</v>
      </c>
      <c r="O40" s="116">
        <f t="shared" si="15"/>
        <v>13.562000000000001</v>
      </c>
      <c r="P40" s="116">
        <f t="shared" si="15"/>
        <v>13.562000000000001</v>
      </c>
      <c r="Q40" s="116">
        <f t="shared" si="8"/>
        <v>135.62</v>
      </c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</row>
    <row r="41" spans="1:29" s="17" customFormat="1">
      <c r="A41" s="62" t="s">
        <v>232</v>
      </c>
      <c r="B41" s="62"/>
      <c r="C41" s="116">
        <v>76</v>
      </c>
      <c r="D41" s="116">
        <v>71.37</v>
      </c>
      <c r="E41" s="116">
        <f>$Q$41*E17</f>
        <v>1.1574999999999989</v>
      </c>
      <c r="F41" s="116">
        <f t="shared" ref="F41:P41" si="16">$Q$41*F17</f>
        <v>1.1574999999999989</v>
      </c>
      <c r="G41" s="116">
        <f t="shared" si="16"/>
        <v>1.1574999999999989</v>
      </c>
      <c r="H41" s="116">
        <f t="shared" si="16"/>
        <v>1.1574999999999989</v>
      </c>
      <c r="I41" s="116">
        <f t="shared" si="16"/>
        <v>0</v>
      </c>
      <c r="J41" s="116">
        <f t="shared" si="16"/>
        <v>0</v>
      </c>
      <c r="K41" s="116">
        <f t="shared" si="16"/>
        <v>0</v>
      </c>
      <c r="L41" s="116">
        <f t="shared" si="16"/>
        <v>0</v>
      </c>
      <c r="M41" s="116">
        <f t="shared" si="16"/>
        <v>0</v>
      </c>
      <c r="N41" s="116">
        <f t="shared" si="16"/>
        <v>0</v>
      </c>
      <c r="O41" s="116">
        <f t="shared" si="16"/>
        <v>0</v>
      </c>
      <c r="P41" s="116">
        <f t="shared" si="16"/>
        <v>0</v>
      </c>
      <c r="Q41" s="116">
        <f t="shared" si="8"/>
        <v>4.6299999999999955</v>
      </c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</row>
    <row r="42" spans="1:29" s="17" customFormat="1">
      <c r="A42" s="62" t="s">
        <v>233</v>
      </c>
      <c r="B42" s="62"/>
      <c r="C42" s="116">
        <v>98.240000000000009</v>
      </c>
      <c r="D42" s="116">
        <v>83.85</v>
      </c>
      <c r="E42" s="116">
        <f>$Q$42*E18</f>
        <v>3.5975000000000037</v>
      </c>
      <c r="F42" s="116">
        <f t="shared" ref="F42:P42" si="17">$Q$42*F18</f>
        <v>3.5975000000000037</v>
      </c>
      <c r="G42" s="116">
        <f t="shared" si="17"/>
        <v>3.5975000000000037</v>
      </c>
      <c r="H42" s="116">
        <f t="shared" si="17"/>
        <v>3.5975000000000037</v>
      </c>
      <c r="I42" s="116">
        <f t="shared" si="17"/>
        <v>0</v>
      </c>
      <c r="J42" s="116">
        <f t="shared" si="17"/>
        <v>0</v>
      </c>
      <c r="K42" s="116">
        <f t="shared" si="17"/>
        <v>0</v>
      </c>
      <c r="L42" s="116">
        <f t="shared" si="17"/>
        <v>0</v>
      </c>
      <c r="M42" s="116">
        <f t="shared" si="17"/>
        <v>0</v>
      </c>
      <c r="N42" s="116">
        <f t="shared" si="17"/>
        <v>0</v>
      </c>
      <c r="O42" s="116">
        <f t="shared" si="17"/>
        <v>0</v>
      </c>
      <c r="P42" s="116">
        <f t="shared" si="17"/>
        <v>0</v>
      </c>
      <c r="Q42" s="116">
        <f t="shared" si="8"/>
        <v>14.390000000000015</v>
      </c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</row>
    <row r="43" spans="1:29" s="17" customFormat="1">
      <c r="A43" s="146" t="s">
        <v>234</v>
      </c>
      <c r="B43" s="146"/>
      <c r="C43" s="10">
        <f>SUM(C32:C42)</f>
        <v>6248.61</v>
      </c>
      <c r="D43" s="10">
        <f t="shared" ref="D43:Q43" si="18">SUM(D32:D42)</f>
        <v>5913.6399999999994</v>
      </c>
      <c r="E43" s="10">
        <f t="shared" si="18"/>
        <v>21.137000000000004</v>
      </c>
      <c r="F43" s="10">
        <f t="shared" ref="F43" si="19">SUM(F32:F42)</f>
        <v>14.006000000000006</v>
      </c>
      <c r="G43" s="10">
        <f t="shared" ref="G43" si="20">SUM(G32:G42)</f>
        <v>73.928499999999929</v>
      </c>
      <c r="H43" s="10">
        <f t="shared" ref="H43" si="21">SUM(H32:H42)</f>
        <v>82.119499999999931</v>
      </c>
      <c r="I43" s="10">
        <f t="shared" ref="I43" si="22">SUM(I32:I42)</f>
        <v>30.784500000000005</v>
      </c>
      <c r="J43" s="10">
        <f t="shared" ref="J43" si="23">SUM(J32:J42)</f>
        <v>22.593500000000006</v>
      </c>
      <c r="K43" s="10">
        <f t="shared" ref="K43" si="24">SUM(K32:K42)</f>
        <v>16.382000000000001</v>
      </c>
      <c r="L43" s="10">
        <f t="shared" ref="L43" si="25">SUM(L32:L42)</f>
        <v>16.382000000000001</v>
      </c>
      <c r="M43" s="10">
        <f t="shared" ref="M43" si="26">SUM(M32:M42)</f>
        <v>16.382000000000001</v>
      </c>
      <c r="N43" s="10">
        <f t="shared" ref="N43" si="27">SUM(N32:N42)</f>
        <v>8.1910000000000007</v>
      </c>
      <c r="O43" s="10">
        <f t="shared" ref="O43" si="28">SUM(O32:O42)</f>
        <v>16.382000000000001</v>
      </c>
      <c r="P43" s="10">
        <f t="shared" ref="P43" si="29">SUM(P32:P42)</f>
        <v>16.382000000000001</v>
      </c>
      <c r="Q43" s="10">
        <f t="shared" si="18"/>
        <v>334.96999999999991</v>
      </c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</row>
    <row r="44" spans="1:29" s="17" customFormat="1">
      <c r="A44" s="62" t="s">
        <v>235</v>
      </c>
      <c r="B44" s="62"/>
      <c r="C44" s="116">
        <v>408.03</v>
      </c>
      <c r="D44" s="116">
        <v>408.03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f t="shared" si="8"/>
        <v>0</v>
      </c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</row>
    <row r="45" spans="1:29" s="17" customFormat="1">
      <c r="A45" s="62" t="s">
        <v>236</v>
      </c>
      <c r="B45" s="62"/>
      <c r="C45" s="116">
        <v>17.54</v>
      </c>
      <c r="D45" s="116">
        <v>17.54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f t="shared" si="8"/>
        <v>0</v>
      </c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</row>
    <row r="46" spans="1:29" s="17" customFormat="1">
      <c r="A46" s="62" t="s">
        <v>237</v>
      </c>
      <c r="B46" s="62"/>
      <c r="C46" s="116">
        <v>86.4</v>
      </c>
      <c r="D46" s="116">
        <v>86.4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f t="shared" si="8"/>
        <v>0</v>
      </c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</row>
    <row r="47" spans="1:29" s="17" customFormat="1">
      <c r="A47" s="62" t="s">
        <v>238</v>
      </c>
      <c r="B47" s="62"/>
      <c r="C47" s="116">
        <v>1795.8899999999999</v>
      </c>
      <c r="D47" s="116">
        <v>1795.89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f t="shared" si="8"/>
        <v>0</v>
      </c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</row>
    <row r="48" spans="1:29" s="17" customFormat="1">
      <c r="A48" s="62" t="s">
        <v>239</v>
      </c>
      <c r="B48" s="62"/>
      <c r="C48" s="116">
        <v>15</v>
      </c>
      <c r="D48" s="116">
        <v>0</v>
      </c>
      <c r="E48" s="116">
        <f>$Q$48*E24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f t="shared" ref="O48:P49" si="30">$Q$42*O24</f>
        <v>7.1950000000000074</v>
      </c>
      <c r="P48" s="116">
        <f t="shared" si="30"/>
        <v>7.1950000000000074</v>
      </c>
      <c r="Q48" s="116">
        <f t="shared" si="8"/>
        <v>15</v>
      </c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</row>
    <row r="49" spans="1:29" s="17" customFormat="1">
      <c r="A49" s="62" t="s">
        <v>240</v>
      </c>
      <c r="B49" s="62"/>
      <c r="C49" s="116">
        <v>270.12697364685118</v>
      </c>
      <c r="D49" s="116">
        <v>270.12697364685118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f t="shared" si="30"/>
        <v>0</v>
      </c>
      <c r="P49" s="116">
        <f t="shared" si="30"/>
        <v>0</v>
      </c>
      <c r="Q49" s="116">
        <f t="shared" si="8"/>
        <v>0</v>
      </c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</row>
    <row r="50" spans="1:29" s="17" customFormat="1">
      <c r="A50" s="146" t="s">
        <v>241</v>
      </c>
      <c r="B50" s="146"/>
      <c r="C50" s="10">
        <f>SUM(C43:C49)</f>
        <v>8841.5969736468505</v>
      </c>
      <c r="D50" s="10">
        <f t="shared" ref="D50:Q50" si="31">SUM(D43:D49)</f>
        <v>8491.6269736468494</v>
      </c>
      <c r="E50" s="10">
        <f t="shared" si="31"/>
        <v>21.137000000000004</v>
      </c>
      <c r="F50" s="10">
        <f t="shared" si="31"/>
        <v>14.006000000000006</v>
      </c>
      <c r="G50" s="10">
        <f t="shared" si="31"/>
        <v>73.928499999999929</v>
      </c>
      <c r="H50" s="10">
        <f t="shared" si="31"/>
        <v>82.119499999999931</v>
      </c>
      <c r="I50" s="10">
        <f t="shared" si="31"/>
        <v>30.784500000000005</v>
      </c>
      <c r="J50" s="10">
        <f t="shared" si="31"/>
        <v>22.593500000000006</v>
      </c>
      <c r="K50" s="10">
        <f t="shared" si="31"/>
        <v>16.382000000000001</v>
      </c>
      <c r="L50" s="10">
        <f t="shared" si="31"/>
        <v>16.382000000000001</v>
      </c>
      <c r="M50" s="10">
        <f t="shared" si="31"/>
        <v>16.382000000000001</v>
      </c>
      <c r="N50" s="10">
        <f t="shared" si="31"/>
        <v>8.1910000000000007</v>
      </c>
      <c r="O50" s="10">
        <f t="shared" si="31"/>
        <v>23.577000000000009</v>
      </c>
      <c r="P50" s="10">
        <f t="shared" si="31"/>
        <v>23.577000000000009</v>
      </c>
      <c r="Q50" s="10">
        <f t="shared" si="31"/>
        <v>349.96999999999991</v>
      </c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</row>
    <row r="51" spans="1:29" s="17" customFormat="1" ht="18.75">
      <c r="A51" s="145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</row>
    <row r="52" spans="1:29" s="17" customFormat="1">
      <c r="A52" s="146" t="s">
        <v>243</v>
      </c>
      <c r="B52" s="146"/>
      <c r="C52" s="10"/>
      <c r="D52" s="10">
        <f>D28</f>
        <v>160.078</v>
      </c>
      <c r="E52" s="10">
        <f>$D$52*E28</f>
        <v>0</v>
      </c>
      <c r="F52" s="10">
        <f t="shared" ref="F52:Q52" si="32">$D$52*F28</f>
        <v>0</v>
      </c>
      <c r="G52" s="10">
        <f t="shared" si="32"/>
        <v>0</v>
      </c>
      <c r="H52" s="10">
        <f t="shared" si="32"/>
        <v>0</v>
      </c>
      <c r="I52" s="10">
        <v>131</v>
      </c>
      <c r="J52" s="10">
        <f>D52-I52</f>
        <v>29.078000000000003</v>
      </c>
      <c r="K52" s="10"/>
      <c r="L52" s="10"/>
      <c r="M52" s="10"/>
      <c r="N52" s="10"/>
      <c r="O52" s="10"/>
      <c r="P52" s="10">
        <f t="shared" si="32"/>
        <v>0</v>
      </c>
      <c r="Q52" s="10">
        <f t="shared" si="32"/>
        <v>160.078</v>
      </c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</row>
    <row r="53" spans="1:29" s="17" customFormat="1" ht="18.75">
      <c r="A53" s="145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</row>
    <row r="54" spans="1:29" s="17" customFormat="1">
      <c r="A54" s="146" t="s">
        <v>244</v>
      </c>
      <c r="B54" s="146"/>
      <c r="C54" s="10"/>
      <c r="D54" s="10"/>
      <c r="E54" s="10">
        <f>E50+E52</f>
        <v>21.137000000000004</v>
      </c>
      <c r="F54" s="10">
        <f t="shared" ref="F54:P54" si="33">F50+F52</f>
        <v>14.006000000000006</v>
      </c>
      <c r="G54" s="10">
        <f t="shared" si="33"/>
        <v>73.928499999999929</v>
      </c>
      <c r="H54" s="10">
        <f t="shared" si="33"/>
        <v>82.119499999999931</v>
      </c>
      <c r="I54" s="10">
        <f t="shared" si="33"/>
        <v>161.78450000000001</v>
      </c>
      <c r="J54" s="10">
        <f t="shared" si="33"/>
        <v>51.671500000000009</v>
      </c>
      <c r="K54" s="10">
        <f t="shared" si="33"/>
        <v>16.382000000000001</v>
      </c>
      <c r="L54" s="10">
        <f t="shared" si="33"/>
        <v>16.382000000000001</v>
      </c>
      <c r="M54" s="10">
        <f t="shared" si="33"/>
        <v>16.382000000000001</v>
      </c>
      <c r="N54" s="10">
        <f t="shared" si="33"/>
        <v>8.1910000000000007</v>
      </c>
      <c r="O54" s="10">
        <f t="shared" si="33"/>
        <v>23.577000000000009</v>
      </c>
      <c r="P54" s="10">
        <f t="shared" si="33"/>
        <v>23.577000000000009</v>
      </c>
      <c r="Q54" s="10">
        <f>SUM(E54:P54)</f>
        <v>509.13799999999992</v>
      </c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</row>
    <row r="55" spans="1:29" s="17" customFormat="1" ht="18.75">
      <c r="A55" s="145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</row>
    <row r="56" spans="1:29" s="1" customFormat="1" ht="12.75">
      <c r="A56" s="62" t="s">
        <v>245</v>
      </c>
      <c r="B56" s="62"/>
      <c r="C56" s="116"/>
      <c r="D56" s="116"/>
      <c r="E56" s="116">
        <v>112.66799999999989</v>
      </c>
      <c r="F56" s="116">
        <f>E58</f>
        <v>91.530999999999892</v>
      </c>
      <c r="G56" s="116">
        <f t="shared" ref="G56:P56" si="34">F58</f>
        <v>77.524999999999892</v>
      </c>
      <c r="H56" s="116">
        <f t="shared" si="34"/>
        <v>3.5964999999999634</v>
      </c>
      <c r="I56" s="116">
        <f t="shared" si="34"/>
        <v>-78.522999999999968</v>
      </c>
      <c r="J56" s="116">
        <f t="shared" si="34"/>
        <v>-140.30749999999998</v>
      </c>
      <c r="K56" s="116">
        <f t="shared" si="34"/>
        <v>-183.93899999999999</v>
      </c>
      <c r="L56" s="116">
        <f t="shared" si="34"/>
        <v>-78.540999999999997</v>
      </c>
      <c r="M56" s="116">
        <f t="shared" si="34"/>
        <v>-94.923000000000002</v>
      </c>
      <c r="N56" s="116">
        <f t="shared" si="34"/>
        <v>-111.30500000000001</v>
      </c>
      <c r="O56" s="116">
        <f t="shared" si="34"/>
        <v>80.503999999999991</v>
      </c>
      <c r="P56" s="116">
        <f t="shared" si="34"/>
        <v>56.926999999999978</v>
      </c>
      <c r="Q56" s="116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s="1" customFormat="1" ht="12.75">
      <c r="A57" s="62" t="s">
        <v>246</v>
      </c>
      <c r="B57" s="62"/>
      <c r="C57" s="116"/>
      <c r="D57" s="116"/>
      <c r="E57" s="116"/>
      <c r="F57" s="116"/>
      <c r="G57" s="116"/>
      <c r="H57" s="116"/>
      <c r="I57" s="116">
        <f>HLOOKUP(I6,'Finance Cost'!$D$6:$BS$11,6,FALSE)+HLOOKUP(I6,'Finance Cost'!$D$6:$BS$19,14,FALSE)</f>
        <v>100</v>
      </c>
      <c r="J57" s="116">
        <f>HLOOKUP(J6,'Finance Cost'!$D$6:$BS$11,6,FALSE)+HLOOKUP(J6,'Finance Cost'!$D$6:$BS$19,14,FALSE)</f>
        <v>8.0399999999999991</v>
      </c>
      <c r="K57" s="116">
        <f>HLOOKUP(K6,'Finance Cost'!$D$6:$BS$11,6,FALSE)+HLOOKUP(K6,'Finance Cost'!$D$6:$BS$19,14,FALSE)</f>
        <v>121.78</v>
      </c>
      <c r="L57" s="116">
        <f>HLOOKUP(L6,'Finance Cost'!$D$6:$BS$11,6,FALSE)+HLOOKUP(L6,'Finance Cost'!$D$6:$BS$19,14,FALSE)</f>
        <v>0</v>
      </c>
      <c r="M57" s="116">
        <f>HLOOKUP(M6,'Finance Cost'!$D$6:$BS$11,6,FALSE)+HLOOKUP(M6,'Finance Cost'!$D$6:$BS$19,14,FALSE)</f>
        <v>0</v>
      </c>
      <c r="N57" s="116">
        <f>HLOOKUP(N6,'Finance Cost'!$D$6:$BS$11,6,FALSE)+HLOOKUP(N6,'Finance Cost'!$D$6:$BS$19,14,FALSE)</f>
        <v>200</v>
      </c>
      <c r="O57" s="116">
        <f>HLOOKUP(O6,'Finance Cost'!$D$6:$BS$11,6,FALSE)+HLOOKUP(O6,'Finance Cost'!$D$6:$BS$19,14,FALSE)</f>
        <v>0</v>
      </c>
      <c r="P57" s="116">
        <f>HLOOKUP(P6,'Finance Cost'!$D$6:$BS$11,6,FALSE)+HLOOKUP(P6,'Finance Cost'!$D$6:$BS$19,14,FALSE)</f>
        <v>0</v>
      </c>
      <c r="Q57" s="116"/>
      <c r="R57" s="140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s="1" customFormat="1" ht="13.5" thickBot="1">
      <c r="A58" s="91" t="s">
        <v>247</v>
      </c>
      <c r="B58" s="91"/>
      <c r="C58" s="91"/>
      <c r="D58" s="91"/>
      <c r="E58" s="150">
        <f>E56+E57-E54</f>
        <v>91.530999999999892</v>
      </c>
      <c r="F58" s="150">
        <f t="shared" ref="F58:P58" si="35">F56+F57-F54</f>
        <v>77.524999999999892</v>
      </c>
      <c r="G58" s="150">
        <f t="shared" si="35"/>
        <v>3.5964999999999634</v>
      </c>
      <c r="H58" s="150">
        <f t="shared" si="35"/>
        <v>-78.522999999999968</v>
      </c>
      <c r="I58" s="150">
        <f t="shared" si="35"/>
        <v>-140.30749999999998</v>
      </c>
      <c r="J58" s="150">
        <f t="shared" si="35"/>
        <v>-183.93899999999999</v>
      </c>
      <c r="K58" s="150">
        <f t="shared" si="35"/>
        <v>-78.540999999999997</v>
      </c>
      <c r="L58" s="150">
        <f t="shared" si="35"/>
        <v>-94.923000000000002</v>
      </c>
      <c r="M58" s="150">
        <f t="shared" si="35"/>
        <v>-111.30500000000001</v>
      </c>
      <c r="N58" s="150">
        <f t="shared" si="35"/>
        <v>80.503999999999991</v>
      </c>
      <c r="O58" s="150">
        <f t="shared" si="35"/>
        <v>56.926999999999978</v>
      </c>
      <c r="P58" s="150">
        <f t="shared" si="35"/>
        <v>33.349999999999966</v>
      </c>
      <c r="Q58" s="91"/>
      <c r="R58" s="140"/>
      <c r="S58" s="62"/>
      <c r="T58" s="62"/>
      <c r="U58" s="62"/>
      <c r="V58" s="62"/>
      <c r="W58" s="62"/>
      <c r="X58" s="62"/>
      <c r="Y58" s="62"/>
      <c r="Z58" s="62"/>
      <c r="AA58" s="62"/>
      <c r="AB58" s="62"/>
    </row>
    <row r="59" spans="1:29" s="17" customFormat="1" ht="19.5" thickTop="1">
      <c r="A59" s="145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</row>
    <row r="60" spans="1:29" s="17" customFormat="1" ht="19.5" thickBot="1">
      <c r="A60" s="145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47"/>
      <c r="Q60" s="147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</row>
    <row r="61" spans="1:29" s="17" customFormat="1" ht="15.75" thickTop="1">
      <c r="A61" s="641" t="s">
        <v>0</v>
      </c>
      <c r="B61" s="46"/>
      <c r="C61" s="19">
        <f>B62+1</f>
        <v>42461</v>
      </c>
      <c r="D61" s="19">
        <f>C62+1</f>
        <v>42826</v>
      </c>
      <c r="E61" s="19">
        <v>43191</v>
      </c>
      <c r="F61" s="19">
        <f>E62+1</f>
        <v>43556</v>
      </c>
      <c r="G61" s="19">
        <f>F62+1</f>
        <v>43922</v>
      </c>
      <c r="H61" s="19">
        <f t="shared" ref="H61:AB61" si="36">G62+1</f>
        <v>44287</v>
      </c>
      <c r="I61" s="19">
        <f t="shared" si="36"/>
        <v>44652</v>
      </c>
      <c r="J61" s="19">
        <f t="shared" si="36"/>
        <v>45017</v>
      </c>
      <c r="K61" s="19">
        <f t="shared" si="36"/>
        <v>45383</v>
      </c>
      <c r="L61" s="19">
        <f t="shared" si="36"/>
        <v>45748</v>
      </c>
      <c r="M61" s="19">
        <f t="shared" si="36"/>
        <v>46113</v>
      </c>
      <c r="N61" s="19">
        <f t="shared" si="36"/>
        <v>46478</v>
      </c>
      <c r="O61" s="19">
        <f t="shared" si="36"/>
        <v>46844</v>
      </c>
      <c r="P61" s="19">
        <f t="shared" si="36"/>
        <v>47209</v>
      </c>
      <c r="Q61" s="19">
        <f t="shared" si="36"/>
        <v>47574</v>
      </c>
      <c r="R61" s="19">
        <f t="shared" si="36"/>
        <v>47939</v>
      </c>
      <c r="S61" s="19">
        <f t="shared" si="36"/>
        <v>48305</v>
      </c>
      <c r="T61" s="19">
        <f t="shared" si="36"/>
        <v>48670</v>
      </c>
      <c r="U61" s="19">
        <f t="shared" si="36"/>
        <v>49035</v>
      </c>
      <c r="V61" s="19">
        <f t="shared" si="36"/>
        <v>49400</v>
      </c>
      <c r="W61" s="19">
        <f t="shared" si="36"/>
        <v>49766</v>
      </c>
      <c r="X61" s="19">
        <f t="shared" si="36"/>
        <v>50131</v>
      </c>
      <c r="Y61" s="19">
        <f t="shared" si="36"/>
        <v>50496</v>
      </c>
      <c r="Z61" s="19">
        <f t="shared" si="36"/>
        <v>50861</v>
      </c>
      <c r="AA61" s="19">
        <f t="shared" si="36"/>
        <v>51227</v>
      </c>
      <c r="AB61" s="19">
        <f t="shared" si="36"/>
        <v>51592</v>
      </c>
    </row>
    <row r="62" spans="1:29" s="17" customFormat="1">
      <c r="A62" s="642"/>
      <c r="B62" s="6">
        <v>42460</v>
      </c>
      <c r="C62" s="6">
        <f>EOMONTH(B62,12)</f>
        <v>42825</v>
      </c>
      <c r="D62" s="6">
        <f>EOMONTH(C62,12)</f>
        <v>43190</v>
      </c>
      <c r="E62" s="6">
        <v>43555</v>
      </c>
      <c r="F62" s="6">
        <f>EOMONTH(E62,12)</f>
        <v>43921</v>
      </c>
      <c r="G62" s="6">
        <f t="shared" ref="G62:AB62" si="37">EOMONTH(F62,12)</f>
        <v>44286</v>
      </c>
      <c r="H62" s="6">
        <f t="shared" si="37"/>
        <v>44651</v>
      </c>
      <c r="I62" s="6">
        <f t="shared" si="37"/>
        <v>45016</v>
      </c>
      <c r="J62" s="6">
        <f t="shared" si="37"/>
        <v>45382</v>
      </c>
      <c r="K62" s="6">
        <f t="shared" si="37"/>
        <v>45747</v>
      </c>
      <c r="L62" s="6">
        <f t="shared" si="37"/>
        <v>46112</v>
      </c>
      <c r="M62" s="6">
        <f t="shared" si="37"/>
        <v>46477</v>
      </c>
      <c r="N62" s="6">
        <f t="shared" si="37"/>
        <v>46843</v>
      </c>
      <c r="O62" s="6">
        <f t="shared" si="37"/>
        <v>47208</v>
      </c>
      <c r="P62" s="6">
        <f t="shared" si="37"/>
        <v>47573</v>
      </c>
      <c r="Q62" s="6">
        <f t="shared" si="37"/>
        <v>47938</v>
      </c>
      <c r="R62" s="6">
        <f t="shared" si="37"/>
        <v>48304</v>
      </c>
      <c r="S62" s="6">
        <f t="shared" si="37"/>
        <v>48669</v>
      </c>
      <c r="T62" s="6">
        <f t="shared" si="37"/>
        <v>49034</v>
      </c>
      <c r="U62" s="6">
        <f t="shared" si="37"/>
        <v>49399</v>
      </c>
      <c r="V62" s="6">
        <f t="shared" si="37"/>
        <v>49765</v>
      </c>
      <c r="W62" s="6">
        <f t="shared" si="37"/>
        <v>50130</v>
      </c>
      <c r="X62" s="6">
        <f t="shared" si="37"/>
        <v>50495</v>
      </c>
      <c r="Y62" s="6">
        <f t="shared" si="37"/>
        <v>50860</v>
      </c>
      <c r="Z62" s="6">
        <f t="shared" si="37"/>
        <v>51226</v>
      </c>
      <c r="AA62" s="6">
        <f t="shared" si="37"/>
        <v>51591</v>
      </c>
      <c r="AB62" s="6">
        <f t="shared" si="37"/>
        <v>51956</v>
      </c>
    </row>
    <row r="63" spans="1:29" s="17" customFormat="1">
      <c r="A63" s="643"/>
      <c r="B63" s="8">
        <f>YEAR(B62)</f>
        <v>2016</v>
      </c>
      <c r="C63" s="8">
        <f>YEAR(C62)</f>
        <v>2017</v>
      </c>
      <c r="D63" s="8">
        <f t="shared" ref="D63:AB63" si="38">YEAR(D62)</f>
        <v>2018</v>
      </c>
      <c r="E63" s="8">
        <f t="shared" si="38"/>
        <v>2019</v>
      </c>
      <c r="F63" s="8">
        <f t="shared" si="38"/>
        <v>2020</v>
      </c>
      <c r="G63" s="8">
        <f t="shared" si="38"/>
        <v>2021</v>
      </c>
      <c r="H63" s="8">
        <f t="shared" si="38"/>
        <v>2022</v>
      </c>
      <c r="I63" s="8">
        <f t="shared" si="38"/>
        <v>2023</v>
      </c>
      <c r="J63" s="8">
        <f t="shared" si="38"/>
        <v>2024</v>
      </c>
      <c r="K63" s="8">
        <f t="shared" si="38"/>
        <v>2025</v>
      </c>
      <c r="L63" s="8">
        <f t="shared" si="38"/>
        <v>2026</v>
      </c>
      <c r="M63" s="8">
        <f t="shared" si="38"/>
        <v>2027</v>
      </c>
      <c r="N63" s="8">
        <f t="shared" si="38"/>
        <v>2028</v>
      </c>
      <c r="O63" s="8">
        <f t="shared" si="38"/>
        <v>2029</v>
      </c>
      <c r="P63" s="8">
        <f t="shared" si="38"/>
        <v>2030</v>
      </c>
      <c r="Q63" s="8">
        <f t="shared" si="38"/>
        <v>2031</v>
      </c>
      <c r="R63" s="8">
        <f t="shared" si="38"/>
        <v>2032</v>
      </c>
      <c r="S63" s="8">
        <f t="shared" si="38"/>
        <v>2033</v>
      </c>
      <c r="T63" s="8">
        <f t="shared" si="38"/>
        <v>2034</v>
      </c>
      <c r="U63" s="8">
        <f t="shared" si="38"/>
        <v>2035</v>
      </c>
      <c r="V63" s="8">
        <f t="shared" si="38"/>
        <v>2036</v>
      </c>
      <c r="W63" s="8">
        <f t="shared" si="38"/>
        <v>2037</v>
      </c>
      <c r="X63" s="8">
        <f t="shared" si="38"/>
        <v>2038</v>
      </c>
      <c r="Y63" s="8">
        <f t="shared" si="38"/>
        <v>2039</v>
      </c>
      <c r="Z63" s="8">
        <f t="shared" si="38"/>
        <v>2040</v>
      </c>
      <c r="AA63" s="8">
        <f t="shared" si="38"/>
        <v>2041</v>
      </c>
      <c r="AB63" s="8">
        <f t="shared" si="38"/>
        <v>2042</v>
      </c>
    </row>
    <row r="64" spans="1:29" ht="15.75">
      <c r="A64" s="138" t="s">
        <v>214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</row>
    <row r="65" spans="1:28">
      <c r="A65" s="62" t="s">
        <v>215</v>
      </c>
      <c r="B65" s="62"/>
      <c r="C65" s="62"/>
      <c r="D65" s="140">
        <f>C69</f>
        <v>0</v>
      </c>
      <c r="E65" s="140">
        <v>7742.3490000000002</v>
      </c>
      <c r="F65" s="140">
        <f t="shared" ref="F65:AB65" si="39">E69</f>
        <v>8233.3060000000005</v>
      </c>
      <c r="G65" s="140">
        <f t="shared" si="39"/>
        <v>8319.4480000000003</v>
      </c>
      <c r="H65" s="140">
        <f t="shared" si="39"/>
        <v>8391.1750000000011</v>
      </c>
      <c r="I65" s="140">
        <f t="shared" si="39"/>
        <v>8391.1750000000011</v>
      </c>
      <c r="J65" s="140">
        <f t="shared" si="39"/>
        <v>8391.1750000000011</v>
      </c>
      <c r="K65" s="140">
        <f t="shared" si="39"/>
        <v>8391.1750000000011</v>
      </c>
      <c r="L65" s="140">
        <f t="shared" si="39"/>
        <v>8391.1750000000011</v>
      </c>
      <c r="M65" s="140">
        <f t="shared" si="39"/>
        <v>8391.1750000000011</v>
      </c>
      <c r="N65" s="140">
        <f t="shared" si="39"/>
        <v>8391.1750000000011</v>
      </c>
      <c r="O65" s="140">
        <f t="shared" si="39"/>
        <v>8391.1750000000011</v>
      </c>
      <c r="P65" s="140">
        <f t="shared" si="39"/>
        <v>8391.1750000000011</v>
      </c>
      <c r="Q65" s="140">
        <f t="shared" si="39"/>
        <v>8391.1750000000011</v>
      </c>
      <c r="R65" s="140">
        <f t="shared" si="39"/>
        <v>8391.1750000000011</v>
      </c>
      <c r="S65" s="140">
        <f t="shared" si="39"/>
        <v>8391.1750000000011</v>
      </c>
      <c r="T65" s="140">
        <f t="shared" si="39"/>
        <v>8391.1750000000011</v>
      </c>
      <c r="U65" s="140">
        <f t="shared" si="39"/>
        <v>8391.1750000000011</v>
      </c>
      <c r="V65" s="140">
        <f t="shared" si="39"/>
        <v>8391.1750000000011</v>
      </c>
      <c r="W65" s="140">
        <f t="shared" si="39"/>
        <v>8391.1750000000011</v>
      </c>
      <c r="X65" s="140">
        <f t="shared" si="39"/>
        <v>8391.1750000000011</v>
      </c>
      <c r="Y65" s="140">
        <f t="shared" si="39"/>
        <v>8391.1750000000011</v>
      </c>
      <c r="Z65" s="140">
        <f t="shared" si="39"/>
        <v>8391.1750000000011</v>
      </c>
      <c r="AA65" s="140">
        <f t="shared" si="39"/>
        <v>8391.1750000000011</v>
      </c>
      <c r="AB65" s="140">
        <f t="shared" si="39"/>
        <v>8391.1750000000011</v>
      </c>
    </row>
    <row r="66" spans="1:28">
      <c r="A66" s="62" t="s">
        <v>216</v>
      </c>
      <c r="B66" s="62"/>
      <c r="C66" s="62"/>
      <c r="D66" s="62"/>
      <c r="E66" s="116">
        <f>SUMIF($E$7:$P$7,E63,$E$50:$P$50)+D71</f>
        <v>490.95699999999988</v>
      </c>
      <c r="F66" s="116">
        <f>SUMIF($E$7:$P$7,F63,$E$50:$P$50)+E71</f>
        <v>86.142000000000024</v>
      </c>
      <c r="G66" s="116">
        <f>SUMIF($E$7:$P$7,G63,$E$50:$P$50)+F71</f>
        <v>71.727000000000018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</row>
    <row r="67" spans="1:28">
      <c r="A67" s="62" t="s">
        <v>217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</row>
    <row r="68" spans="1:28">
      <c r="A68" s="62" t="s">
        <v>219</v>
      </c>
      <c r="B68" s="171">
        <v>2.685076583346992E-2</v>
      </c>
      <c r="C68" s="62"/>
      <c r="D68" s="62">
        <v>482.14</v>
      </c>
      <c r="E68" s="116">
        <f>(E65)*$B$68+D68</f>
        <v>690.02800000000002</v>
      </c>
      <c r="F68" s="116">
        <f>(F65)*$B$68+E68</f>
        <v>911.09857144130297</v>
      </c>
      <c r="G68" s="116">
        <f>(G65)*$B$68+F68</f>
        <v>1134.4821215530326</v>
      </c>
      <c r="H68" s="116">
        <f>(H65)*$B$68+G68</f>
        <v>1359.7915965456996</v>
      </c>
      <c r="I68" s="116">
        <f t="shared" ref="I68:AB68" si="40">(I65)*$B$68+H68</f>
        <v>1585.1010715383666</v>
      </c>
      <c r="J68" s="116">
        <f t="shared" si="40"/>
        <v>1810.4105465310336</v>
      </c>
      <c r="K68" s="116">
        <f t="shared" si="40"/>
        <v>2035.7200215237006</v>
      </c>
      <c r="L68" s="116">
        <f t="shared" si="40"/>
        <v>2261.0294965163675</v>
      </c>
      <c r="M68" s="116">
        <f t="shared" si="40"/>
        <v>2486.3389715090343</v>
      </c>
      <c r="N68" s="116">
        <f t="shared" si="40"/>
        <v>2711.6484465017011</v>
      </c>
      <c r="O68" s="116">
        <f t="shared" si="40"/>
        <v>2936.9579214943678</v>
      </c>
      <c r="P68" s="116">
        <f t="shared" si="40"/>
        <v>3162.2673964870346</v>
      </c>
      <c r="Q68" s="116">
        <f t="shared" si="40"/>
        <v>3387.5768714797014</v>
      </c>
      <c r="R68" s="116">
        <f t="shared" si="40"/>
        <v>3612.8863464723681</v>
      </c>
      <c r="S68" s="116">
        <f t="shared" si="40"/>
        <v>3838.1958214650349</v>
      </c>
      <c r="T68" s="116">
        <f t="shared" si="40"/>
        <v>4063.5052964577017</v>
      </c>
      <c r="U68" s="116">
        <f t="shared" si="40"/>
        <v>4288.8147714503684</v>
      </c>
      <c r="V68" s="116">
        <f t="shared" si="40"/>
        <v>4514.1242464430352</v>
      </c>
      <c r="W68" s="116">
        <f t="shared" si="40"/>
        <v>4739.433721435702</v>
      </c>
      <c r="X68" s="116">
        <f t="shared" si="40"/>
        <v>4964.7431964283687</v>
      </c>
      <c r="Y68" s="116">
        <f t="shared" si="40"/>
        <v>5190.0526714210355</v>
      </c>
      <c r="Z68" s="116">
        <f t="shared" si="40"/>
        <v>5415.3621464137022</v>
      </c>
      <c r="AA68" s="116">
        <f t="shared" si="40"/>
        <v>5640.671621406369</v>
      </c>
      <c r="AB68" s="116">
        <f t="shared" si="40"/>
        <v>5865.9810963990358</v>
      </c>
    </row>
    <row r="69" spans="1:28" s="4" customFormat="1">
      <c r="A69" s="37" t="s">
        <v>218</v>
      </c>
      <c r="B69" s="50"/>
      <c r="C69" s="10">
        <f>C65+C66-C67-C68</f>
        <v>0</v>
      </c>
      <c r="D69" s="10">
        <f t="shared" ref="D69:AB69" si="41">D65+D66-D67</f>
        <v>0</v>
      </c>
      <c r="E69" s="10">
        <f t="shared" si="41"/>
        <v>8233.3060000000005</v>
      </c>
      <c r="F69" s="10">
        <f t="shared" si="41"/>
        <v>8319.4480000000003</v>
      </c>
      <c r="G69" s="10">
        <f t="shared" si="41"/>
        <v>8391.1750000000011</v>
      </c>
      <c r="H69" s="10">
        <f t="shared" si="41"/>
        <v>8391.1750000000011</v>
      </c>
      <c r="I69" s="10">
        <f t="shared" si="41"/>
        <v>8391.1750000000011</v>
      </c>
      <c r="J69" s="10">
        <f t="shared" si="41"/>
        <v>8391.1750000000011</v>
      </c>
      <c r="K69" s="10">
        <f t="shared" si="41"/>
        <v>8391.1750000000011</v>
      </c>
      <c r="L69" s="10">
        <f t="shared" si="41"/>
        <v>8391.1750000000011</v>
      </c>
      <c r="M69" s="10">
        <f t="shared" si="41"/>
        <v>8391.1750000000011</v>
      </c>
      <c r="N69" s="10">
        <f t="shared" si="41"/>
        <v>8391.1750000000011</v>
      </c>
      <c r="O69" s="10">
        <f t="shared" si="41"/>
        <v>8391.1750000000011</v>
      </c>
      <c r="P69" s="10">
        <f t="shared" si="41"/>
        <v>8391.1750000000011</v>
      </c>
      <c r="Q69" s="10">
        <f t="shared" si="41"/>
        <v>8391.1750000000011</v>
      </c>
      <c r="R69" s="10">
        <f t="shared" si="41"/>
        <v>8391.1750000000011</v>
      </c>
      <c r="S69" s="10">
        <f t="shared" si="41"/>
        <v>8391.1750000000011</v>
      </c>
      <c r="T69" s="10">
        <f t="shared" si="41"/>
        <v>8391.1750000000011</v>
      </c>
      <c r="U69" s="10">
        <f t="shared" si="41"/>
        <v>8391.1750000000011</v>
      </c>
      <c r="V69" s="10">
        <f t="shared" si="41"/>
        <v>8391.1750000000011</v>
      </c>
      <c r="W69" s="10">
        <f t="shared" si="41"/>
        <v>8391.1750000000011</v>
      </c>
      <c r="X69" s="10">
        <f t="shared" si="41"/>
        <v>8391.1750000000011</v>
      </c>
      <c r="Y69" s="10">
        <f t="shared" si="41"/>
        <v>8391.1750000000011</v>
      </c>
      <c r="Z69" s="10">
        <f t="shared" si="41"/>
        <v>8391.1750000000011</v>
      </c>
      <c r="AA69" s="10">
        <f t="shared" si="41"/>
        <v>8391.1750000000011</v>
      </c>
      <c r="AB69" s="10">
        <f t="shared" si="41"/>
        <v>8391.1750000000011</v>
      </c>
    </row>
    <row r="70" spans="1:28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</row>
    <row r="71" spans="1:28" s="4" customFormat="1">
      <c r="A71" s="37" t="s">
        <v>220</v>
      </c>
      <c r="B71" s="50"/>
      <c r="C71" s="10"/>
      <c r="D71" s="440">
        <v>299.76600000000002</v>
      </c>
      <c r="E71" s="10"/>
      <c r="F71" s="440">
        <f>SUMIF('FGD Phasing'!$E$21:$AC$21,Phasing!F76,'FGD Phasing'!$E$37:$AC$37)</f>
        <v>0</v>
      </c>
      <c r="G71" s="440">
        <f ca="1">SUMIF('FGD Phasing'!$E$21:$AC$21,Phasing!G76,'FGD Phasing'!$E$37:$AC$37)</f>
        <v>84.48388099586559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</row>
    <row r="73" spans="1:28" ht="15.75" thickBo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</row>
    <row r="74" spans="1:28" ht="15.75" thickTop="1">
      <c r="A74" s="641" t="s">
        <v>0</v>
      </c>
      <c r="B74" s="46"/>
      <c r="C74" s="19">
        <f>B75+1</f>
        <v>42461</v>
      </c>
      <c r="D74" s="19">
        <f>C75+1</f>
        <v>42826</v>
      </c>
      <c r="E74" s="19">
        <v>43191</v>
      </c>
      <c r="F74" s="19">
        <f>E75+1</f>
        <v>43556</v>
      </c>
      <c r="G74" s="19">
        <f>F75+1</f>
        <v>43922</v>
      </c>
      <c r="H74" s="19">
        <f t="shared" ref="H74" si="42">G75+1</f>
        <v>44287</v>
      </c>
      <c r="I74" s="19">
        <f t="shared" ref="I74" si="43">H75+1</f>
        <v>44652</v>
      </c>
      <c r="J74" s="19">
        <f t="shared" ref="J74" si="44">I75+1</f>
        <v>45017</v>
      </c>
      <c r="K74" s="19">
        <f t="shared" ref="K74" si="45">J75+1</f>
        <v>45383</v>
      </c>
      <c r="L74" s="19">
        <f t="shared" ref="L74" si="46">K75+1</f>
        <v>45748</v>
      </c>
      <c r="M74" s="19">
        <f t="shared" ref="M74" si="47">L75+1</f>
        <v>46113</v>
      </c>
      <c r="N74" s="19">
        <f t="shared" ref="N74" si="48">M75+1</f>
        <v>46478</v>
      </c>
      <c r="O74" s="19">
        <f t="shared" ref="O74" si="49">N75+1</f>
        <v>46844</v>
      </c>
      <c r="P74" s="19">
        <f t="shared" ref="P74" si="50">O75+1</f>
        <v>47209</v>
      </c>
      <c r="Q74" s="19">
        <f t="shared" ref="Q74" si="51">P75+1</f>
        <v>47574</v>
      </c>
      <c r="R74" s="19">
        <f t="shared" ref="R74" si="52">Q75+1</f>
        <v>47939</v>
      </c>
      <c r="S74" s="19">
        <f t="shared" ref="S74" si="53">R75+1</f>
        <v>48305</v>
      </c>
      <c r="T74" s="19">
        <f t="shared" ref="T74" si="54">S75+1</f>
        <v>48670</v>
      </c>
      <c r="U74" s="19">
        <f t="shared" ref="U74" si="55">T75+1</f>
        <v>49035</v>
      </c>
      <c r="V74" s="19">
        <f t="shared" ref="V74" si="56">U75+1</f>
        <v>49400</v>
      </c>
      <c r="W74" s="19">
        <f t="shared" ref="W74" si="57">V75+1</f>
        <v>49766</v>
      </c>
      <c r="X74" s="19">
        <f t="shared" ref="X74" si="58">W75+1</f>
        <v>50131</v>
      </c>
      <c r="Y74" s="19">
        <f t="shared" ref="Y74" si="59">X75+1</f>
        <v>50496</v>
      </c>
      <c r="Z74" s="19">
        <f t="shared" ref="Z74" si="60">Y75+1</f>
        <v>50861</v>
      </c>
      <c r="AA74" s="19">
        <f t="shared" ref="AA74" si="61">Z75+1</f>
        <v>51227</v>
      </c>
      <c r="AB74" s="19">
        <f t="shared" ref="AB74" si="62">AA75+1</f>
        <v>51592</v>
      </c>
    </row>
    <row r="75" spans="1:28">
      <c r="A75" s="642"/>
      <c r="B75" s="6">
        <v>42460</v>
      </c>
      <c r="C75" s="6">
        <f>EOMONTH(B75,12)</f>
        <v>42825</v>
      </c>
      <c r="D75" s="6">
        <f>EOMONTH(C75,12)</f>
        <v>43190</v>
      </c>
      <c r="E75" s="6">
        <v>43555</v>
      </c>
      <c r="F75" s="6">
        <f>EOMONTH(E75,12)</f>
        <v>43921</v>
      </c>
      <c r="G75" s="6">
        <f t="shared" ref="G75" si="63">EOMONTH(F75,12)</f>
        <v>44286</v>
      </c>
      <c r="H75" s="6">
        <f t="shared" ref="H75" si="64">EOMONTH(G75,12)</f>
        <v>44651</v>
      </c>
      <c r="I75" s="6">
        <f t="shared" ref="I75" si="65">EOMONTH(H75,12)</f>
        <v>45016</v>
      </c>
      <c r="J75" s="6">
        <f t="shared" ref="J75" si="66">EOMONTH(I75,12)</f>
        <v>45382</v>
      </c>
      <c r="K75" s="6">
        <f t="shared" ref="K75" si="67">EOMONTH(J75,12)</f>
        <v>45747</v>
      </c>
      <c r="L75" s="6">
        <f t="shared" ref="L75" si="68">EOMONTH(K75,12)</f>
        <v>46112</v>
      </c>
      <c r="M75" s="6">
        <f t="shared" ref="M75" si="69">EOMONTH(L75,12)</f>
        <v>46477</v>
      </c>
      <c r="N75" s="6">
        <f t="shared" ref="N75" si="70">EOMONTH(M75,12)</f>
        <v>46843</v>
      </c>
      <c r="O75" s="6">
        <f t="shared" ref="O75" si="71">EOMONTH(N75,12)</f>
        <v>47208</v>
      </c>
      <c r="P75" s="6">
        <f t="shared" ref="P75" si="72">EOMONTH(O75,12)</f>
        <v>47573</v>
      </c>
      <c r="Q75" s="6">
        <f t="shared" ref="Q75" si="73">EOMONTH(P75,12)</f>
        <v>47938</v>
      </c>
      <c r="R75" s="6">
        <f t="shared" ref="R75" si="74">EOMONTH(Q75,12)</f>
        <v>48304</v>
      </c>
      <c r="S75" s="6">
        <f t="shared" ref="S75" si="75">EOMONTH(R75,12)</f>
        <v>48669</v>
      </c>
      <c r="T75" s="6">
        <f t="shared" ref="T75" si="76">EOMONTH(S75,12)</f>
        <v>49034</v>
      </c>
      <c r="U75" s="6">
        <f t="shared" ref="U75" si="77">EOMONTH(T75,12)</f>
        <v>49399</v>
      </c>
      <c r="V75" s="6">
        <f t="shared" ref="V75" si="78">EOMONTH(U75,12)</f>
        <v>49765</v>
      </c>
      <c r="W75" s="6">
        <f t="shared" ref="W75" si="79">EOMONTH(V75,12)</f>
        <v>50130</v>
      </c>
      <c r="X75" s="6">
        <f t="shared" ref="X75" si="80">EOMONTH(W75,12)</f>
        <v>50495</v>
      </c>
      <c r="Y75" s="6">
        <f t="shared" ref="Y75" si="81">EOMONTH(X75,12)</f>
        <v>50860</v>
      </c>
      <c r="Z75" s="6">
        <f t="shared" ref="Z75" si="82">EOMONTH(Y75,12)</f>
        <v>51226</v>
      </c>
      <c r="AA75" s="6">
        <f t="shared" ref="AA75" si="83">EOMONTH(Z75,12)</f>
        <v>51591</v>
      </c>
      <c r="AB75" s="6">
        <f t="shared" ref="AB75" si="84">EOMONTH(AA75,12)</f>
        <v>51956</v>
      </c>
    </row>
    <row r="76" spans="1:28">
      <c r="A76" s="643"/>
      <c r="B76" s="8">
        <f>YEAR(B75)</f>
        <v>2016</v>
      </c>
      <c r="C76" s="8">
        <f>YEAR(C75)</f>
        <v>2017</v>
      </c>
      <c r="D76" s="8">
        <f t="shared" ref="D76:AB76" si="85">YEAR(D75)</f>
        <v>2018</v>
      </c>
      <c r="E76" s="8">
        <f t="shared" si="85"/>
        <v>2019</v>
      </c>
      <c r="F76" s="8">
        <f t="shared" si="85"/>
        <v>2020</v>
      </c>
      <c r="G76" s="8">
        <f t="shared" si="85"/>
        <v>2021</v>
      </c>
      <c r="H76" s="8">
        <f t="shared" si="85"/>
        <v>2022</v>
      </c>
      <c r="I76" s="8">
        <f t="shared" si="85"/>
        <v>2023</v>
      </c>
      <c r="J76" s="8">
        <f t="shared" si="85"/>
        <v>2024</v>
      </c>
      <c r="K76" s="8">
        <f t="shared" si="85"/>
        <v>2025</v>
      </c>
      <c r="L76" s="8">
        <f t="shared" si="85"/>
        <v>2026</v>
      </c>
      <c r="M76" s="8">
        <f t="shared" si="85"/>
        <v>2027</v>
      </c>
      <c r="N76" s="8">
        <f t="shared" si="85"/>
        <v>2028</v>
      </c>
      <c r="O76" s="8">
        <f t="shared" si="85"/>
        <v>2029</v>
      </c>
      <c r="P76" s="8">
        <f t="shared" si="85"/>
        <v>2030</v>
      </c>
      <c r="Q76" s="8">
        <f t="shared" si="85"/>
        <v>2031</v>
      </c>
      <c r="R76" s="8">
        <f t="shared" si="85"/>
        <v>2032</v>
      </c>
      <c r="S76" s="8">
        <f t="shared" si="85"/>
        <v>2033</v>
      </c>
      <c r="T76" s="8">
        <f t="shared" si="85"/>
        <v>2034</v>
      </c>
      <c r="U76" s="8">
        <f t="shared" si="85"/>
        <v>2035</v>
      </c>
      <c r="V76" s="8">
        <f t="shared" si="85"/>
        <v>2036</v>
      </c>
      <c r="W76" s="8">
        <f t="shared" si="85"/>
        <v>2037</v>
      </c>
      <c r="X76" s="8">
        <f t="shared" si="85"/>
        <v>2038</v>
      </c>
      <c r="Y76" s="8">
        <f t="shared" si="85"/>
        <v>2039</v>
      </c>
      <c r="Z76" s="8">
        <f t="shared" si="85"/>
        <v>2040</v>
      </c>
      <c r="AA76" s="8">
        <f t="shared" si="85"/>
        <v>2041</v>
      </c>
      <c r="AB76" s="8">
        <f t="shared" si="85"/>
        <v>2042</v>
      </c>
    </row>
    <row r="77" spans="1:28" ht="15.75">
      <c r="A77" s="138" t="s">
        <v>290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</row>
    <row r="78" spans="1:28">
      <c r="A78" s="62" t="s">
        <v>215</v>
      </c>
      <c r="B78" s="62"/>
      <c r="C78" s="112">
        <v>5494.9469613086258</v>
      </c>
      <c r="D78" s="140">
        <f>C82</f>
        <v>4460.967536802189</v>
      </c>
      <c r="E78" s="140">
        <f>D82</f>
        <v>4460.967536802189</v>
      </c>
      <c r="F78" s="140">
        <f t="shared" ref="F78" si="86">E82</f>
        <v>4245.9576312818608</v>
      </c>
      <c r="G78" s="140">
        <f t="shared" ref="G78" si="87">F82</f>
        <v>3688.7453365895817</v>
      </c>
      <c r="H78" s="140">
        <f t="shared" ref="H78" si="88">G82</f>
        <v>3201.781011101144</v>
      </c>
      <c r="I78" s="140">
        <f t="shared" ref="I78" si="89">H82</f>
        <v>2721.5138594359723</v>
      </c>
      <c r="J78" s="140">
        <f t="shared" ref="J78" si="90">I82</f>
        <v>2313.2867805205765</v>
      </c>
      <c r="K78" s="140">
        <f t="shared" ref="K78" si="91">J82</f>
        <v>1966.29376344249</v>
      </c>
      <c r="L78" s="140">
        <f t="shared" ref="L78" si="92">K82</f>
        <v>1671.3496989261166</v>
      </c>
      <c r="M78" s="140">
        <f t="shared" ref="M78" si="93">L82</f>
        <v>1420.6472440871992</v>
      </c>
      <c r="N78" s="140">
        <f t="shared" ref="N78" si="94">M82</f>
        <v>1207.5501574741193</v>
      </c>
      <c r="O78" s="140">
        <f t="shared" ref="O78" si="95">N82</f>
        <v>1026.4176338530015</v>
      </c>
      <c r="P78" s="140">
        <f t="shared" ref="P78" si="96">O82</f>
        <v>872.45498877505122</v>
      </c>
      <c r="Q78" s="140">
        <f t="shared" ref="Q78" si="97">P82</f>
        <v>741.58674045879354</v>
      </c>
      <c r="R78" s="140">
        <f t="shared" ref="R78" si="98">Q82</f>
        <v>630.34872938997455</v>
      </c>
      <c r="S78" s="140">
        <f t="shared" ref="S78" si="99">R82</f>
        <v>535.79641998147838</v>
      </c>
      <c r="T78" s="140">
        <f t="shared" ref="T78" si="100">S82</f>
        <v>455.42695698425661</v>
      </c>
      <c r="U78" s="140">
        <f t="shared" ref="U78" si="101">T82</f>
        <v>387.1129134366181</v>
      </c>
      <c r="V78" s="140">
        <f t="shared" ref="V78" si="102">U82</f>
        <v>329.04597642112537</v>
      </c>
      <c r="W78" s="140">
        <f t="shared" ref="W78" si="103">V82</f>
        <v>279.68907995795655</v>
      </c>
      <c r="X78" s="140">
        <f t="shared" ref="X78" si="104">W82</f>
        <v>237.73571796426307</v>
      </c>
      <c r="Y78" s="140">
        <f t="shared" ref="Y78" si="105">X82</f>
        <v>202.07536026962362</v>
      </c>
      <c r="Z78" s="140">
        <f t="shared" ref="Z78" si="106">Y82</f>
        <v>171.76405622918008</v>
      </c>
      <c r="AA78" s="140">
        <f t="shared" ref="AA78" si="107">Z82</f>
        <v>145.99944779480307</v>
      </c>
      <c r="AB78" s="140">
        <f t="shared" ref="AB78" si="108">AA82</f>
        <v>124.09953062558262</v>
      </c>
    </row>
    <row r="79" spans="1:28">
      <c r="A79" s="62" t="s">
        <v>216</v>
      </c>
      <c r="B79" s="62"/>
      <c r="C79" s="112">
        <v>30.049769749000003</v>
      </c>
      <c r="D79" s="62"/>
      <c r="E79" s="116">
        <f>SUMIF($E$7:$P$7,E76,$E$50:$P$50)+D84</f>
        <v>490.95699999999988</v>
      </c>
      <c r="F79" s="116">
        <f>SUMIF($E$7:$P$7,F76,$E$50:$P$50)+E84</f>
        <v>86.142000000000024</v>
      </c>
      <c r="G79" s="116">
        <f>SUMIF($E$7:$P$7,G76,$E$50:$P$50)+F84</f>
        <v>71.727000000000018</v>
      </c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</row>
    <row r="80" spans="1:28">
      <c r="A80" s="62" t="s">
        <v>217</v>
      </c>
      <c r="B80" s="62"/>
      <c r="C80" s="251">
        <f>C77/10^7</f>
        <v>0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</row>
    <row r="81" spans="1:28">
      <c r="A81" s="62" t="s">
        <v>219</v>
      </c>
      <c r="B81" s="171">
        <v>0.15</v>
      </c>
      <c r="C81" s="112">
        <v>1064.0291942554368</v>
      </c>
      <c r="D81" s="116">
        <f t="shared" ref="D81:I81" si="109">(D78*$B$81)+(D79*$B$81/2)</f>
        <v>669.14513052032828</v>
      </c>
      <c r="E81" s="116">
        <f t="shared" si="109"/>
        <v>705.96690552032828</v>
      </c>
      <c r="F81" s="116">
        <f t="shared" si="109"/>
        <v>643.35429469227904</v>
      </c>
      <c r="G81" s="116">
        <f t="shared" si="109"/>
        <v>558.69132548843731</v>
      </c>
      <c r="H81" s="116">
        <f t="shared" si="109"/>
        <v>480.26715166517158</v>
      </c>
      <c r="I81" s="116">
        <f t="shared" si="109"/>
        <v>408.22707891539585</v>
      </c>
      <c r="J81" s="116">
        <f t="shared" ref="J81:AB81" si="110">(J78*$B$81)+(J79*$B$81/2)</f>
        <v>346.99301707808644</v>
      </c>
      <c r="K81" s="116">
        <f t="shared" si="110"/>
        <v>294.94406451637349</v>
      </c>
      <c r="L81" s="116">
        <f t="shared" si="110"/>
        <v>250.70245483891748</v>
      </c>
      <c r="M81" s="116">
        <f t="shared" si="110"/>
        <v>213.09708661307988</v>
      </c>
      <c r="N81" s="116">
        <f t="shared" si="110"/>
        <v>181.13252362111788</v>
      </c>
      <c r="O81" s="116">
        <f t="shared" si="110"/>
        <v>153.96264507795021</v>
      </c>
      <c r="P81" s="116">
        <f t="shared" si="110"/>
        <v>130.86824831625768</v>
      </c>
      <c r="Q81" s="116">
        <f t="shared" si="110"/>
        <v>111.23801106881903</v>
      </c>
      <c r="R81" s="116">
        <f t="shared" si="110"/>
        <v>94.552309408496185</v>
      </c>
      <c r="S81" s="116">
        <f t="shared" si="110"/>
        <v>80.36946299722176</v>
      </c>
      <c r="T81" s="116">
        <f t="shared" si="110"/>
        <v>68.314043547638491</v>
      </c>
      <c r="U81" s="116">
        <f t="shared" si="110"/>
        <v>58.066937015492712</v>
      </c>
      <c r="V81" s="116">
        <f t="shared" si="110"/>
        <v>49.356896463168802</v>
      </c>
      <c r="W81" s="116">
        <f t="shared" si="110"/>
        <v>41.953361993693484</v>
      </c>
      <c r="X81" s="116">
        <f t="shared" si="110"/>
        <v>35.660357694639458</v>
      </c>
      <c r="Y81" s="116">
        <f t="shared" si="110"/>
        <v>30.311304040443542</v>
      </c>
      <c r="Z81" s="116">
        <f t="shared" si="110"/>
        <v>25.764608434377013</v>
      </c>
      <c r="AA81" s="116">
        <f t="shared" si="110"/>
        <v>21.899917169220462</v>
      </c>
      <c r="AB81" s="116">
        <f t="shared" si="110"/>
        <v>18.614929593837392</v>
      </c>
    </row>
    <row r="82" spans="1:28">
      <c r="A82" s="37" t="s">
        <v>218</v>
      </c>
      <c r="B82" s="50"/>
      <c r="C82" s="10">
        <f>C78+C79-C80-C81</f>
        <v>4460.967536802189</v>
      </c>
      <c r="D82" s="10">
        <f t="shared" ref="D82" si="111">D78+D79-D80</f>
        <v>4460.967536802189</v>
      </c>
      <c r="E82" s="10">
        <f>E78+E79-E80-E81</f>
        <v>4245.9576312818608</v>
      </c>
      <c r="F82" s="10">
        <f t="shared" ref="F82:AB82" si="112">F78+F79-F80-F81</f>
        <v>3688.7453365895817</v>
      </c>
      <c r="G82" s="10">
        <f t="shared" si="112"/>
        <v>3201.781011101144</v>
      </c>
      <c r="H82" s="10">
        <f t="shared" si="112"/>
        <v>2721.5138594359723</v>
      </c>
      <c r="I82" s="10">
        <f t="shared" si="112"/>
        <v>2313.2867805205765</v>
      </c>
      <c r="J82" s="10">
        <f t="shared" si="112"/>
        <v>1966.29376344249</v>
      </c>
      <c r="K82" s="10">
        <f t="shared" si="112"/>
        <v>1671.3496989261166</v>
      </c>
      <c r="L82" s="10">
        <f t="shared" si="112"/>
        <v>1420.6472440871992</v>
      </c>
      <c r="M82" s="10">
        <f t="shared" si="112"/>
        <v>1207.5501574741193</v>
      </c>
      <c r="N82" s="10">
        <f t="shared" si="112"/>
        <v>1026.4176338530015</v>
      </c>
      <c r="O82" s="10">
        <f t="shared" si="112"/>
        <v>872.45498877505122</v>
      </c>
      <c r="P82" s="10">
        <f t="shared" si="112"/>
        <v>741.58674045879354</v>
      </c>
      <c r="Q82" s="10">
        <f t="shared" si="112"/>
        <v>630.34872938997455</v>
      </c>
      <c r="R82" s="10">
        <f t="shared" si="112"/>
        <v>535.79641998147838</v>
      </c>
      <c r="S82" s="10">
        <f t="shared" si="112"/>
        <v>455.42695698425661</v>
      </c>
      <c r="T82" s="10">
        <f t="shared" si="112"/>
        <v>387.1129134366181</v>
      </c>
      <c r="U82" s="10">
        <f t="shared" si="112"/>
        <v>329.04597642112537</v>
      </c>
      <c r="V82" s="10">
        <f t="shared" si="112"/>
        <v>279.68907995795655</v>
      </c>
      <c r="W82" s="10">
        <f t="shared" si="112"/>
        <v>237.73571796426307</v>
      </c>
      <c r="X82" s="10">
        <f t="shared" si="112"/>
        <v>202.07536026962362</v>
      </c>
      <c r="Y82" s="10">
        <f t="shared" si="112"/>
        <v>171.76405622918008</v>
      </c>
      <c r="Z82" s="10">
        <f t="shared" si="112"/>
        <v>145.99944779480307</v>
      </c>
      <c r="AA82" s="10">
        <f t="shared" si="112"/>
        <v>124.09953062558262</v>
      </c>
      <c r="AB82" s="10">
        <f t="shared" si="112"/>
        <v>105.48460103174523</v>
      </c>
    </row>
    <row r="83" spans="1:28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</row>
    <row r="84" spans="1:28">
      <c r="A84" s="37" t="s">
        <v>220</v>
      </c>
      <c r="B84" s="50"/>
      <c r="C84" s="10"/>
      <c r="D84" s="440">
        <v>299.76600000000002</v>
      </c>
      <c r="E84" s="10"/>
      <c r="F84" s="440">
        <f>SUMIF('FGD Phasing'!$E$21:$AC$21,Phasing!F76,'FGD Phasing'!$E$37:$AC$37)</f>
        <v>0</v>
      </c>
      <c r="G84" s="440">
        <f ca="1">SUMIF('FGD Phasing'!$E$21:$AC$21,Phasing!G76,'FGD Phasing'!$E$37:$AC$37)</f>
        <v>84.48388099586559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</row>
    <row r="86" spans="1:28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</row>
    <row r="87" spans="1:28">
      <c r="A87" s="14" t="s">
        <v>31</v>
      </c>
      <c r="B87" s="4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</row>
    <row r="89" spans="1:28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</row>
    <row r="90" spans="1:28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</row>
    <row r="91" spans="1:28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</row>
    <row r="92" spans="1:28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</row>
    <row r="93" spans="1:28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</row>
    <row r="94" spans="1:28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</row>
    <row r="95" spans="1:28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</row>
    <row r="96" spans="1:28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</row>
    <row r="97" spans="1:28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</row>
    <row r="98" spans="1:28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</row>
    <row r="99" spans="1:28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spans="1:28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</row>
    <row r="101" spans="1:28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</row>
    <row r="102" spans="1:28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spans="1:28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spans="1:28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</row>
    <row r="105" spans="1:28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spans="1:28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spans="1:28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</row>
    <row r="108" spans="1:28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</row>
    <row r="109" spans="1:28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</row>
    <row r="110" spans="1:28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</row>
    <row r="111" spans="1:28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</row>
    <row r="112" spans="1:28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</row>
    <row r="113" spans="1:28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</row>
    <row r="114" spans="1:28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</row>
    <row r="115" spans="1:28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</row>
    <row r="116" spans="1:28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</row>
    <row r="117" spans="1:28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</row>
    <row r="118" spans="1:28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</row>
    <row r="119" spans="1:28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</row>
    <row r="120" spans="1:28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</row>
    <row r="121" spans="1:28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</row>
    <row r="122" spans="1:28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</row>
    <row r="123" spans="1:28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</row>
    <row r="124" spans="1:28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</row>
    <row r="125" spans="1:28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</row>
    <row r="126" spans="1:28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</row>
    <row r="127" spans="1:28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</row>
    <row r="128" spans="1:28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</row>
    <row r="129" spans="1:28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</row>
    <row r="130" spans="1:28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</row>
    <row r="131" spans="1:28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</row>
    <row r="132" spans="1:28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</row>
    <row r="133" spans="1:28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</row>
    <row r="134" spans="1:28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</row>
    <row r="135" spans="1:28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</row>
    <row r="136" spans="1:28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</row>
    <row r="137" spans="1:28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</row>
    <row r="138" spans="1:28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</row>
    <row r="139" spans="1:28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</row>
    <row r="140" spans="1:28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</row>
    <row r="141" spans="1:28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</row>
    <row r="142" spans="1:28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</row>
    <row r="143" spans="1:28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</row>
    <row r="144" spans="1:28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</row>
    <row r="145" spans="1:28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</row>
    <row r="146" spans="1:28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</row>
    <row r="147" spans="1:28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</row>
    <row r="148" spans="1:28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</row>
    <row r="149" spans="1:28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</row>
    <row r="150" spans="1:28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</row>
    <row r="151" spans="1:28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</row>
    <row r="152" spans="1:28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</row>
    <row r="153" spans="1:28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</row>
    <row r="154" spans="1:28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</row>
    <row r="155" spans="1:28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</row>
    <row r="156" spans="1:28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</row>
    <row r="157" spans="1:28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</row>
    <row r="158" spans="1:28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</row>
    <row r="159" spans="1:28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</row>
    <row r="160" spans="1:28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</row>
    <row r="161" spans="1:28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</row>
    <row r="162" spans="1:28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</row>
    <row r="163" spans="1:28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</row>
    <row r="164" spans="1:28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</row>
    <row r="165" spans="1:28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</row>
  </sheetData>
  <mergeCells count="4">
    <mergeCell ref="A61:A63"/>
    <mergeCell ref="A5:A7"/>
    <mergeCell ref="C5:C7"/>
    <mergeCell ref="A74:A76"/>
  </mergeCells>
  <pageMargins left="0.7" right="0.7" top="0.75" bottom="0.75" header="0.3" footer="0.3"/>
  <pageSetup paperSize="9" orientation="portrait" r:id="rId1"/>
  <ignoredErrors>
    <ignoredError sqref="Q43 D82" formula="1"/>
    <ignoredError sqref="Q8:Q18 Q20:Q2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8"/>
  <sheetViews>
    <sheetView zoomScaleNormal="100" workbookViewId="0">
      <selection activeCell="K21" sqref="K21"/>
    </sheetView>
  </sheetViews>
  <sheetFormatPr defaultColWidth="10" defaultRowHeight="15"/>
  <cols>
    <col min="1" max="1" width="10" style="151"/>
    <col min="2" max="2" width="11.7109375" style="153" customWidth="1"/>
    <col min="3" max="3" width="11.5703125" style="152" customWidth="1"/>
    <col min="4" max="4" width="12.85546875" style="152" customWidth="1"/>
    <col min="5" max="5" width="11.5703125" style="152" bestFit="1" customWidth="1"/>
    <col min="6" max="6" width="10.42578125" style="152" customWidth="1"/>
    <col min="7" max="7" width="12" style="152" customWidth="1"/>
    <col min="8" max="8" width="10.5703125" style="152" customWidth="1"/>
    <col min="9" max="9" width="11" style="152" customWidth="1"/>
    <col min="10" max="10" width="11.7109375" style="151" customWidth="1"/>
    <col min="11" max="11" width="10.7109375" style="151" bestFit="1" customWidth="1"/>
    <col min="12" max="12" width="12.28515625" style="151" customWidth="1"/>
    <col min="13" max="13" width="8.7109375" style="151" customWidth="1"/>
    <col min="14" max="14" width="9.85546875" style="151" bestFit="1" customWidth="1"/>
    <col min="15" max="16384" width="10" style="151"/>
  </cols>
  <sheetData>
    <row r="1" spans="1:19" ht="18.75">
      <c r="A1" s="21" t="s">
        <v>29</v>
      </c>
      <c r="B1" s="4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15.75">
      <c r="A2" s="22" t="s">
        <v>251</v>
      </c>
      <c r="B2" s="4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s="157" customFormat="1" ht="15.75">
      <c r="A3" s="154"/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19" s="157" customFormat="1" ht="19.5" thickBot="1">
      <c r="A4" s="134" t="s">
        <v>252</v>
      </c>
      <c r="B4" s="158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</row>
    <row r="5" spans="1:19" s="162" customFormat="1" ht="13.5" thickTop="1">
      <c r="A5" s="651" t="s">
        <v>253</v>
      </c>
      <c r="B5" s="651"/>
      <c r="C5" s="166" t="s">
        <v>248</v>
      </c>
      <c r="D5" s="166" t="s">
        <v>254</v>
      </c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</row>
    <row r="6" spans="1:19" s="165" customFormat="1" ht="12.75">
      <c r="A6" s="166" t="s">
        <v>255</v>
      </c>
      <c r="B6" s="166" t="s">
        <v>256</v>
      </c>
      <c r="C6" s="167"/>
      <c r="D6" s="167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</row>
    <row r="7" spans="1:19" s="165" customFormat="1" ht="12.75">
      <c r="A7" s="168">
        <v>41000</v>
      </c>
      <c r="B7" s="169">
        <v>41182</v>
      </c>
      <c r="C7" s="170">
        <v>0.13100000000000001</v>
      </c>
      <c r="D7" s="170">
        <v>0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</row>
    <row r="8" spans="1:19" s="165" customFormat="1" ht="12.75">
      <c r="A8" s="168">
        <f>B7+1</f>
        <v>41183</v>
      </c>
      <c r="B8" s="169">
        <f>EOMONTH(A8,5)</f>
        <v>41364</v>
      </c>
      <c r="C8" s="170">
        <v>3.9800000000000002E-2</v>
      </c>
      <c r="D8" s="170">
        <v>0.25640000000000002</v>
      </c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</row>
    <row r="9" spans="1:19" s="165" customFormat="1" ht="12.75">
      <c r="A9" s="168">
        <f t="shared" ref="A9:A21" si="0">B8+1</f>
        <v>41365</v>
      </c>
      <c r="B9" s="169">
        <f t="shared" ref="B9:B19" si="1">EOMONTH(A9,5)</f>
        <v>41547</v>
      </c>
      <c r="C9" s="170">
        <v>8.3099999999999993E-2</v>
      </c>
      <c r="D9" s="170">
        <v>0.12839999999999999</v>
      </c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</row>
    <row r="10" spans="1:19" s="165" customFormat="1" ht="12.75">
      <c r="A10" s="168">
        <f t="shared" si="0"/>
        <v>41548</v>
      </c>
      <c r="B10" s="169">
        <f t="shared" si="1"/>
        <v>41729</v>
      </c>
      <c r="C10" s="170">
        <v>1.8200000000000001E-2</v>
      </c>
      <c r="D10" s="170">
        <v>5.79E-2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</row>
    <row r="11" spans="1:19" s="165" customFormat="1" ht="12.75">
      <c r="A11" s="168">
        <f t="shared" si="0"/>
        <v>41730</v>
      </c>
      <c r="B11" s="169">
        <f t="shared" si="1"/>
        <v>41912</v>
      </c>
      <c r="C11" s="170">
        <v>9.7699999999999995E-2</v>
      </c>
      <c r="D11" s="170">
        <v>7.1800000000000003E-2</v>
      </c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</row>
    <row r="12" spans="1:19" s="165" customFormat="1" ht="12.75">
      <c r="A12" s="168">
        <f t="shared" si="0"/>
        <v>41913</v>
      </c>
      <c r="B12" s="169">
        <f t="shared" si="1"/>
        <v>42094</v>
      </c>
      <c r="C12" s="170">
        <v>8.2699999999999996E-2</v>
      </c>
      <c r="D12" s="170">
        <v>3.2000000000000001E-2</v>
      </c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</row>
    <row r="13" spans="1:19" s="165" customFormat="1" ht="12.75">
      <c r="A13" s="168">
        <f t="shared" si="0"/>
        <v>42095</v>
      </c>
      <c r="B13" s="169">
        <f t="shared" si="1"/>
        <v>42277</v>
      </c>
      <c r="C13" s="170">
        <v>0</v>
      </c>
      <c r="D13" s="170">
        <v>0.378</v>
      </c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</row>
    <row r="14" spans="1:19" s="165" customFormat="1" ht="12.75">
      <c r="A14" s="168">
        <f t="shared" si="0"/>
        <v>42278</v>
      </c>
      <c r="B14" s="169">
        <f t="shared" si="1"/>
        <v>42460</v>
      </c>
      <c r="C14" s="170">
        <v>0</v>
      </c>
      <c r="D14" s="170">
        <v>6.3100000000000003E-2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</row>
    <row r="15" spans="1:19" s="165" customFormat="1" ht="12.75">
      <c r="A15" s="168">
        <f t="shared" si="0"/>
        <v>42461</v>
      </c>
      <c r="B15" s="169">
        <f t="shared" si="1"/>
        <v>42643</v>
      </c>
      <c r="C15" s="170">
        <v>0</v>
      </c>
      <c r="D15" s="170">
        <v>6.1199999999999997E-2</v>
      </c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</row>
    <row r="16" spans="1:19" s="165" customFormat="1" ht="12.75">
      <c r="A16" s="168">
        <f t="shared" si="0"/>
        <v>42644</v>
      </c>
      <c r="B16" s="169">
        <f t="shared" si="1"/>
        <v>42825</v>
      </c>
      <c r="C16" s="170">
        <v>2.7900000000000001E-2</v>
      </c>
      <c r="D16" s="170">
        <v>0</v>
      </c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</row>
    <row r="17" spans="1:19" s="165" customFormat="1" ht="12.75">
      <c r="A17" s="168">
        <f t="shared" si="0"/>
        <v>42826</v>
      </c>
      <c r="B17" s="169">
        <f t="shared" si="1"/>
        <v>43008</v>
      </c>
      <c r="C17" s="170">
        <v>0.13780000000000001</v>
      </c>
      <c r="D17" s="170">
        <v>0</v>
      </c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</row>
    <row r="18" spans="1:19" s="165" customFormat="1" ht="12.75">
      <c r="A18" s="168">
        <f t="shared" si="0"/>
        <v>43009</v>
      </c>
      <c r="B18" s="169">
        <f t="shared" si="1"/>
        <v>43190</v>
      </c>
      <c r="C18" s="170">
        <v>0</v>
      </c>
      <c r="D18" s="170">
        <v>0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</row>
    <row r="19" spans="1:19" s="165" customFormat="1" ht="12.75">
      <c r="A19" s="168">
        <f t="shared" si="0"/>
        <v>43191</v>
      </c>
      <c r="B19" s="169">
        <f t="shared" si="1"/>
        <v>43373</v>
      </c>
      <c r="C19" s="170">
        <v>0</v>
      </c>
      <c r="D19" s="170">
        <v>0.81859999999999999</v>
      </c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</row>
    <row r="20" spans="1:19" s="165" customFormat="1" ht="12.75">
      <c r="A20" s="168">
        <f t="shared" si="0"/>
        <v>43374</v>
      </c>
      <c r="B20" s="169">
        <v>43555</v>
      </c>
      <c r="C20" s="170">
        <v>0.21659999999999999</v>
      </c>
      <c r="D20" s="170">
        <v>0.44109999999999999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</row>
    <row r="21" spans="1:19" s="165" customFormat="1" ht="12.75">
      <c r="A21" s="168">
        <f t="shared" si="0"/>
        <v>43556</v>
      </c>
      <c r="B21" s="460">
        <v>43738</v>
      </c>
      <c r="C21" s="170">
        <v>8.8000000000000005E-3</v>
      </c>
      <c r="D21" s="170">
        <v>8.5199999999999998E-2</v>
      </c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</row>
    <row r="22" spans="1:19" s="165" customFormat="1" ht="12.75">
      <c r="A22" s="212"/>
      <c r="B22" s="650" t="s">
        <v>33</v>
      </c>
      <c r="C22" s="650"/>
      <c r="D22" s="650"/>
      <c r="E22" s="650"/>
      <c r="F22" s="650"/>
      <c r="G22" s="650" t="s">
        <v>34</v>
      </c>
      <c r="H22" s="650"/>
      <c r="I22" s="650"/>
      <c r="J22" s="650"/>
      <c r="K22" s="650"/>
      <c r="L22" s="160"/>
      <c r="M22" s="160"/>
      <c r="N22" s="160"/>
      <c r="O22" s="160"/>
      <c r="P22" s="160"/>
      <c r="Q22" s="160"/>
      <c r="R22" s="160"/>
      <c r="S22" s="160"/>
    </row>
    <row r="23" spans="1:19" s="165" customFormat="1" ht="12.75">
      <c r="A23" s="212" t="s">
        <v>249</v>
      </c>
      <c r="B23" s="213" t="s">
        <v>250</v>
      </c>
      <c r="C23" s="214" t="s">
        <v>258</v>
      </c>
      <c r="D23" s="214" t="s">
        <v>259</v>
      </c>
      <c r="E23" s="214" t="s">
        <v>260</v>
      </c>
      <c r="F23" s="214" t="s">
        <v>261</v>
      </c>
      <c r="G23" s="213" t="s">
        <v>250</v>
      </c>
      <c r="H23" s="214" t="s">
        <v>258</v>
      </c>
      <c r="I23" s="214" t="s">
        <v>259</v>
      </c>
      <c r="J23" s="214" t="s">
        <v>260</v>
      </c>
      <c r="K23" s="214" t="s">
        <v>261</v>
      </c>
      <c r="L23" s="160"/>
      <c r="M23" s="160"/>
      <c r="N23" s="160"/>
      <c r="O23" s="160"/>
      <c r="P23" s="160"/>
      <c r="Q23" s="160"/>
      <c r="R23" s="160"/>
      <c r="S23" s="160"/>
    </row>
    <row r="24" spans="1:19" s="165" customFormat="1" ht="12.75">
      <c r="A24" s="215"/>
      <c r="B24" s="216"/>
      <c r="C24" s="217"/>
      <c r="D24" s="216"/>
      <c r="E24" s="217"/>
      <c r="F24" s="216"/>
      <c r="G24" s="216"/>
      <c r="H24" s="217">
        <f>C7</f>
        <v>0.13100000000000001</v>
      </c>
      <c r="I24" s="216">
        <v>0.245</v>
      </c>
      <c r="J24" s="217">
        <f>D7</f>
        <v>0</v>
      </c>
      <c r="K24" s="218">
        <v>0.159</v>
      </c>
      <c r="R24" s="160"/>
      <c r="S24" s="160"/>
    </row>
    <row r="25" spans="1:19" s="165" customFormat="1" ht="12.75">
      <c r="A25" s="215">
        <v>41171</v>
      </c>
      <c r="B25" s="216"/>
      <c r="C25" s="217"/>
      <c r="D25" s="216"/>
      <c r="E25" s="217"/>
      <c r="F25" s="216"/>
      <c r="G25" s="216"/>
      <c r="H25" s="216">
        <v>100</v>
      </c>
      <c r="I25" s="216"/>
      <c r="J25" s="216">
        <v>100</v>
      </c>
      <c r="K25" s="218"/>
      <c r="R25" s="160"/>
      <c r="S25" s="160"/>
    </row>
    <row r="26" spans="1:19" s="165" customFormat="1" ht="12.75">
      <c r="A26" s="215">
        <v>41182</v>
      </c>
      <c r="B26" s="216"/>
      <c r="C26" s="217"/>
      <c r="D26" s="216"/>
      <c r="E26" s="217"/>
      <c r="F26" s="216"/>
      <c r="G26" s="219">
        <f>(11/30)</f>
        <v>0.36666666666666664</v>
      </c>
      <c r="H26" s="216">
        <f>ROUND(H25*(1+(G26*$H$24/12)),4)</f>
        <v>100.4003</v>
      </c>
      <c r="I26" s="220">
        <f>H25*$I$24/100</f>
        <v>0.245</v>
      </c>
      <c r="J26" s="216">
        <f>ROUND(J25*(1+(G26*$J$24/12)),4)</f>
        <v>100</v>
      </c>
      <c r="K26" s="220">
        <f>J25*$K$24/100</f>
        <v>0.159</v>
      </c>
      <c r="R26" s="160"/>
      <c r="S26" s="160"/>
    </row>
    <row r="27" spans="1:19" s="165" customFormat="1" ht="12.75">
      <c r="A27" s="215"/>
      <c r="B27" s="216"/>
      <c r="C27" s="217"/>
      <c r="D27" s="216"/>
      <c r="E27" s="217"/>
      <c r="F27" s="216"/>
      <c r="G27" s="216"/>
      <c r="H27" s="217">
        <f>C8</f>
        <v>3.9800000000000002E-2</v>
      </c>
      <c r="I27" s="216"/>
      <c r="J27" s="217">
        <f>D8</f>
        <v>0.25640000000000002</v>
      </c>
      <c r="K27" s="218"/>
      <c r="R27" s="160"/>
      <c r="S27" s="160"/>
    </row>
    <row r="28" spans="1:19" s="165" customFormat="1" ht="12.75">
      <c r="A28" s="215">
        <v>41213</v>
      </c>
      <c r="B28" s="216"/>
      <c r="C28" s="217"/>
      <c r="D28" s="216"/>
      <c r="E28" s="217"/>
      <c r="F28" s="216"/>
      <c r="G28" s="218">
        <v>1</v>
      </c>
      <c r="H28" s="216">
        <f t="shared" ref="H28:H33" si="2">ROUND($H$26*(1+(G28*$H$27/12)),4)</f>
        <v>100.7333</v>
      </c>
      <c r="I28" s="220">
        <f>H26*$I$24/100</f>
        <v>0.24598073499999998</v>
      </c>
      <c r="J28" s="216">
        <f t="shared" ref="J28:J33" si="3">ROUND($J$26*(1+(G28*$J$27/12)),4)</f>
        <v>102.1367</v>
      </c>
      <c r="K28" s="220">
        <f>J26*$K$24/100</f>
        <v>0.159</v>
      </c>
      <c r="R28" s="160"/>
      <c r="S28" s="160"/>
    </row>
    <row r="29" spans="1:19" s="165" customFormat="1" ht="12.75">
      <c r="A29" s="215">
        <v>41243</v>
      </c>
      <c r="B29" s="216"/>
      <c r="C29" s="217"/>
      <c r="D29" s="216"/>
      <c r="E29" s="217"/>
      <c r="F29" s="216"/>
      <c r="G29" s="218">
        <v>2</v>
      </c>
      <c r="H29" s="216">
        <f t="shared" si="2"/>
        <v>101.0663</v>
      </c>
      <c r="I29" s="220">
        <f>H28*$I$24/100</f>
        <v>0.24679658499999998</v>
      </c>
      <c r="J29" s="216">
        <f t="shared" si="3"/>
        <v>104.27330000000001</v>
      </c>
      <c r="K29" s="220">
        <f>J28*$K$24/100</f>
        <v>0.16239735299999999</v>
      </c>
      <c r="R29" s="160"/>
      <c r="S29" s="160"/>
    </row>
    <row r="30" spans="1:19" s="165" customFormat="1" ht="12.75">
      <c r="A30" s="215">
        <v>41274</v>
      </c>
      <c r="B30" s="216"/>
      <c r="C30" s="217"/>
      <c r="D30" s="216"/>
      <c r="E30" s="217"/>
      <c r="F30" s="216"/>
      <c r="G30" s="218">
        <v>3</v>
      </c>
      <c r="H30" s="216">
        <f t="shared" si="2"/>
        <v>101.3993</v>
      </c>
      <c r="I30" s="220">
        <f>H29*$I$24/100</f>
        <v>0.24761243499999999</v>
      </c>
      <c r="J30" s="216">
        <f t="shared" si="3"/>
        <v>106.41</v>
      </c>
      <c r="K30" s="220">
        <f>J29*$K$24/100</f>
        <v>0.16579454700000004</v>
      </c>
      <c r="R30" s="160"/>
      <c r="S30" s="160"/>
    </row>
    <row r="31" spans="1:19" s="165" customFormat="1" ht="12.75">
      <c r="A31" s="215">
        <v>41305</v>
      </c>
      <c r="B31" s="216"/>
      <c r="C31" s="217">
        <f>H27</f>
        <v>3.9800000000000002E-2</v>
      </c>
      <c r="D31" s="216">
        <v>0.86599999999999999</v>
      </c>
      <c r="E31" s="217">
        <f>D8</f>
        <v>0.25640000000000002</v>
      </c>
      <c r="F31" s="216">
        <v>0.38800000000000001</v>
      </c>
      <c r="G31" s="218">
        <v>4</v>
      </c>
      <c r="H31" s="216">
        <f t="shared" si="2"/>
        <v>101.7323</v>
      </c>
      <c r="I31" s="220">
        <f>H30*$I$24/100</f>
        <v>0.248428285</v>
      </c>
      <c r="J31" s="216">
        <f t="shared" si="3"/>
        <v>108.5467</v>
      </c>
      <c r="K31" s="220">
        <f>J30*$K$24/100</f>
        <v>0.16919190000000001</v>
      </c>
      <c r="R31" s="160"/>
      <c r="S31" s="160"/>
    </row>
    <row r="32" spans="1:19" s="165" customFormat="1" ht="12.75">
      <c r="A32" s="221">
        <v>41339</v>
      </c>
      <c r="B32" s="218"/>
      <c r="C32" s="218">
        <v>100</v>
      </c>
      <c r="D32" s="222"/>
      <c r="E32" s="218">
        <v>100</v>
      </c>
      <c r="F32" s="222"/>
      <c r="G32" s="223">
        <v>5</v>
      </c>
      <c r="H32" s="216">
        <f t="shared" si="2"/>
        <v>102.06529999999999</v>
      </c>
      <c r="I32" s="220">
        <f>H31*$I$24/100</f>
        <v>0.24924413500000001</v>
      </c>
      <c r="J32" s="216">
        <f t="shared" si="3"/>
        <v>110.6833</v>
      </c>
      <c r="K32" s="220">
        <f>J31*$K$24/100</f>
        <v>0.17258925300000003</v>
      </c>
      <c r="R32" s="160"/>
      <c r="S32" s="160"/>
    </row>
    <row r="33" spans="1:19" s="165" customFormat="1" ht="12.75">
      <c r="A33" s="221">
        <v>41364</v>
      </c>
      <c r="B33" s="220">
        <f>25/31</f>
        <v>0.80645161290322576</v>
      </c>
      <c r="C33" s="218">
        <f>ROUND(C32*(1+(B33*$C$31/12)),4)</f>
        <v>100.2675</v>
      </c>
      <c r="D33" s="220">
        <f>C32*$D$31/100</f>
        <v>0.86599999999999999</v>
      </c>
      <c r="E33" s="220">
        <f>ROUND(E32*(1+(B33*E31/12)),4)</f>
        <v>101.7231</v>
      </c>
      <c r="F33" s="220">
        <f>E32*$F$31/100</f>
        <v>0.38800000000000007</v>
      </c>
      <c r="G33" s="223">
        <v>6</v>
      </c>
      <c r="H33" s="216">
        <f t="shared" si="2"/>
        <v>102.39830000000001</v>
      </c>
      <c r="I33" s="220">
        <f>H32*$I$24/100</f>
        <v>0.25005998499999998</v>
      </c>
      <c r="J33" s="216">
        <f t="shared" si="3"/>
        <v>112.82</v>
      </c>
      <c r="K33" s="220">
        <f>J32*$K$24/100</f>
        <v>0.17598644700000002</v>
      </c>
      <c r="R33" s="160"/>
      <c r="S33" s="160"/>
    </row>
    <row r="34" spans="1:19" s="165" customFormat="1" ht="12.75">
      <c r="A34" s="221"/>
      <c r="B34" s="224"/>
      <c r="C34" s="217">
        <f>C9</f>
        <v>8.3099999999999993E-2</v>
      </c>
      <c r="D34" s="222"/>
      <c r="E34" s="217">
        <f>D9</f>
        <v>0.12839999999999999</v>
      </c>
      <c r="F34" s="222"/>
      <c r="G34" s="225"/>
      <c r="H34" s="226">
        <f>C34</f>
        <v>8.3099999999999993E-2</v>
      </c>
      <c r="I34" s="226"/>
      <c r="J34" s="226">
        <f>E34</f>
        <v>0.12839999999999999</v>
      </c>
      <c r="K34" s="227"/>
      <c r="R34" s="160"/>
      <c r="S34" s="160"/>
    </row>
    <row r="35" spans="1:19" s="165" customFormat="1" ht="12.75">
      <c r="A35" s="221">
        <v>41394</v>
      </c>
      <c r="B35" s="218">
        <v>1</v>
      </c>
      <c r="C35" s="228">
        <f t="shared" ref="C35:C40" si="4">ROUND($C$33*(1+(B35*$C$34/12)),4)</f>
        <v>100.9619</v>
      </c>
      <c r="D35" s="220">
        <f>C33*$D$31/100</f>
        <v>0.86831654999999996</v>
      </c>
      <c r="E35" s="228">
        <f t="shared" ref="E35:E40" si="5">ROUND($E$33*(1+(B35*$E$34/12)),4)</f>
        <v>102.8115</v>
      </c>
      <c r="F35" s="220">
        <f>E33*$F$31/100</f>
        <v>0.39468562800000001</v>
      </c>
      <c r="G35" s="218">
        <v>1</v>
      </c>
      <c r="H35" s="228">
        <f t="shared" ref="H35:H40" si="6">ROUND($H$33*(1+(G35*$H$34/12)),4)</f>
        <v>103.1074</v>
      </c>
      <c r="I35" s="220">
        <f>H33*$I$24/100</f>
        <v>0.25087583499999999</v>
      </c>
      <c r="J35" s="228">
        <f t="shared" ref="J35:J40" si="7">ROUND($J$33*(1+(G35*$J$34/12)),4)</f>
        <v>114.02719999999999</v>
      </c>
      <c r="K35" s="220">
        <f>J33*$K$24/100</f>
        <v>0.17938379999999998</v>
      </c>
      <c r="R35" s="160"/>
      <c r="S35" s="160"/>
    </row>
    <row r="36" spans="1:19" s="165" customFormat="1" ht="12.75">
      <c r="A36" s="221">
        <v>41425</v>
      </c>
      <c r="B36" s="218">
        <v>2</v>
      </c>
      <c r="C36" s="228">
        <f t="shared" si="4"/>
        <v>101.6562</v>
      </c>
      <c r="D36" s="220">
        <f>C35*$D$31/100</f>
        <v>0.87433005399999997</v>
      </c>
      <c r="E36" s="228">
        <f t="shared" si="5"/>
        <v>103.9</v>
      </c>
      <c r="F36" s="220">
        <f>E35*$F$31/100</f>
        <v>0.39890861999999999</v>
      </c>
      <c r="G36" s="218">
        <v>2</v>
      </c>
      <c r="H36" s="228">
        <f t="shared" si="6"/>
        <v>103.8165</v>
      </c>
      <c r="I36" s="220">
        <f>H35*$I$24/100</f>
        <v>0.25261312999999996</v>
      </c>
      <c r="J36" s="228">
        <f t="shared" si="7"/>
        <v>115.2343</v>
      </c>
      <c r="K36" s="220">
        <f>J35*$K$24/100</f>
        <v>0.181303248</v>
      </c>
      <c r="R36" s="160"/>
      <c r="S36" s="160"/>
    </row>
    <row r="37" spans="1:19" s="165" customFormat="1" ht="12.75">
      <c r="A37" s="221">
        <v>41455</v>
      </c>
      <c r="B37" s="218">
        <v>3</v>
      </c>
      <c r="C37" s="228">
        <f t="shared" si="4"/>
        <v>102.3506</v>
      </c>
      <c r="D37" s="220">
        <f>C36*$D$31/100</f>
        <v>0.88034269199999993</v>
      </c>
      <c r="E37" s="228">
        <f t="shared" si="5"/>
        <v>104.9884</v>
      </c>
      <c r="F37" s="220">
        <f>E36*$F$31/100</f>
        <v>0.40313200000000005</v>
      </c>
      <c r="G37" s="218">
        <v>3</v>
      </c>
      <c r="H37" s="228">
        <f t="shared" si="6"/>
        <v>104.5256</v>
      </c>
      <c r="I37" s="220">
        <f>H36*$I$24/100</f>
        <v>0.25435042499999999</v>
      </c>
      <c r="J37" s="228">
        <f t="shared" si="7"/>
        <v>116.4415</v>
      </c>
      <c r="K37" s="220">
        <f>J36*$K$24/100</f>
        <v>0.18322253700000002</v>
      </c>
      <c r="R37" s="160"/>
      <c r="S37" s="160"/>
    </row>
    <row r="38" spans="1:19" s="165" customFormat="1" ht="12.75">
      <c r="A38" s="221">
        <v>41486</v>
      </c>
      <c r="B38" s="218">
        <v>4</v>
      </c>
      <c r="C38" s="228">
        <f t="shared" si="4"/>
        <v>103.0449</v>
      </c>
      <c r="D38" s="220">
        <f>C37*$D$31/100</f>
        <v>0.88635619599999993</v>
      </c>
      <c r="E38" s="228">
        <f t="shared" si="5"/>
        <v>106.07680000000001</v>
      </c>
      <c r="F38" s="220">
        <f>E37*$F$31/100</f>
        <v>0.40735499199999997</v>
      </c>
      <c r="G38" s="218">
        <v>4</v>
      </c>
      <c r="H38" s="228">
        <f t="shared" si="6"/>
        <v>105.2347</v>
      </c>
      <c r="I38" s="220">
        <f>H37*$I$24/100</f>
        <v>0.25608771999999996</v>
      </c>
      <c r="J38" s="228">
        <f t="shared" si="7"/>
        <v>117.64870000000001</v>
      </c>
      <c r="K38" s="220">
        <f>J37*$K$24/100</f>
        <v>0.18514198500000004</v>
      </c>
      <c r="R38" s="160"/>
      <c r="S38" s="160"/>
    </row>
    <row r="39" spans="1:19" s="165" customFormat="1" ht="12.75">
      <c r="A39" s="221">
        <v>41517</v>
      </c>
      <c r="B39" s="223">
        <v>5</v>
      </c>
      <c r="C39" s="228">
        <f t="shared" si="4"/>
        <v>103.7393</v>
      </c>
      <c r="D39" s="220">
        <f>C38*$D$31/100</f>
        <v>0.892368834</v>
      </c>
      <c r="E39" s="228">
        <f t="shared" si="5"/>
        <v>107.1653</v>
      </c>
      <c r="F39" s="220">
        <f>E38*$F$31/100</f>
        <v>0.41157798400000006</v>
      </c>
      <c r="G39" s="223">
        <v>5</v>
      </c>
      <c r="H39" s="228">
        <f t="shared" si="6"/>
        <v>105.9438</v>
      </c>
      <c r="I39" s="220">
        <f>H38*$I$24/100</f>
        <v>0.25782501500000005</v>
      </c>
      <c r="J39" s="228">
        <f t="shared" si="7"/>
        <v>118.85590000000001</v>
      </c>
      <c r="K39" s="220">
        <f>J38*$K$24/100</f>
        <v>0.187061433</v>
      </c>
      <c r="R39" s="160"/>
      <c r="S39" s="160"/>
    </row>
    <row r="40" spans="1:19" s="165" customFormat="1" ht="12.75">
      <c r="A40" s="221">
        <v>41547</v>
      </c>
      <c r="B40" s="223">
        <v>6</v>
      </c>
      <c r="C40" s="228">
        <f t="shared" si="4"/>
        <v>104.4336</v>
      </c>
      <c r="D40" s="220">
        <f>C39*$D$31/100</f>
        <v>0.898382338</v>
      </c>
      <c r="E40" s="228">
        <f t="shared" si="5"/>
        <v>108.25369999999999</v>
      </c>
      <c r="F40" s="220">
        <f>E39*$F$31/100</f>
        <v>0.41580136400000001</v>
      </c>
      <c r="G40" s="223">
        <v>6</v>
      </c>
      <c r="H40" s="228">
        <f t="shared" si="6"/>
        <v>106.6529</v>
      </c>
      <c r="I40" s="220">
        <f>H39*$I$24/100</f>
        <v>0.25956230999999996</v>
      </c>
      <c r="J40" s="228">
        <f t="shared" si="7"/>
        <v>120.063</v>
      </c>
      <c r="K40" s="220">
        <f>J39*$K$24/100</f>
        <v>0.18898088100000002</v>
      </c>
      <c r="R40" s="160"/>
      <c r="S40" s="160"/>
    </row>
    <row r="41" spans="1:19" s="165" customFormat="1" ht="12.75">
      <c r="A41" s="221"/>
      <c r="B41" s="223"/>
      <c r="C41" s="229">
        <f>C10</f>
        <v>1.8200000000000001E-2</v>
      </c>
      <c r="D41" s="220"/>
      <c r="E41" s="230">
        <f>D10</f>
        <v>5.79E-2</v>
      </c>
      <c r="F41" s="220"/>
      <c r="G41" s="223"/>
      <c r="H41" s="229">
        <f>C41</f>
        <v>1.8200000000000001E-2</v>
      </c>
      <c r="I41" s="220"/>
      <c r="J41" s="229">
        <f>E41</f>
        <v>5.79E-2</v>
      </c>
      <c r="K41" s="220"/>
      <c r="R41" s="160"/>
      <c r="S41" s="160"/>
    </row>
    <row r="42" spans="1:19" s="165" customFormat="1" ht="12.75">
      <c r="A42" s="221">
        <v>41578</v>
      </c>
      <c r="B42" s="218">
        <v>1</v>
      </c>
      <c r="C42" s="231">
        <f t="shared" ref="C42:C47" si="8">ROUND($C$40*(1+(B42*$C$41/12)),4)</f>
        <v>104.592</v>
      </c>
      <c r="D42" s="220">
        <f>C40*$D$31/100</f>
        <v>0.90439497599999996</v>
      </c>
      <c r="E42" s="231">
        <f t="shared" ref="E42:E47" si="9">ROUND($E$40*(1+(B42*$E$41/12)),4)</f>
        <v>108.776</v>
      </c>
      <c r="F42" s="220">
        <f>E40*$F$31/100</f>
        <v>0.42002435599999999</v>
      </c>
      <c r="G42" s="218">
        <v>1</v>
      </c>
      <c r="H42" s="231">
        <f t="shared" ref="H42:H47" si="10">ROUND($H$40*(1+(G42*$H$41/12)),4)</f>
        <v>106.8147</v>
      </c>
      <c r="I42" s="220">
        <f>H40*$I$24/100</f>
        <v>0.26129960499999999</v>
      </c>
      <c r="J42" s="231">
        <f t="shared" ref="J42:J47" si="11">ROUND($J$40*(1+(G42*$J$41/12)),4)</f>
        <v>120.64230000000001</v>
      </c>
      <c r="K42" s="220">
        <f>J40*$K$24/100</f>
        <v>0.19090017000000001</v>
      </c>
      <c r="R42" s="160"/>
      <c r="S42" s="160"/>
    </row>
    <row r="43" spans="1:19" s="165" customFormat="1" ht="12.75">
      <c r="A43" s="221">
        <v>41608</v>
      </c>
      <c r="B43" s="218">
        <v>2</v>
      </c>
      <c r="C43" s="231">
        <f t="shared" si="8"/>
        <v>104.7504</v>
      </c>
      <c r="D43" s="220">
        <f>C42*$D$31/100</f>
        <v>0.90576672000000003</v>
      </c>
      <c r="E43" s="231">
        <f t="shared" si="9"/>
        <v>109.2983</v>
      </c>
      <c r="F43" s="220">
        <f>E42*$F$31/100</f>
        <v>0.42205087999999996</v>
      </c>
      <c r="G43" s="218">
        <v>2</v>
      </c>
      <c r="H43" s="231">
        <f t="shared" si="10"/>
        <v>106.9764</v>
      </c>
      <c r="I43" s="220">
        <f>H42*$I$24/100</f>
        <v>0.261696015</v>
      </c>
      <c r="J43" s="231">
        <f t="shared" si="11"/>
        <v>121.2216</v>
      </c>
      <c r="K43" s="220">
        <f>J42*$K$24/100</f>
        <v>0.191821257</v>
      </c>
      <c r="R43" s="160"/>
      <c r="S43" s="160"/>
    </row>
    <row r="44" spans="1:19" s="165" customFormat="1" ht="12.75">
      <c r="A44" s="221">
        <v>41639</v>
      </c>
      <c r="B44" s="218">
        <v>3</v>
      </c>
      <c r="C44" s="231">
        <f t="shared" si="8"/>
        <v>104.9088</v>
      </c>
      <c r="D44" s="220">
        <f>C43*$D$31/100</f>
        <v>0.90713846399999998</v>
      </c>
      <c r="E44" s="231">
        <f t="shared" si="9"/>
        <v>109.8207</v>
      </c>
      <c r="F44" s="220">
        <f>E43*$F$31/100</f>
        <v>0.42407740399999999</v>
      </c>
      <c r="G44" s="218">
        <v>3</v>
      </c>
      <c r="H44" s="231">
        <f t="shared" si="10"/>
        <v>107.1382</v>
      </c>
      <c r="I44" s="220">
        <f>H43*$I$24/100</f>
        <v>0.26209218000000001</v>
      </c>
      <c r="J44" s="231">
        <f t="shared" si="11"/>
        <v>121.8009</v>
      </c>
      <c r="K44" s="220">
        <f>J43*$K$24/100</f>
        <v>0.19274234400000001</v>
      </c>
      <c r="R44" s="160"/>
      <c r="S44" s="160"/>
    </row>
    <row r="45" spans="1:19" s="165" customFormat="1" ht="12.75">
      <c r="A45" s="221">
        <v>41670</v>
      </c>
      <c r="B45" s="218">
        <v>4</v>
      </c>
      <c r="C45" s="231">
        <f t="shared" si="8"/>
        <v>105.0672</v>
      </c>
      <c r="D45" s="220">
        <f>C44*$D$31/100</f>
        <v>0.90851020800000004</v>
      </c>
      <c r="E45" s="231">
        <f t="shared" si="9"/>
        <v>110.343</v>
      </c>
      <c r="F45" s="220">
        <f>E44*$F$31/100</f>
        <v>0.42610431600000004</v>
      </c>
      <c r="G45" s="218">
        <v>4</v>
      </c>
      <c r="H45" s="231">
        <f t="shared" si="10"/>
        <v>107.29989999999999</v>
      </c>
      <c r="I45" s="220">
        <f>H44*$I$24/100</f>
        <v>0.26248859000000002</v>
      </c>
      <c r="J45" s="231">
        <f t="shared" si="11"/>
        <v>122.3802</v>
      </c>
      <c r="K45" s="220">
        <f>J44*$K$24/100</f>
        <v>0.19366343100000002</v>
      </c>
      <c r="R45" s="160"/>
      <c r="S45" s="160"/>
    </row>
    <row r="46" spans="1:19" s="165" customFormat="1" ht="12.75">
      <c r="A46" s="221">
        <v>41698</v>
      </c>
      <c r="B46" s="223">
        <v>5</v>
      </c>
      <c r="C46" s="231">
        <f t="shared" si="8"/>
        <v>105.2256</v>
      </c>
      <c r="D46" s="220">
        <f>C45*$D$31/100</f>
        <v>0.90988195199999988</v>
      </c>
      <c r="E46" s="231">
        <f t="shared" si="9"/>
        <v>110.8653</v>
      </c>
      <c r="F46" s="220">
        <f>E45*$F$31/100</f>
        <v>0.42813084000000001</v>
      </c>
      <c r="G46" s="223">
        <v>5</v>
      </c>
      <c r="H46" s="231">
        <f t="shared" si="10"/>
        <v>107.46169999999999</v>
      </c>
      <c r="I46" s="220">
        <f>H45*$I$24/100</f>
        <v>0.26288475499999997</v>
      </c>
      <c r="J46" s="231">
        <f t="shared" si="11"/>
        <v>122.95950000000001</v>
      </c>
      <c r="K46" s="220">
        <f>J45*$K$24/100</f>
        <v>0.19458451799999998</v>
      </c>
      <c r="R46" s="160"/>
      <c r="S46" s="160"/>
    </row>
    <row r="47" spans="1:19" s="165" customFormat="1" ht="12.75">
      <c r="A47" s="221">
        <v>41729</v>
      </c>
      <c r="B47" s="223">
        <v>6</v>
      </c>
      <c r="C47" s="231">
        <f t="shared" si="8"/>
        <v>105.3839</v>
      </c>
      <c r="D47" s="220">
        <f>C46*$D$31/100</f>
        <v>0.91125369599999995</v>
      </c>
      <c r="E47" s="231">
        <f t="shared" si="9"/>
        <v>111.38760000000001</v>
      </c>
      <c r="F47" s="220">
        <f>E46*$F$31/100</f>
        <v>0.43015736400000004</v>
      </c>
      <c r="G47" s="223">
        <v>6</v>
      </c>
      <c r="H47" s="231">
        <f t="shared" si="10"/>
        <v>107.6234</v>
      </c>
      <c r="I47" s="220">
        <f>H46*$I$24/100</f>
        <v>0.26328116499999998</v>
      </c>
      <c r="J47" s="231">
        <f t="shared" si="11"/>
        <v>123.53879999999999</v>
      </c>
      <c r="K47" s="220">
        <f>J46*$K$24/100</f>
        <v>0.195505605</v>
      </c>
      <c r="R47" s="160"/>
      <c r="S47" s="160"/>
    </row>
    <row r="48" spans="1:19" s="165" customFormat="1" ht="12.75">
      <c r="A48" s="221"/>
      <c r="B48" s="223"/>
      <c r="C48" s="229">
        <f>C11</f>
        <v>9.7699999999999995E-2</v>
      </c>
      <c r="D48" s="220"/>
      <c r="E48" s="229">
        <f>D11</f>
        <v>7.1800000000000003E-2</v>
      </c>
      <c r="F48" s="220"/>
      <c r="G48" s="223"/>
      <c r="H48" s="229">
        <f>C48</f>
        <v>9.7699999999999995E-2</v>
      </c>
      <c r="I48" s="220"/>
      <c r="J48" s="229">
        <f>E48</f>
        <v>7.1800000000000003E-2</v>
      </c>
      <c r="K48" s="220"/>
      <c r="R48" s="160"/>
      <c r="S48" s="160"/>
    </row>
    <row r="49" spans="1:19" s="165" customFormat="1" ht="12.75">
      <c r="A49" s="221">
        <v>41759</v>
      </c>
      <c r="B49" s="218">
        <v>1</v>
      </c>
      <c r="C49" s="228">
        <f t="shared" ref="C49:C54" si="12">ROUND($C$47*(1+(B49*$C$48/12)),4)</f>
        <v>106.2419</v>
      </c>
      <c r="D49" s="220">
        <f>C47*$D$31/100</f>
        <v>0.91262457400000008</v>
      </c>
      <c r="E49" s="231">
        <f t="shared" ref="E49:E54" si="13">ROUND($E$47*(1+(B49*$E$48/12)),4)</f>
        <v>112.05410000000001</v>
      </c>
      <c r="F49" s="220">
        <f>E47*$F$31/100</f>
        <v>0.43218388800000007</v>
      </c>
      <c r="G49" s="218">
        <v>1</v>
      </c>
      <c r="H49" s="228">
        <f t="shared" ref="H49:H54" si="14">ROUND($H$47*(1+(G49*$H$48/12)),4)</f>
        <v>108.4996</v>
      </c>
      <c r="I49" s="220">
        <f>H47*$I$24/100</f>
        <v>0.26367732999999999</v>
      </c>
      <c r="J49" s="231">
        <f t="shared" ref="J49:J54" si="15">ROUND($J$47*(1+(G49*$J$48/12)),4)</f>
        <v>124.27800000000001</v>
      </c>
      <c r="K49" s="220">
        <f>J47*$K$24/100</f>
        <v>0.19642669200000001</v>
      </c>
      <c r="R49" s="160"/>
      <c r="S49" s="160"/>
    </row>
    <row r="50" spans="1:19" s="165" customFormat="1" ht="12.75">
      <c r="A50" s="221">
        <v>41790</v>
      </c>
      <c r="B50" s="218">
        <v>2</v>
      </c>
      <c r="C50" s="228">
        <f t="shared" si="12"/>
        <v>107.09990000000001</v>
      </c>
      <c r="D50" s="220">
        <f>C49*$D$31/100</f>
        <v>0.92005485399999998</v>
      </c>
      <c r="E50" s="231">
        <f t="shared" si="13"/>
        <v>112.7205</v>
      </c>
      <c r="F50" s="220">
        <f>E49*$F$31/100</f>
        <v>0.43476990800000004</v>
      </c>
      <c r="G50" s="218">
        <v>2</v>
      </c>
      <c r="H50" s="228">
        <f t="shared" si="14"/>
        <v>109.3759</v>
      </c>
      <c r="I50" s="220">
        <f>H49*$I$24/100</f>
        <v>0.26582401999999999</v>
      </c>
      <c r="J50" s="231">
        <f t="shared" si="15"/>
        <v>125.0171</v>
      </c>
      <c r="K50" s="220">
        <f>J49*$K$24/100</f>
        <v>0.19760201999999999</v>
      </c>
      <c r="R50" s="160"/>
      <c r="S50" s="160"/>
    </row>
    <row r="51" spans="1:19" s="165" customFormat="1" ht="12.75">
      <c r="A51" s="221">
        <v>41820</v>
      </c>
      <c r="B51" s="218">
        <v>3</v>
      </c>
      <c r="C51" s="228">
        <f t="shared" si="12"/>
        <v>107.9579</v>
      </c>
      <c r="D51" s="220">
        <f>C50*$D$31/100</f>
        <v>0.9274851340000001</v>
      </c>
      <c r="E51" s="231">
        <f t="shared" si="13"/>
        <v>113.387</v>
      </c>
      <c r="F51" s="220">
        <f>E50*$F$31/100</f>
        <v>0.43735553999999999</v>
      </c>
      <c r="G51" s="218">
        <v>3</v>
      </c>
      <c r="H51" s="228">
        <f t="shared" si="14"/>
        <v>110.2521</v>
      </c>
      <c r="I51" s="220">
        <f>H50*$I$24/100</f>
        <v>0.26797095500000001</v>
      </c>
      <c r="J51" s="231">
        <f t="shared" si="15"/>
        <v>125.7563</v>
      </c>
      <c r="K51" s="220">
        <f>J50*$K$24/100</f>
        <v>0.19877718900000002</v>
      </c>
      <c r="R51" s="160"/>
      <c r="S51" s="160"/>
    </row>
    <row r="52" spans="1:19" s="165" customFormat="1" ht="12.75">
      <c r="A52" s="221">
        <v>41851</v>
      </c>
      <c r="B52" s="218">
        <v>4</v>
      </c>
      <c r="C52" s="228">
        <f t="shared" si="12"/>
        <v>108.8159</v>
      </c>
      <c r="D52" s="220">
        <f>C51*$D$31/100</f>
        <v>0.93491541399999989</v>
      </c>
      <c r="E52" s="231">
        <f t="shared" si="13"/>
        <v>114.0535</v>
      </c>
      <c r="F52" s="220">
        <f>E51*$F$31/100</f>
        <v>0.43994156000000006</v>
      </c>
      <c r="G52" s="218">
        <v>4</v>
      </c>
      <c r="H52" s="228">
        <f t="shared" si="14"/>
        <v>111.1283</v>
      </c>
      <c r="I52" s="220">
        <f>H51*$I$24/100</f>
        <v>0.27011764499999996</v>
      </c>
      <c r="J52" s="231">
        <f t="shared" si="15"/>
        <v>126.49550000000001</v>
      </c>
      <c r="K52" s="220">
        <f>J51*$K$24/100</f>
        <v>0.199952517</v>
      </c>
      <c r="R52" s="160"/>
      <c r="S52" s="160"/>
    </row>
    <row r="53" spans="1:19" s="165" customFormat="1" ht="12.75">
      <c r="A53" s="221">
        <v>41882</v>
      </c>
      <c r="B53" s="223">
        <v>5</v>
      </c>
      <c r="C53" s="228">
        <f t="shared" si="12"/>
        <v>109.6739</v>
      </c>
      <c r="D53" s="220">
        <f>C52*$D$31/100</f>
        <v>0.94234569400000001</v>
      </c>
      <c r="E53" s="231">
        <f t="shared" si="13"/>
        <v>114.7199</v>
      </c>
      <c r="F53" s="220">
        <f>E52*$F$31/100</f>
        <v>0.44252757999999998</v>
      </c>
      <c r="G53" s="223">
        <v>5</v>
      </c>
      <c r="H53" s="228">
        <f t="shared" si="14"/>
        <v>112.0046</v>
      </c>
      <c r="I53" s="220">
        <f>H52*$I$24/100</f>
        <v>0.27226433499999997</v>
      </c>
      <c r="J53" s="231">
        <f t="shared" si="15"/>
        <v>127.2347</v>
      </c>
      <c r="K53" s="220">
        <f>J52*$K$24/100</f>
        <v>0.201127845</v>
      </c>
      <c r="R53" s="160"/>
      <c r="S53" s="160"/>
    </row>
    <row r="54" spans="1:19" s="165" customFormat="1" ht="12.75">
      <c r="A54" s="221">
        <v>41912</v>
      </c>
      <c r="B54" s="223">
        <v>6</v>
      </c>
      <c r="C54" s="228">
        <f t="shared" si="12"/>
        <v>110.53189999999999</v>
      </c>
      <c r="D54" s="220">
        <f>C53*$D$31/100</f>
        <v>0.94977597400000002</v>
      </c>
      <c r="E54" s="231">
        <f t="shared" si="13"/>
        <v>115.38639999999999</v>
      </c>
      <c r="F54" s="220">
        <f>E53*$F$31/100</f>
        <v>0.44511321199999998</v>
      </c>
      <c r="G54" s="223">
        <v>6</v>
      </c>
      <c r="H54" s="228">
        <f t="shared" si="14"/>
        <v>112.88079999999999</v>
      </c>
      <c r="I54" s="220">
        <f>H53*$I$24/100</f>
        <v>0.27441126999999998</v>
      </c>
      <c r="J54" s="231">
        <f t="shared" si="15"/>
        <v>127.9738</v>
      </c>
      <c r="K54" s="220">
        <f>J53*$K$24/100</f>
        <v>0.202303173</v>
      </c>
      <c r="R54" s="160"/>
      <c r="S54" s="160"/>
    </row>
    <row r="55" spans="1:19" s="165" customFormat="1" ht="12.75">
      <c r="A55" s="221"/>
      <c r="B55" s="218"/>
      <c r="C55" s="229">
        <f>C12</f>
        <v>8.2699999999999996E-2</v>
      </c>
      <c r="D55" s="220"/>
      <c r="E55" s="229">
        <f>D12</f>
        <v>3.2000000000000001E-2</v>
      </c>
      <c r="F55" s="220"/>
      <c r="G55" s="218"/>
      <c r="H55" s="229">
        <f>C55</f>
        <v>8.2699999999999996E-2</v>
      </c>
      <c r="I55" s="220"/>
      <c r="J55" s="229">
        <f>E55</f>
        <v>3.2000000000000001E-2</v>
      </c>
      <c r="K55" s="220"/>
      <c r="R55" s="160"/>
      <c r="S55" s="160"/>
    </row>
    <row r="56" spans="1:19" s="165" customFormat="1" ht="12.75">
      <c r="A56" s="221">
        <v>41943</v>
      </c>
      <c r="B56" s="218">
        <v>1</v>
      </c>
      <c r="C56" s="228">
        <f t="shared" ref="C56:C61" si="16">ROUND($C$54*(1+(B56*$C$55/12)),4)</f>
        <v>111.2936</v>
      </c>
      <c r="D56" s="220">
        <f>C54*$D$31/100</f>
        <v>0.95720625399999992</v>
      </c>
      <c r="E56" s="231">
        <f t="shared" ref="E56:E61" si="17">ROUND($E$54*(1+(B56*$E$55/12)),4)</f>
        <v>115.69410000000001</v>
      </c>
      <c r="F56" s="220">
        <f>E54*$F$31/100</f>
        <v>0.447699232</v>
      </c>
      <c r="G56" s="218">
        <v>1</v>
      </c>
      <c r="H56" s="228">
        <f t="shared" ref="H56:H61" si="18">ROUND($H$54*(1+(G56*$H$55/12)),4)</f>
        <v>113.6587</v>
      </c>
      <c r="I56" s="220">
        <f>H54*$I$24/100</f>
        <v>0.27655795999999999</v>
      </c>
      <c r="J56" s="231">
        <f t="shared" ref="J56:J61" si="19">ROUND($J$54*(1+(G56*$J$55/12)),4)</f>
        <v>128.3151</v>
      </c>
      <c r="K56" s="220">
        <f>J54*$K$24/100</f>
        <v>0.20347834200000001</v>
      </c>
      <c r="R56" s="160"/>
      <c r="S56" s="160"/>
    </row>
    <row r="57" spans="1:19" s="165" customFormat="1" ht="12.75">
      <c r="A57" s="221">
        <v>41973</v>
      </c>
      <c r="B57" s="218">
        <v>2</v>
      </c>
      <c r="C57" s="228">
        <f t="shared" si="16"/>
        <v>112.05540000000001</v>
      </c>
      <c r="D57" s="220">
        <f>C56*$D$31/100</f>
        <v>0.96380257599999997</v>
      </c>
      <c r="E57" s="231">
        <f t="shared" si="17"/>
        <v>116.0018</v>
      </c>
      <c r="F57" s="220">
        <f>E56*$F$31/100</f>
        <v>0.44889310800000004</v>
      </c>
      <c r="G57" s="218">
        <v>2</v>
      </c>
      <c r="H57" s="228">
        <f t="shared" si="18"/>
        <v>114.4367</v>
      </c>
      <c r="I57" s="220">
        <f>H56*$I$24/100</f>
        <v>0.278463815</v>
      </c>
      <c r="J57" s="231">
        <f t="shared" si="19"/>
        <v>128.65629999999999</v>
      </c>
      <c r="K57" s="220">
        <f>J56*$K$24/100</f>
        <v>0.204021009</v>
      </c>
      <c r="R57" s="160"/>
      <c r="S57" s="160"/>
    </row>
    <row r="58" spans="1:19" s="165" customFormat="1" ht="12.75">
      <c r="A58" s="221">
        <v>42004</v>
      </c>
      <c r="B58" s="218">
        <v>3</v>
      </c>
      <c r="C58" s="228">
        <f t="shared" si="16"/>
        <v>112.8171</v>
      </c>
      <c r="D58" s="220">
        <f>C57*$D$31/100</f>
        <v>0.97039976400000005</v>
      </c>
      <c r="E58" s="231">
        <f t="shared" si="17"/>
        <v>116.3095</v>
      </c>
      <c r="F58" s="220">
        <f>E57*$F$31/100</f>
        <v>0.45008698400000002</v>
      </c>
      <c r="G58" s="218">
        <v>3</v>
      </c>
      <c r="H58" s="228">
        <f t="shared" si="18"/>
        <v>115.2146</v>
      </c>
      <c r="I58" s="220">
        <f>H57*$I$24/100</f>
        <v>0.28036991499999997</v>
      </c>
      <c r="J58" s="231">
        <f t="shared" si="19"/>
        <v>128.99760000000001</v>
      </c>
      <c r="K58" s="220">
        <f>J57*$K$24/100</f>
        <v>0.204563517</v>
      </c>
      <c r="R58" s="160"/>
      <c r="S58" s="160"/>
    </row>
    <row r="59" spans="1:19" s="165" customFormat="1" ht="12.75">
      <c r="A59" s="221">
        <v>42035</v>
      </c>
      <c r="B59" s="218">
        <v>4</v>
      </c>
      <c r="C59" s="228">
        <f t="shared" si="16"/>
        <v>113.5789</v>
      </c>
      <c r="D59" s="220">
        <f>C58*$D$31/100</f>
        <v>0.97699608599999987</v>
      </c>
      <c r="E59" s="231">
        <f t="shared" si="17"/>
        <v>116.6172</v>
      </c>
      <c r="F59" s="220">
        <f>E58*$F$31/100</f>
        <v>0.45128086000000001</v>
      </c>
      <c r="G59" s="218">
        <v>4</v>
      </c>
      <c r="H59" s="228">
        <f t="shared" si="18"/>
        <v>115.99250000000001</v>
      </c>
      <c r="I59" s="220">
        <f>H58*$I$24/100</f>
        <v>0.28227576999999998</v>
      </c>
      <c r="J59" s="231">
        <f t="shared" si="19"/>
        <v>129.3389</v>
      </c>
      <c r="K59" s="220">
        <f>J58*$K$24/100</f>
        <v>0.20510618400000002</v>
      </c>
      <c r="R59" s="160"/>
      <c r="S59" s="160"/>
    </row>
    <row r="60" spans="1:19" s="165" customFormat="1" ht="12.75">
      <c r="A60" s="221">
        <v>42063</v>
      </c>
      <c r="B60" s="223">
        <v>5</v>
      </c>
      <c r="C60" s="228">
        <f t="shared" si="16"/>
        <v>114.34059999999999</v>
      </c>
      <c r="D60" s="220">
        <f>C59*$D$31/100</f>
        <v>0.98359327399999996</v>
      </c>
      <c r="E60" s="231">
        <f t="shared" si="17"/>
        <v>116.92489999999999</v>
      </c>
      <c r="F60" s="220">
        <f>E59*$F$31/100</f>
        <v>0.45247473599999999</v>
      </c>
      <c r="G60" s="223">
        <v>5</v>
      </c>
      <c r="H60" s="228">
        <f t="shared" si="18"/>
        <v>116.7705</v>
      </c>
      <c r="I60" s="220">
        <f>H59*$I$24/100</f>
        <v>0.28418162499999999</v>
      </c>
      <c r="J60" s="231">
        <f t="shared" si="19"/>
        <v>129.68010000000001</v>
      </c>
      <c r="K60" s="220">
        <f>J59*$K$24/100</f>
        <v>0.20564885099999997</v>
      </c>
      <c r="R60" s="160"/>
      <c r="S60" s="160"/>
    </row>
    <row r="61" spans="1:19" s="165" customFormat="1" ht="12.75">
      <c r="A61" s="221">
        <v>42094</v>
      </c>
      <c r="B61" s="223">
        <v>6</v>
      </c>
      <c r="C61" s="228">
        <f t="shared" si="16"/>
        <v>115.1024</v>
      </c>
      <c r="D61" s="220">
        <f>C60*$D$31/100</f>
        <v>0.99018959599999989</v>
      </c>
      <c r="E61" s="231">
        <f t="shared" si="17"/>
        <v>117.23260000000001</v>
      </c>
      <c r="F61" s="220">
        <f>E60*$F$31/100</f>
        <v>0.45366861200000003</v>
      </c>
      <c r="G61" s="223">
        <v>6</v>
      </c>
      <c r="H61" s="228">
        <f t="shared" si="18"/>
        <v>117.5484</v>
      </c>
      <c r="I61" s="220">
        <f>H60*$I$24/100</f>
        <v>0.28608772500000001</v>
      </c>
      <c r="J61" s="231">
        <f t="shared" si="19"/>
        <v>130.0214</v>
      </c>
      <c r="K61" s="220">
        <f>J60*$K$24/100</f>
        <v>0.20619135900000005</v>
      </c>
      <c r="R61" s="160"/>
      <c r="S61" s="160"/>
    </row>
    <row r="62" spans="1:19" s="165" customFormat="1" ht="12.75">
      <c r="A62" s="221"/>
      <c r="B62" s="218"/>
      <c r="C62" s="229">
        <f>C13</f>
        <v>0</v>
      </c>
      <c r="D62" s="220"/>
      <c r="E62" s="230">
        <f>D13</f>
        <v>0.378</v>
      </c>
      <c r="F62" s="220"/>
      <c r="G62" s="218"/>
      <c r="H62" s="229">
        <f>C62</f>
        <v>0</v>
      </c>
      <c r="I62" s="220"/>
      <c r="J62" s="229">
        <f>E62</f>
        <v>0.378</v>
      </c>
      <c r="K62" s="220"/>
      <c r="R62" s="160"/>
      <c r="S62" s="160"/>
    </row>
    <row r="63" spans="1:19" s="165" customFormat="1" ht="12.75">
      <c r="A63" s="221">
        <v>42124</v>
      </c>
      <c r="B63" s="218">
        <v>1</v>
      </c>
      <c r="C63" s="228">
        <f t="shared" ref="C63:C68" si="20">ROUND($C$61*(1+(B63*$C$62/12)),4)</f>
        <v>115.1024</v>
      </c>
      <c r="D63" s="220">
        <f>C61*$D$31/100</f>
        <v>0.99678678399999998</v>
      </c>
      <c r="E63" s="231">
        <f t="shared" ref="E63:E68" si="21">ROUND($E$61*(1+(B63*$E$62/12)),4)</f>
        <v>120.9254</v>
      </c>
      <c r="F63" s="220">
        <f>E61*$F$31/100</f>
        <v>0.45486248800000006</v>
      </c>
      <c r="G63" s="218">
        <v>1</v>
      </c>
      <c r="H63" s="228">
        <f t="shared" ref="H63:H68" si="22">ROUND($H$61*(1+(G63*$H$62/12)),4)</f>
        <v>117.5484</v>
      </c>
      <c r="I63" s="220">
        <f>H61*$I$24/100</f>
        <v>0.28799357999999997</v>
      </c>
      <c r="J63" s="231">
        <f t="shared" ref="J63:J68" si="23">ROUND($J$61*(1+(G63*$J$62/12)),4)</f>
        <v>134.11709999999999</v>
      </c>
      <c r="K63" s="220">
        <f>J61*$K$24/100</f>
        <v>0.20673402599999999</v>
      </c>
      <c r="R63" s="160"/>
      <c r="S63" s="160"/>
    </row>
    <row r="64" spans="1:19" s="165" customFormat="1" ht="12.75">
      <c r="A64" s="221">
        <v>42155</v>
      </c>
      <c r="B64" s="218">
        <v>2</v>
      </c>
      <c r="C64" s="228">
        <f t="shared" si="20"/>
        <v>115.1024</v>
      </c>
      <c r="D64" s="220">
        <f>C63*$D$31/100</f>
        <v>0.99678678399999998</v>
      </c>
      <c r="E64" s="231">
        <f t="shared" si="21"/>
        <v>124.6183</v>
      </c>
      <c r="F64" s="220">
        <f>E63*$F$31/100</f>
        <v>0.46919055200000004</v>
      </c>
      <c r="G64" s="218">
        <v>2</v>
      </c>
      <c r="H64" s="228">
        <f t="shared" si="22"/>
        <v>117.5484</v>
      </c>
      <c r="I64" s="220">
        <f>H63*$I$24/100</f>
        <v>0.28799357999999997</v>
      </c>
      <c r="J64" s="231">
        <f t="shared" si="23"/>
        <v>138.21270000000001</v>
      </c>
      <c r="K64" s="220">
        <f>J63*$K$24/100</f>
        <v>0.213246189</v>
      </c>
      <c r="R64" s="160"/>
      <c r="S64" s="160"/>
    </row>
    <row r="65" spans="1:19" s="165" customFormat="1" ht="12.75">
      <c r="A65" s="221">
        <v>42185</v>
      </c>
      <c r="B65" s="218">
        <v>3</v>
      </c>
      <c r="C65" s="228">
        <f t="shared" si="20"/>
        <v>115.1024</v>
      </c>
      <c r="D65" s="220">
        <f>C64*$D$31/100</f>
        <v>0.99678678399999998</v>
      </c>
      <c r="E65" s="231">
        <f t="shared" si="21"/>
        <v>128.31110000000001</v>
      </c>
      <c r="F65" s="220">
        <f>E64*$F$31/100</f>
        <v>0.48351900400000003</v>
      </c>
      <c r="G65" s="218">
        <v>3</v>
      </c>
      <c r="H65" s="228">
        <f t="shared" si="22"/>
        <v>117.5484</v>
      </c>
      <c r="I65" s="220">
        <f>H64*$I$24/100</f>
        <v>0.28799357999999997</v>
      </c>
      <c r="J65" s="231">
        <f t="shared" si="23"/>
        <v>142.30840000000001</v>
      </c>
      <c r="K65" s="220">
        <f>J64*$K$24/100</f>
        <v>0.21975819300000002</v>
      </c>
      <c r="R65" s="160"/>
      <c r="S65" s="160"/>
    </row>
    <row r="66" spans="1:19" s="165" customFormat="1" ht="12.75">
      <c r="A66" s="221">
        <v>42216</v>
      </c>
      <c r="B66" s="218">
        <v>4</v>
      </c>
      <c r="C66" s="228">
        <f t="shared" si="20"/>
        <v>115.1024</v>
      </c>
      <c r="D66" s="220">
        <f>C65*$D$31/100</f>
        <v>0.99678678399999998</v>
      </c>
      <c r="E66" s="231">
        <f t="shared" si="21"/>
        <v>132.00389999999999</v>
      </c>
      <c r="F66" s="220">
        <f>E65*$F$31/100</f>
        <v>0.497847068</v>
      </c>
      <c r="G66" s="218">
        <v>4</v>
      </c>
      <c r="H66" s="228">
        <f t="shared" si="22"/>
        <v>117.5484</v>
      </c>
      <c r="I66" s="220">
        <f>H65*$I$24/100</f>
        <v>0.28799357999999997</v>
      </c>
      <c r="J66" s="231">
        <f t="shared" si="23"/>
        <v>146.4041</v>
      </c>
      <c r="K66" s="220">
        <f>J65*$K$24/100</f>
        <v>0.22627035600000003</v>
      </c>
      <c r="R66" s="160"/>
      <c r="S66" s="160"/>
    </row>
    <row r="67" spans="1:19" s="165" customFormat="1" ht="12.75">
      <c r="A67" s="221">
        <v>42247</v>
      </c>
      <c r="B67" s="223">
        <v>5</v>
      </c>
      <c r="C67" s="228">
        <f t="shared" si="20"/>
        <v>115.1024</v>
      </c>
      <c r="D67" s="220">
        <f>C66*$D$31/100</f>
        <v>0.99678678399999998</v>
      </c>
      <c r="E67" s="231">
        <f t="shared" si="21"/>
        <v>135.69669999999999</v>
      </c>
      <c r="F67" s="220">
        <f>E66*$F$31/100</f>
        <v>0.51217513199999998</v>
      </c>
      <c r="G67" s="223">
        <v>5</v>
      </c>
      <c r="H67" s="228">
        <f t="shared" si="22"/>
        <v>117.5484</v>
      </c>
      <c r="I67" s="220">
        <f>H66*$I$24/100</f>
        <v>0.28799357999999997</v>
      </c>
      <c r="J67" s="231">
        <f t="shared" si="23"/>
        <v>150.49979999999999</v>
      </c>
      <c r="K67" s="220">
        <f>J66*$K$24/100</f>
        <v>0.23278251900000002</v>
      </c>
      <c r="R67" s="160"/>
      <c r="S67" s="160"/>
    </row>
    <row r="68" spans="1:19" s="165" customFormat="1" ht="12.75">
      <c r="A68" s="221">
        <v>42277</v>
      </c>
      <c r="B68" s="223">
        <v>6</v>
      </c>
      <c r="C68" s="228">
        <f t="shared" si="20"/>
        <v>115.1024</v>
      </c>
      <c r="D68" s="220">
        <f>C67*$D$31/100</f>
        <v>0.99678678399999998</v>
      </c>
      <c r="E68" s="231">
        <f t="shared" si="21"/>
        <v>139.3896</v>
      </c>
      <c r="F68" s="220">
        <f>E67*$F$31/100</f>
        <v>0.52650319599999995</v>
      </c>
      <c r="G68" s="223">
        <v>6</v>
      </c>
      <c r="H68" s="228">
        <f t="shared" si="22"/>
        <v>117.5484</v>
      </c>
      <c r="I68" s="220">
        <f>H67*$I$24/100</f>
        <v>0.28799357999999997</v>
      </c>
      <c r="J68" s="231">
        <f t="shared" si="23"/>
        <v>154.59540000000001</v>
      </c>
      <c r="K68" s="220">
        <f>J67*$K$24/100</f>
        <v>0.23929468199999998</v>
      </c>
      <c r="R68" s="160"/>
      <c r="S68" s="160"/>
    </row>
    <row r="69" spans="1:19" s="165" customFormat="1" ht="12.75">
      <c r="A69" s="221"/>
      <c r="B69" s="218"/>
      <c r="C69" s="229">
        <f>C14</f>
        <v>0</v>
      </c>
      <c r="D69" s="220"/>
      <c r="E69" s="230">
        <f>D14</f>
        <v>6.3100000000000003E-2</v>
      </c>
      <c r="F69" s="220"/>
      <c r="G69" s="218"/>
      <c r="H69" s="229">
        <f>C69</f>
        <v>0</v>
      </c>
      <c r="I69" s="220"/>
      <c r="J69" s="229">
        <f>E69</f>
        <v>6.3100000000000003E-2</v>
      </c>
      <c r="K69" s="220"/>
      <c r="R69" s="160"/>
      <c r="S69" s="160"/>
    </row>
    <row r="70" spans="1:19" s="165" customFormat="1" ht="12.75">
      <c r="A70" s="221">
        <v>42308</v>
      </c>
      <c r="B70" s="218">
        <v>1</v>
      </c>
      <c r="C70" s="228">
        <f t="shared" ref="C70:C75" si="24">ROUND($C$68*(1+(B70*$C$69/12)),4)</f>
        <v>115.1024</v>
      </c>
      <c r="D70" s="220">
        <f>C68*$D$31/100</f>
        <v>0.99678678399999998</v>
      </c>
      <c r="E70" s="231">
        <f t="shared" ref="E70:E75" si="25">ROUND($E$68*(1+(B70*$E$69/12)),4)</f>
        <v>140.12260000000001</v>
      </c>
      <c r="F70" s="220">
        <f>E68*$F$31/100</f>
        <v>0.54083164799999994</v>
      </c>
      <c r="G70" s="218">
        <v>1</v>
      </c>
      <c r="H70" s="228">
        <f t="shared" ref="H70:H75" si="26">ROUND($H$68*(1+(G70*$H$69/12)),4)</f>
        <v>117.5484</v>
      </c>
      <c r="I70" s="220">
        <f>H68*$I$24/100</f>
        <v>0.28799357999999997</v>
      </c>
      <c r="J70" s="231">
        <f t="shared" ref="J70:J75" si="27">ROUND($J$68*(1+(G70*$J$69/12)),4)</f>
        <v>155.4083</v>
      </c>
      <c r="K70" s="220">
        <f>J68*$K$24/100</f>
        <v>0.24580668600000002</v>
      </c>
      <c r="R70" s="160"/>
      <c r="S70" s="160"/>
    </row>
    <row r="71" spans="1:19" s="165" customFormat="1" ht="12.75">
      <c r="A71" s="221">
        <v>42338</v>
      </c>
      <c r="B71" s="218">
        <v>2</v>
      </c>
      <c r="C71" s="228">
        <f t="shared" si="24"/>
        <v>115.1024</v>
      </c>
      <c r="D71" s="220">
        <f>C70*$D$31/100</f>
        <v>0.99678678399999998</v>
      </c>
      <c r="E71" s="231">
        <f t="shared" si="25"/>
        <v>140.85550000000001</v>
      </c>
      <c r="F71" s="220">
        <f>E70*$F$31/100</f>
        <v>0.54367568799999999</v>
      </c>
      <c r="G71" s="218">
        <v>2</v>
      </c>
      <c r="H71" s="228">
        <f t="shared" si="26"/>
        <v>117.5484</v>
      </c>
      <c r="I71" s="220">
        <f>H70*$I$24/100</f>
        <v>0.28799357999999997</v>
      </c>
      <c r="J71" s="231">
        <f t="shared" si="27"/>
        <v>156.22120000000001</v>
      </c>
      <c r="K71" s="220">
        <f>J70*$K$24/100</f>
        <v>0.24709919699999999</v>
      </c>
      <c r="R71" s="160"/>
      <c r="S71" s="160"/>
    </row>
    <row r="72" spans="1:19" s="165" customFormat="1" ht="12.75">
      <c r="A72" s="221">
        <v>42369</v>
      </c>
      <c r="B72" s="218">
        <v>3</v>
      </c>
      <c r="C72" s="228">
        <f t="shared" si="24"/>
        <v>115.1024</v>
      </c>
      <c r="D72" s="220">
        <f>C71*$D$31/100</f>
        <v>0.99678678399999998</v>
      </c>
      <c r="E72" s="231">
        <f t="shared" si="25"/>
        <v>141.58850000000001</v>
      </c>
      <c r="F72" s="220">
        <f>E71*$F$31/100</f>
        <v>0.54651934000000002</v>
      </c>
      <c r="G72" s="218">
        <v>3</v>
      </c>
      <c r="H72" s="228">
        <f t="shared" si="26"/>
        <v>117.5484</v>
      </c>
      <c r="I72" s="220">
        <f>H71*$I$24/100</f>
        <v>0.28799357999999997</v>
      </c>
      <c r="J72" s="231">
        <f t="shared" si="27"/>
        <v>157.0341</v>
      </c>
      <c r="K72" s="220">
        <f>J71*$K$24/100</f>
        <v>0.24839170800000002</v>
      </c>
      <c r="R72" s="160"/>
      <c r="S72" s="160"/>
    </row>
    <row r="73" spans="1:19" s="165" customFormat="1" ht="12.75">
      <c r="A73" s="221">
        <v>42400</v>
      </c>
      <c r="B73" s="218">
        <v>4</v>
      </c>
      <c r="C73" s="228">
        <f t="shared" si="24"/>
        <v>115.1024</v>
      </c>
      <c r="D73" s="220">
        <f>C72*$D$31/100</f>
        <v>0.99678678399999998</v>
      </c>
      <c r="E73" s="231">
        <f t="shared" si="25"/>
        <v>142.32140000000001</v>
      </c>
      <c r="F73" s="220">
        <f>E72*$F$31/100</f>
        <v>0.54936338000000007</v>
      </c>
      <c r="G73" s="218">
        <v>4</v>
      </c>
      <c r="H73" s="228">
        <f t="shared" si="26"/>
        <v>117.5484</v>
      </c>
      <c r="I73" s="220">
        <f>H72*$I$24/100</f>
        <v>0.28799357999999997</v>
      </c>
      <c r="J73" s="231">
        <f t="shared" si="27"/>
        <v>157.84710000000001</v>
      </c>
      <c r="K73" s="220">
        <f>J72*$K$24/100</f>
        <v>0.24968421899999999</v>
      </c>
      <c r="R73" s="160"/>
      <c r="S73" s="160"/>
    </row>
    <row r="74" spans="1:19" s="165" customFormat="1" ht="12.75">
      <c r="A74" s="221">
        <v>42429</v>
      </c>
      <c r="B74" s="223">
        <v>5</v>
      </c>
      <c r="C74" s="228">
        <f t="shared" si="24"/>
        <v>115.1024</v>
      </c>
      <c r="D74" s="220">
        <f>C73*$D$31/100</f>
        <v>0.99678678399999998</v>
      </c>
      <c r="E74" s="231">
        <f t="shared" si="25"/>
        <v>143.05439999999999</v>
      </c>
      <c r="F74" s="220">
        <f>E73*$F$31/100</f>
        <v>0.55220703199999999</v>
      </c>
      <c r="G74" s="223">
        <v>5</v>
      </c>
      <c r="H74" s="228">
        <f t="shared" si="26"/>
        <v>117.5484</v>
      </c>
      <c r="I74" s="220">
        <f>H73*$I$24/100</f>
        <v>0.28799357999999997</v>
      </c>
      <c r="J74" s="231">
        <f t="shared" si="27"/>
        <v>158.66</v>
      </c>
      <c r="K74" s="220">
        <f>J73*$K$24/100</f>
        <v>0.25097688900000004</v>
      </c>
      <c r="R74" s="160"/>
      <c r="S74" s="160"/>
    </row>
    <row r="75" spans="1:19" s="165" customFormat="1" ht="12.75">
      <c r="A75" s="221">
        <v>42460</v>
      </c>
      <c r="B75" s="223">
        <v>6</v>
      </c>
      <c r="C75" s="228">
        <f t="shared" si="24"/>
        <v>115.1024</v>
      </c>
      <c r="D75" s="220">
        <f>C74*$D$31/100</f>
        <v>0.99678678399999998</v>
      </c>
      <c r="E75" s="231">
        <f t="shared" si="25"/>
        <v>143.78729999999999</v>
      </c>
      <c r="F75" s="220">
        <f>E74*$F$31/100</f>
        <v>0.55505107199999992</v>
      </c>
      <c r="G75" s="223">
        <v>6</v>
      </c>
      <c r="H75" s="228">
        <f t="shared" si="26"/>
        <v>117.5484</v>
      </c>
      <c r="I75" s="220">
        <f>H74*$I$24/100</f>
        <v>0.28799357999999997</v>
      </c>
      <c r="J75" s="231">
        <f t="shared" si="27"/>
        <v>159.47290000000001</v>
      </c>
      <c r="K75" s="220">
        <f>J74*$K$24/100</f>
        <v>0.25226939999999998</v>
      </c>
      <c r="R75" s="160"/>
      <c r="S75" s="160"/>
    </row>
    <row r="76" spans="1:19" s="165" customFormat="1" ht="12.75">
      <c r="A76" s="221"/>
      <c r="B76" s="232"/>
      <c r="C76" s="230">
        <f>C15</f>
        <v>0</v>
      </c>
      <c r="D76" s="220"/>
      <c r="E76" s="230">
        <f>D15</f>
        <v>6.1199999999999997E-2</v>
      </c>
      <c r="F76" s="220"/>
      <c r="G76" s="232"/>
      <c r="H76" s="230">
        <f>C76</f>
        <v>0</v>
      </c>
      <c r="I76" s="220"/>
      <c r="J76" s="230">
        <f>E76</f>
        <v>6.1199999999999997E-2</v>
      </c>
      <c r="K76" s="220"/>
      <c r="R76" s="160"/>
      <c r="S76" s="160"/>
    </row>
    <row r="77" spans="1:19" s="165" customFormat="1" ht="12.75">
      <c r="A77" s="221">
        <v>42490</v>
      </c>
      <c r="B77" s="218">
        <v>1</v>
      </c>
      <c r="C77" s="228">
        <f t="shared" ref="C77:C82" si="28">ROUND($C$75*(1+(B77*$C$76/12)),4)</f>
        <v>115.1024</v>
      </c>
      <c r="D77" s="220">
        <f>C75*$D$31/100</f>
        <v>0.99678678399999998</v>
      </c>
      <c r="E77" s="231">
        <f t="shared" ref="E77:E82" si="29">ROUND($E$75*(1+(B77*$E$76/12)),4)</f>
        <v>144.5206</v>
      </c>
      <c r="F77" s="220">
        <f>E75*$F$31/100</f>
        <v>0.55789472399999995</v>
      </c>
      <c r="G77" s="218">
        <v>1</v>
      </c>
      <c r="H77" s="228">
        <f t="shared" ref="H77:H82" si="30">ROUND($H$75*(1+(G77*$H$76/12)),4)</f>
        <v>117.5484</v>
      </c>
      <c r="I77" s="220">
        <f>H75*$I$24/100</f>
        <v>0.28799357999999997</v>
      </c>
      <c r="J77" s="231">
        <f t="shared" ref="J77:J82" si="31">ROUND($J$75*(1+(G77*$J$76/12)),4)</f>
        <v>160.28620000000001</v>
      </c>
      <c r="K77" s="220">
        <f>J75*$K$24/100</f>
        <v>0.25356191100000003</v>
      </c>
      <c r="R77" s="160"/>
      <c r="S77" s="160"/>
    </row>
    <row r="78" spans="1:19" s="165" customFormat="1" ht="12.75">
      <c r="A78" s="221">
        <v>42521</v>
      </c>
      <c r="B78" s="218">
        <v>2</v>
      </c>
      <c r="C78" s="228">
        <f t="shared" si="28"/>
        <v>115.1024</v>
      </c>
      <c r="D78" s="220">
        <f>C77*$D$31/100</f>
        <v>0.99678678399999998</v>
      </c>
      <c r="E78" s="231">
        <f t="shared" si="29"/>
        <v>145.25389999999999</v>
      </c>
      <c r="F78" s="220">
        <f>E77*$F$31/100</f>
        <v>0.56073992799999994</v>
      </c>
      <c r="G78" s="218">
        <v>2</v>
      </c>
      <c r="H78" s="228">
        <f t="shared" si="30"/>
        <v>117.5484</v>
      </c>
      <c r="I78" s="220">
        <f>H77*$I$24/100</f>
        <v>0.28799357999999997</v>
      </c>
      <c r="J78" s="231">
        <f t="shared" si="31"/>
        <v>161.09950000000001</v>
      </c>
      <c r="K78" s="220">
        <f>J77*$K$24/100</f>
        <v>0.25485505800000002</v>
      </c>
      <c r="R78" s="160"/>
      <c r="S78" s="160"/>
    </row>
    <row r="79" spans="1:19" s="165" customFormat="1" ht="12.75">
      <c r="A79" s="221">
        <v>42551</v>
      </c>
      <c r="B79" s="218">
        <v>3</v>
      </c>
      <c r="C79" s="228">
        <f t="shared" si="28"/>
        <v>115.1024</v>
      </c>
      <c r="D79" s="220">
        <f>C78*$D$31/100</f>
        <v>0.99678678399999998</v>
      </c>
      <c r="E79" s="231">
        <f t="shared" si="29"/>
        <v>145.9872</v>
      </c>
      <c r="F79" s="220">
        <f>E78*$F$31/100</f>
        <v>0.56358513199999993</v>
      </c>
      <c r="G79" s="218">
        <v>3</v>
      </c>
      <c r="H79" s="228">
        <f t="shared" si="30"/>
        <v>117.5484</v>
      </c>
      <c r="I79" s="220">
        <f>H78*$I$24/100</f>
        <v>0.28799357999999997</v>
      </c>
      <c r="J79" s="231">
        <f t="shared" si="31"/>
        <v>161.9128</v>
      </c>
      <c r="K79" s="220">
        <f>J78*$K$24/100</f>
        <v>0.25614820500000002</v>
      </c>
      <c r="R79" s="160"/>
      <c r="S79" s="160"/>
    </row>
    <row r="80" spans="1:19" s="165" customFormat="1" ht="12.75">
      <c r="A80" s="221">
        <v>42582</v>
      </c>
      <c r="B80" s="218">
        <v>4</v>
      </c>
      <c r="C80" s="228">
        <f t="shared" si="28"/>
        <v>115.1024</v>
      </c>
      <c r="D80" s="220">
        <f>C79*$D$31/100</f>
        <v>0.99678678399999998</v>
      </c>
      <c r="E80" s="231">
        <f t="shared" si="29"/>
        <v>146.72059999999999</v>
      </c>
      <c r="F80" s="220">
        <f>E79*$F$31/100</f>
        <v>0.56643033600000003</v>
      </c>
      <c r="G80" s="218">
        <v>4</v>
      </c>
      <c r="H80" s="228">
        <f t="shared" si="30"/>
        <v>117.5484</v>
      </c>
      <c r="I80" s="220">
        <f>H79*$I$24/100</f>
        <v>0.28799357999999997</v>
      </c>
      <c r="J80" s="231">
        <f t="shared" si="31"/>
        <v>162.7261</v>
      </c>
      <c r="K80" s="220">
        <f>J79*$K$24/100</f>
        <v>0.25744135200000001</v>
      </c>
      <c r="R80" s="160"/>
      <c r="S80" s="160"/>
    </row>
    <row r="81" spans="1:19" s="165" customFormat="1" ht="12.75">
      <c r="A81" s="221">
        <v>42613</v>
      </c>
      <c r="B81" s="223">
        <v>5</v>
      </c>
      <c r="C81" s="228">
        <f t="shared" si="28"/>
        <v>115.1024</v>
      </c>
      <c r="D81" s="220">
        <f>C80*$D$31/100</f>
        <v>0.99678678399999998</v>
      </c>
      <c r="E81" s="231">
        <f t="shared" si="29"/>
        <v>147.4539</v>
      </c>
      <c r="F81" s="220">
        <f>E80*$F$31/100</f>
        <v>0.56927592800000004</v>
      </c>
      <c r="G81" s="223">
        <v>5</v>
      </c>
      <c r="H81" s="228">
        <f t="shared" si="30"/>
        <v>117.5484</v>
      </c>
      <c r="I81" s="220">
        <f>H80*$I$24/100</f>
        <v>0.28799357999999997</v>
      </c>
      <c r="J81" s="231">
        <f t="shared" si="31"/>
        <v>163.5395</v>
      </c>
      <c r="K81" s="220">
        <f>J80*$K$24/100</f>
        <v>0.25873449900000001</v>
      </c>
      <c r="R81" s="160"/>
      <c r="S81" s="160"/>
    </row>
    <row r="82" spans="1:19" s="165" customFormat="1" ht="12.75">
      <c r="A82" s="221">
        <v>42643</v>
      </c>
      <c r="B82" s="223">
        <v>6</v>
      </c>
      <c r="C82" s="228">
        <f t="shared" si="28"/>
        <v>115.1024</v>
      </c>
      <c r="D82" s="220">
        <f>C81*$D$31/100</f>
        <v>0.99678678399999998</v>
      </c>
      <c r="E82" s="231">
        <f t="shared" si="29"/>
        <v>148.18719999999999</v>
      </c>
      <c r="F82" s="220">
        <f>E81*$F$31/100</f>
        <v>0.57212113200000003</v>
      </c>
      <c r="G82" s="223">
        <v>6</v>
      </c>
      <c r="H82" s="228">
        <f t="shared" si="30"/>
        <v>117.5484</v>
      </c>
      <c r="I82" s="220">
        <f>H81*$I$24/100</f>
        <v>0.28799357999999997</v>
      </c>
      <c r="J82" s="231">
        <f t="shared" si="31"/>
        <v>164.3528</v>
      </c>
      <c r="K82" s="220">
        <f>J81*$K$24/100</f>
        <v>0.260027805</v>
      </c>
      <c r="R82" s="160"/>
      <c r="S82" s="160"/>
    </row>
    <row r="83" spans="1:19" s="165" customFormat="1" ht="12.75">
      <c r="A83" s="221"/>
      <c r="B83" s="233"/>
      <c r="C83" s="233">
        <f>C16</f>
        <v>2.7900000000000001E-2</v>
      </c>
      <c r="D83" s="218"/>
      <c r="E83" s="233">
        <f>D16</f>
        <v>0</v>
      </c>
      <c r="F83" s="218"/>
      <c r="G83" s="233"/>
      <c r="H83" s="233">
        <f>C83</f>
        <v>2.7900000000000001E-2</v>
      </c>
      <c r="I83" s="218"/>
      <c r="J83" s="233">
        <f>E83</f>
        <v>0</v>
      </c>
      <c r="K83" s="218"/>
      <c r="R83" s="160"/>
      <c r="S83" s="160"/>
    </row>
    <row r="84" spans="1:19" s="165" customFormat="1" ht="12.75">
      <c r="A84" s="221">
        <v>42674</v>
      </c>
      <c r="B84" s="218">
        <v>1</v>
      </c>
      <c r="C84" s="228">
        <f t="shared" ref="C84:C89" si="32">ROUND($C$82*(1+(B84*$C$83/12)),4)</f>
        <v>115.37</v>
      </c>
      <c r="D84" s="220">
        <f>C82*$D$31/100</f>
        <v>0.99678678399999998</v>
      </c>
      <c r="E84" s="231">
        <f t="shared" ref="E84:E89" si="33">ROUND($E$82*(1+(B84*$E$83/12)),4)</f>
        <v>148.18719999999999</v>
      </c>
      <c r="F84" s="220">
        <f>E82*$F$31/100</f>
        <v>0.57496633599999991</v>
      </c>
      <c r="G84" s="218">
        <v>1</v>
      </c>
      <c r="H84" s="228">
        <f t="shared" ref="H84:H89" si="34">ROUND($H$82*(1+(G84*$H$83/12)),4)</f>
        <v>117.82170000000001</v>
      </c>
      <c r="I84" s="220">
        <f>H82*$I$24/100</f>
        <v>0.28799357999999997</v>
      </c>
      <c r="J84" s="231">
        <f t="shared" ref="J84:J89" si="35">ROUND($J$82*(1+(G84*$J$83/12)),4)</f>
        <v>164.3528</v>
      </c>
      <c r="K84" s="220">
        <f>J82*$K$24/100</f>
        <v>0.261320952</v>
      </c>
      <c r="R84" s="160"/>
      <c r="S84" s="160"/>
    </row>
    <row r="85" spans="1:19" s="165" customFormat="1" ht="12.75">
      <c r="A85" s="221">
        <v>42704</v>
      </c>
      <c r="B85" s="218">
        <v>2</v>
      </c>
      <c r="C85" s="228">
        <f t="shared" si="32"/>
        <v>115.63760000000001</v>
      </c>
      <c r="D85" s="220">
        <f>C84*$D$31/100</f>
        <v>0.9991042</v>
      </c>
      <c r="E85" s="231">
        <f t="shared" si="33"/>
        <v>148.18719999999999</v>
      </c>
      <c r="F85" s="220">
        <f>E84*$F$31/100</f>
        <v>0.57496633599999991</v>
      </c>
      <c r="G85" s="218">
        <v>2</v>
      </c>
      <c r="H85" s="228">
        <f t="shared" si="34"/>
        <v>118.095</v>
      </c>
      <c r="I85" s="220">
        <f>H84*$I$24/100</f>
        <v>0.288663165</v>
      </c>
      <c r="J85" s="231">
        <f t="shared" si="35"/>
        <v>164.3528</v>
      </c>
      <c r="K85" s="220">
        <f>J84*$K$24/100</f>
        <v>0.261320952</v>
      </c>
      <c r="R85" s="160"/>
      <c r="S85" s="160"/>
    </row>
    <row r="86" spans="1:19" s="165" customFormat="1" ht="12.75">
      <c r="A86" s="221">
        <v>42735</v>
      </c>
      <c r="B86" s="218">
        <v>3</v>
      </c>
      <c r="C86" s="228">
        <f t="shared" si="32"/>
        <v>115.90519999999999</v>
      </c>
      <c r="D86" s="220">
        <f>C85*$D$31/100</f>
        <v>1.001421616</v>
      </c>
      <c r="E86" s="231">
        <f t="shared" si="33"/>
        <v>148.18719999999999</v>
      </c>
      <c r="F86" s="220">
        <f>E85*$F$31/100</f>
        <v>0.57496633599999991</v>
      </c>
      <c r="G86" s="218">
        <v>3</v>
      </c>
      <c r="H86" s="228">
        <f t="shared" si="34"/>
        <v>118.3683</v>
      </c>
      <c r="I86" s="220">
        <f>H85*$I$24/100</f>
        <v>0.28933274999999997</v>
      </c>
      <c r="J86" s="231">
        <f t="shared" si="35"/>
        <v>164.3528</v>
      </c>
      <c r="K86" s="220">
        <f>J85*$K$24/100</f>
        <v>0.261320952</v>
      </c>
      <c r="R86" s="160"/>
      <c r="S86" s="160"/>
    </row>
    <row r="87" spans="1:19" s="165" customFormat="1" ht="12.75">
      <c r="A87" s="221">
        <v>42766</v>
      </c>
      <c r="B87" s="218">
        <v>4</v>
      </c>
      <c r="C87" s="228">
        <f t="shared" si="32"/>
        <v>116.1729</v>
      </c>
      <c r="D87" s="220">
        <f>C86*$D$31/100</f>
        <v>1.0037390319999999</v>
      </c>
      <c r="E87" s="231">
        <f t="shared" si="33"/>
        <v>148.18719999999999</v>
      </c>
      <c r="F87" s="220">
        <f>E86*$F$31/100</f>
        <v>0.57496633599999991</v>
      </c>
      <c r="G87" s="218">
        <v>4</v>
      </c>
      <c r="H87" s="228">
        <f t="shared" si="34"/>
        <v>118.6416</v>
      </c>
      <c r="I87" s="220">
        <f>H86*$I$24/100</f>
        <v>0.290002335</v>
      </c>
      <c r="J87" s="231">
        <f t="shared" si="35"/>
        <v>164.3528</v>
      </c>
      <c r="K87" s="220">
        <f>J86*$K$24/100</f>
        <v>0.261320952</v>
      </c>
      <c r="R87" s="160"/>
      <c r="S87" s="160"/>
    </row>
    <row r="88" spans="1:19" s="165" customFormat="1" ht="12.75">
      <c r="A88" s="221">
        <v>42794</v>
      </c>
      <c r="B88" s="223">
        <v>5</v>
      </c>
      <c r="C88" s="228">
        <f t="shared" si="32"/>
        <v>116.4405</v>
      </c>
      <c r="D88" s="220">
        <f>C87*$D$31/100</f>
        <v>1.006057314</v>
      </c>
      <c r="E88" s="231">
        <f t="shared" si="33"/>
        <v>148.18719999999999</v>
      </c>
      <c r="F88" s="220">
        <f>E87*$F$31/100</f>
        <v>0.57496633599999991</v>
      </c>
      <c r="G88" s="223">
        <v>5</v>
      </c>
      <c r="H88" s="228">
        <f t="shared" si="34"/>
        <v>118.9149</v>
      </c>
      <c r="I88" s="220">
        <f>H87*$I$24/100</f>
        <v>0.29067191999999997</v>
      </c>
      <c r="J88" s="231">
        <f t="shared" si="35"/>
        <v>164.3528</v>
      </c>
      <c r="K88" s="220">
        <f>J87*$K$24/100</f>
        <v>0.261320952</v>
      </c>
      <c r="R88" s="160"/>
      <c r="S88" s="160"/>
    </row>
    <row r="89" spans="1:19" s="165" customFormat="1" ht="12.75">
      <c r="A89" s="221">
        <v>42825</v>
      </c>
      <c r="B89" s="223">
        <v>6</v>
      </c>
      <c r="C89" s="228">
        <f t="shared" si="32"/>
        <v>116.7081</v>
      </c>
      <c r="D89" s="220">
        <f>C88*$D$31/100</f>
        <v>1.0083747300000001</v>
      </c>
      <c r="E89" s="231">
        <f t="shared" si="33"/>
        <v>148.18719999999999</v>
      </c>
      <c r="F89" s="220">
        <f>E88*$F$31/100</f>
        <v>0.57496633599999991</v>
      </c>
      <c r="G89" s="223">
        <v>6</v>
      </c>
      <c r="H89" s="228">
        <f t="shared" si="34"/>
        <v>119.18819999999999</v>
      </c>
      <c r="I89" s="220">
        <f>H88*$I$24/100</f>
        <v>0.291341505</v>
      </c>
      <c r="J89" s="231">
        <f t="shared" si="35"/>
        <v>164.3528</v>
      </c>
      <c r="K89" s="220">
        <f>J88*$K$24/100</f>
        <v>0.261320952</v>
      </c>
      <c r="R89" s="160"/>
      <c r="S89" s="160"/>
    </row>
    <row r="90" spans="1:19" s="165" customFormat="1" ht="12.75">
      <c r="A90" s="221"/>
      <c r="B90" s="229"/>
      <c r="C90" s="229">
        <f>C17</f>
        <v>0.13780000000000001</v>
      </c>
      <c r="D90" s="234"/>
      <c r="E90" s="230">
        <f>D17</f>
        <v>0</v>
      </c>
      <c r="F90" s="234"/>
      <c r="G90" s="229"/>
      <c r="H90" s="229">
        <f>C90</f>
        <v>0.13780000000000001</v>
      </c>
      <c r="I90" s="234"/>
      <c r="J90" s="229">
        <f>E90</f>
        <v>0</v>
      </c>
      <c r="K90" s="234"/>
      <c r="R90" s="160"/>
      <c r="S90" s="160"/>
    </row>
    <row r="91" spans="1:19" s="165" customFormat="1" ht="12.75">
      <c r="A91" s="221">
        <v>42855</v>
      </c>
      <c r="B91" s="218">
        <v>1</v>
      </c>
      <c r="C91" s="228">
        <f t="shared" ref="C91:C96" si="36">ROUND($C$89*(1+(B91*$C$90/12)),4)</f>
        <v>118.0483</v>
      </c>
      <c r="D91" s="220">
        <f>C89*$D$31/100</f>
        <v>1.010692146</v>
      </c>
      <c r="E91" s="231">
        <f t="shared" ref="E91:E96" si="37">ROUND($E$89*(1+(B91*$E$90/12)),4)</f>
        <v>148.18719999999999</v>
      </c>
      <c r="F91" s="220">
        <f>E89*$F$31/100</f>
        <v>0.57496633599999991</v>
      </c>
      <c r="G91" s="218">
        <v>1</v>
      </c>
      <c r="H91" s="228">
        <f t="shared" ref="H91:H96" si="38">ROUND($H$89*(1+(G91*$H$90/12)),4)</f>
        <v>120.5569</v>
      </c>
      <c r="I91" s="220">
        <f>H89*$I$24/100</f>
        <v>0.29201108999999997</v>
      </c>
      <c r="J91" s="231">
        <f t="shared" ref="J91:J96" si="39">ROUND($J$89*(1+(G91*$J$90/12)),4)</f>
        <v>164.3528</v>
      </c>
      <c r="K91" s="220">
        <f>J89*$K$24/100</f>
        <v>0.261320952</v>
      </c>
      <c r="R91" s="160"/>
      <c r="S91" s="160"/>
    </row>
    <row r="92" spans="1:19" s="165" customFormat="1" ht="12.75">
      <c r="A92" s="221">
        <v>42886</v>
      </c>
      <c r="B92" s="218">
        <v>2</v>
      </c>
      <c r="C92" s="228">
        <f t="shared" si="36"/>
        <v>119.38849999999999</v>
      </c>
      <c r="D92" s="220">
        <f>C91*$D$31/100</f>
        <v>1.0222982780000001</v>
      </c>
      <c r="E92" s="231">
        <f t="shared" si="37"/>
        <v>148.18719999999999</v>
      </c>
      <c r="F92" s="220">
        <f>E91*$F$31/100</f>
        <v>0.57496633599999991</v>
      </c>
      <c r="G92" s="218">
        <v>2</v>
      </c>
      <c r="H92" s="228">
        <f t="shared" si="38"/>
        <v>121.9256</v>
      </c>
      <c r="I92" s="220">
        <f>H91*$I$24/100</f>
        <v>0.295364405</v>
      </c>
      <c r="J92" s="231">
        <f t="shared" si="39"/>
        <v>164.3528</v>
      </c>
      <c r="K92" s="220">
        <f>J91*$K$24/100</f>
        <v>0.261320952</v>
      </c>
      <c r="R92" s="160"/>
      <c r="S92" s="160"/>
    </row>
    <row r="93" spans="1:19" s="165" customFormat="1" ht="12.75">
      <c r="A93" s="221">
        <v>42916</v>
      </c>
      <c r="B93" s="218">
        <v>3</v>
      </c>
      <c r="C93" s="228">
        <f t="shared" si="36"/>
        <v>120.7287</v>
      </c>
      <c r="D93" s="220">
        <f>C92*$D$31/100</f>
        <v>1.0339044099999999</v>
      </c>
      <c r="E93" s="231">
        <f t="shared" si="37"/>
        <v>148.18719999999999</v>
      </c>
      <c r="F93" s="220">
        <f>E92*$F$31/100</f>
        <v>0.57496633599999991</v>
      </c>
      <c r="G93" s="218">
        <v>3</v>
      </c>
      <c r="H93" s="228">
        <f t="shared" si="38"/>
        <v>123.2942</v>
      </c>
      <c r="I93" s="220">
        <f>H92*$I$24/100</f>
        <v>0.29871772000000002</v>
      </c>
      <c r="J93" s="231">
        <f t="shared" si="39"/>
        <v>164.3528</v>
      </c>
      <c r="K93" s="220">
        <f>J92*$K$24/100</f>
        <v>0.261320952</v>
      </c>
      <c r="R93" s="160"/>
      <c r="S93" s="160"/>
    </row>
    <row r="94" spans="1:19" s="165" customFormat="1" ht="12.75">
      <c r="A94" s="221">
        <v>42947</v>
      </c>
      <c r="B94" s="218">
        <v>4</v>
      </c>
      <c r="C94" s="228">
        <f t="shared" si="36"/>
        <v>122.0689</v>
      </c>
      <c r="D94" s="220">
        <f>C93*$D$31/100</f>
        <v>1.0455105419999999</v>
      </c>
      <c r="E94" s="231">
        <f t="shared" si="37"/>
        <v>148.18719999999999</v>
      </c>
      <c r="F94" s="220">
        <f>E93*$F$31/100</f>
        <v>0.57496633599999991</v>
      </c>
      <c r="G94" s="218">
        <v>4</v>
      </c>
      <c r="H94" s="228">
        <f t="shared" si="38"/>
        <v>124.66289999999999</v>
      </c>
      <c r="I94" s="220">
        <f>H93*$I$24/100</f>
        <v>0.30207078999999998</v>
      </c>
      <c r="J94" s="231">
        <f t="shared" si="39"/>
        <v>164.3528</v>
      </c>
      <c r="K94" s="220">
        <f>J93*$K$24/100</f>
        <v>0.261320952</v>
      </c>
      <c r="R94" s="160"/>
      <c r="S94" s="160"/>
    </row>
    <row r="95" spans="1:19" s="165" customFormat="1" ht="12.75">
      <c r="A95" s="221">
        <v>42978</v>
      </c>
      <c r="B95" s="223">
        <v>5</v>
      </c>
      <c r="C95" s="228">
        <f t="shared" si="36"/>
        <v>123.4091</v>
      </c>
      <c r="D95" s="220">
        <f>C94*$D$31/100</f>
        <v>1.057116674</v>
      </c>
      <c r="E95" s="231">
        <f t="shared" si="37"/>
        <v>148.18719999999999</v>
      </c>
      <c r="F95" s="220">
        <f>E94*$F$31/100</f>
        <v>0.57496633599999991</v>
      </c>
      <c r="G95" s="223">
        <v>5</v>
      </c>
      <c r="H95" s="228">
        <f t="shared" si="38"/>
        <v>126.0316</v>
      </c>
      <c r="I95" s="220">
        <f>H94*$I$24/100</f>
        <v>0.305424105</v>
      </c>
      <c r="J95" s="231">
        <f t="shared" si="39"/>
        <v>164.3528</v>
      </c>
      <c r="K95" s="220">
        <f>J94*$K$24/100</f>
        <v>0.261320952</v>
      </c>
      <c r="R95" s="160"/>
      <c r="S95" s="160"/>
    </row>
    <row r="96" spans="1:19" s="165" customFormat="1" ht="12.75">
      <c r="A96" s="221">
        <v>43008</v>
      </c>
      <c r="B96" s="223">
        <v>6</v>
      </c>
      <c r="C96" s="228">
        <f t="shared" si="36"/>
        <v>124.74930000000001</v>
      </c>
      <c r="D96" s="220">
        <f>C95*$D$31/100</f>
        <v>1.068722806</v>
      </c>
      <c r="E96" s="231">
        <f t="shared" si="37"/>
        <v>148.18719999999999</v>
      </c>
      <c r="F96" s="220">
        <f>E95*$F$31/100</f>
        <v>0.57496633599999991</v>
      </c>
      <c r="G96" s="223">
        <v>6</v>
      </c>
      <c r="H96" s="228">
        <f t="shared" si="38"/>
        <v>127.4003</v>
      </c>
      <c r="I96" s="220">
        <f>H95*$I$24/100</f>
        <v>0.30877741999999997</v>
      </c>
      <c r="J96" s="231">
        <f t="shared" si="39"/>
        <v>164.3528</v>
      </c>
      <c r="K96" s="220">
        <f>J95*$K$24/100</f>
        <v>0.261320952</v>
      </c>
      <c r="R96" s="160"/>
      <c r="S96" s="160"/>
    </row>
    <row r="97" spans="1:19" s="165" customFormat="1" ht="12.75">
      <c r="A97" s="221"/>
      <c r="B97" s="235"/>
      <c r="C97" s="236">
        <f>C18</f>
        <v>0</v>
      </c>
      <c r="D97" s="237"/>
      <c r="E97" s="236">
        <f>D18</f>
        <v>0</v>
      </c>
      <c r="F97" s="237"/>
      <c r="G97" s="235"/>
      <c r="H97" s="236">
        <f>C97</f>
        <v>0</v>
      </c>
      <c r="I97" s="237"/>
      <c r="J97" s="236">
        <f>E97</f>
        <v>0</v>
      </c>
      <c r="K97" s="237"/>
      <c r="R97" s="160"/>
      <c r="S97" s="160"/>
    </row>
    <row r="98" spans="1:19" s="165" customFormat="1" ht="12.75">
      <c r="A98" s="221">
        <v>43039</v>
      </c>
      <c r="B98" s="218">
        <v>1</v>
      </c>
      <c r="C98" s="228">
        <f t="shared" ref="C98:C103" si="40">ROUND($C$96*(1+(B98*$C$97/12)),4)</f>
        <v>124.74930000000001</v>
      </c>
      <c r="D98" s="220">
        <f>C96*$D$31/100</f>
        <v>1.0803289380000001</v>
      </c>
      <c r="E98" s="231">
        <f t="shared" ref="E98:E103" si="41">ROUND($E$96*(1+(B98*$E$97/12)),4)</f>
        <v>148.18719999999999</v>
      </c>
      <c r="F98" s="220">
        <f>E96*$F$31/100</f>
        <v>0.57496633599999991</v>
      </c>
      <c r="G98" s="218">
        <v>1</v>
      </c>
      <c r="H98" s="228">
        <f t="shared" ref="H98:H103" si="42">ROUND($H$96*(1+(G98*$H$97/12)),4)</f>
        <v>127.4003</v>
      </c>
      <c r="I98" s="220">
        <f>H96*$I$24/100</f>
        <v>0.31213073499999999</v>
      </c>
      <c r="J98" s="231">
        <f t="shared" ref="J98:J103" si="43">ROUND($J$96*(1+(G98*$J$97/12)),4)</f>
        <v>164.3528</v>
      </c>
      <c r="K98" s="220">
        <f>J96*$K$24/100</f>
        <v>0.261320952</v>
      </c>
      <c r="R98" s="160"/>
      <c r="S98" s="160"/>
    </row>
    <row r="99" spans="1:19" s="165" customFormat="1" ht="12.75">
      <c r="A99" s="221">
        <v>43069</v>
      </c>
      <c r="B99" s="218">
        <v>2</v>
      </c>
      <c r="C99" s="228">
        <f t="shared" si="40"/>
        <v>124.74930000000001</v>
      </c>
      <c r="D99" s="220">
        <f>C98*$D$31/100</f>
        <v>1.0803289380000001</v>
      </c>
      <c r="E99" s="231">
        <f t="shared" si="41"/>
        <v>148.18719999999999</v>
      </c>
      <c r="F99" s="220">
        <f>E98*$F$31/100</f>
        <v>0.57496633599999991</v>
      </c>
      <c r="G99" s="218">
        <v>2</v>
      </c>
      <c r="H99" s="228">
        <f t="shared" si="42"/>
        <v>127.4003</v>
      </c>
      <c r="I99" s="220">
        <f>H98*$I$24/100</f>
        <v>0.31213073499999999</v>
      </c>
      <c r="J99" s="231">
        <f t="shared" si="43"/>
        <v>164.3528</v>
      </c>
      <c r="K99" s="220">
        <f>J98*$K$24/100</f>
        <v>0.261320952</v>
      </c>
      <c r="R99" s="160"/>
      <c r="S99" s="160"/>
    </row>
    <row r="100" spans="1:19" s="165" customFormat="1" ht="12.75">
      <c r="A100" s="221">
        <v>43100</v>
      </c>
      <c r="B100" s="218">
        <v>3</v>
      </c>
      <c r="C100" s="228">
        <f t="shared" si="40"/>
        <v>124.74930000000001</v>
      </c>
      <c r="D100" s="220">
        <f>C99*$D$31/100</f>
        <v>1.0803289380000001</v>
      </c>
      <c r="E100" s="231">
        <f t="shared" si="41"/>
        <v>148.18719999999999</v>
      </c>
      <c r="F100" s="220">
        <f>E99*$F$31/100</f>
        <v>0.57496633599999991</v>
      </c>
      <c r="G100" s="218">
        <v>3</v>
      </c>
      <c r="H100" s="228">
        <f t="shared" si="42"/>
        <v>127.4003</v>
      </c>
      <c r="I100" s="220">
        <f>H99*$I$24/100</f>
        <v>0.31213073499999999</v>
      </c>
      <c r="J100" s="231">
        <f t="shared" si="43"/>
        <v>164.3528</v>
      </c>
      <c r="K100" s="220">
        <f>J99*$K$24/100</f>
        <v>0.261320952</v>
      </c>
      <c r="R100" s="160"/>
      <c r="S100" s="160"/>
    </row>
    <row r="101" spans="1:19" s="165" customFormat="1" ht="12.75">
      <c r="A101" s="221">
        <v>43131</v>
      </c>
      <c r="B101" s="218">
        <v>4</v>
      </c>
      <c r="C101" s="228">
        <f t="shared" si="40"/>
        <v>124.74930000000001</v>
      </c>
      <c r="D101" s="220">
        <f>C100*$D$31/100</f>
        <v>1.0803289380000001</v>
      </c>
      <c r="E101" s="231">
        <f t="shared" si="41"/>
        <v>148.18719999999999</v>
      </c>
      <c r="F101" s="220">
        <f>E100*$F$31/100</f>
        <v>0.57496633599999991</v>
      </c>
      <c r="G101" s="218">
        <v>4</v>
      </c>
      <c r="H101" s="228">
        <f t="shared" si="42"/>
        <v>127.4003</v>
      </c>
      <c r="I101" s="220">
        <f>H100*$I$24/100</f>
        <v>0.31213073499999999</v>
      </c>
      <c r="J101" s="231">
        <f t="shared" si="43"/>
        <v>164.3528</v>
      </c>
      <c r="K101" s="220">
        <f>J100*$K$24/100</f>
        <v>0.261320952</v>
      </c>
      <c r="R101" s="160"/>
      <c r="S101" s="160"/>
    </row>
    <row r="102" spans="1:19" s="165" customFormat="1" ht="12.75">
      <c r="A102" s="221">
        <v>43159</v>
      </c>
      <c r="B102" s="223">
        <v>5</v>
      </c>
      <c r="C102" s="228">
        <f t="shared" si="40"/>
        <v>124.74930000000001</v>
      </c>
      <c r="D102" s="220">
        <f>C101*$D$31/100</f>
        <v>1.0803289380000001</v>
      </c>
      <c r="E102" s="231">
        <f t="shared" si="41"/>
        <v>148.18719999999999</v>
      </c>
      <c r="F102" s="220">
        <f>E101*$F$31/100</f>
        <v>0.57496633599999991</v>
      </c>
      <c r="G102" s="223">
        <v>5</v>
      </c>
      <c r="H102" s="228">
        <f t="shared" si="42"/>
        <v>127.4003</v>
      </c>
      <c r="I102" s="220">
        <f>H101*$I$24/100</f>
        <v>0.31213073499999999</v>
      </c>
      <c r="J102" s="231">
        <f t="shared" si="43"/>
        <v>164.3528</v>
      </c>
      <c r="K102" s="220">
        <f>J101*$K$24/100</f>
        <v>0.261320952</v>
      </c>
      <c r="R102" s="160"/>
      <c r="S102" s="160"/>
    </row>
    <row r="103" spans="1:19" s="165" customFormat="1" ht="12.75">
      <c r="A103" s="221">
        <v>43190</v>
      </c>
      <c r="B103" s="223">
        <v>6</v>
      </c>
      <c r="C103" s="228">
        <f t="shared" si="40"/>
        <v>124.74930000000001</v>
      </c>
      <c r="D103" s="220">
        <f>C102*$D$31/100</f>
        <v>1.0803289380000001</v>
      </c>
      <c r="E103" s="231">
        <f t="shared" si="41"/>
        <v>148.18719999999999</v>
      </c>
      <c r="F103" s="220">
        <f>E102*$F$31/100</f>
        <v>0.57496633599999991</v>
      </c>
      <c r="G103" s="223">
        <v>6</v>
      </c>
      <c r="H103" s="228">
        <f t="shared" si="42"/>
        <v>127.4003</v>
      </c>
      <c r="I103" s="220">
        <f>H102*$I$24/100</f>
        <v>0.31213073499999999</v>
      </c>
      <c r="J103" s="231">
        <f t="shared" si="43"/>
        <v>164.3528</v>
      </c>
      <c r="K103" s="220">
        <f>J102*$K$24/100</f>
        <v>0.261320952</v>
      </c>
      <c r="R103" s="160"/>
      <c r="S103" s="160"/>
    </row>
    <row r="104" spans="1:19" s="165" customFormat="1" ht="12.75">
      <c r="A104" s="221"/>
      <c r="B104" s="235"/>
      <c r="C104" s="236">
        <f>C19</f>
        <v>0</v>
      </c>
      <c r="D104" s="237"/>
      <c r="E104" s="236">
        <f>D19</f>
        <v>0.81859999999999999</v>
      </c>
      <c r="F104" s="237"/>
      <c r="G104" s="235"/>
      <c r="H104" s="236">
        <f>C104</f>
        <v>0</v>
      </c>
      <c r="I104" s="237"/>
      <c r="J104" s="236">
        <f>E104</f>
        <v>0.81859999999999999</v>
      </c>
      <c r="K104" s="237"/>
      <c r="R104" s="160"/>
      <c r="S104" s="160"/>
    </row>
    <row r="105" spans="1:19" s="165" customFormat="1" ht="12.75">
      <c r="A105" s="221">
        <v>43220</v>
      </c>
      <c r="B105" s="218">
        <v>1</v>
      </c>
      <c r="C105" s="228">
        <f t="shared" ref="C105:C110" si="44">ROUND($C$103*(1+(B105*$C$104/12)),4)</f>
        <v>124.74930000000001</v>
      </c>
      <c r="D105" s="220">
        <f>C103*$D$31/100</f>
        <v>1.0803289380000001</v>
      </c>
      <c r="E105" s="231">
        <f t="shared" ref="E105:E110" si="45">ROUND($E$103*(1+(B105*$E$104/12)),4)</f>
        <v>158.29599999999999</v>
      </c>
      <c r="F105" s="220">
        <f>E103*$F$31/100</f>
        <v>0.57496633599999991</v>
      </c>
      <c r="G105" s="218">
        <v>1</v>
      </c>
      <c r="H105" s="228">
        <f t="shared" ref="H105:H110" si="46">ROUND($H$103*(1+(G105*$H$104/12)),4)</f>
        <v>127.4003</v>
      </c>
      <c r="I105" s="220">
        <f>H103*$I$24/100</f>
        <v>0.31213073499999999</v>
      </c>
      <c r="J105" s="231">
        <f t="shared" ref="J105:J110" si="47">ROUND($J$103*(1+(G105*$J$104/12)),4)</f>
        <v>175.56440000000001</v>
      </c>
      <c r="K105" s="220">
        <f>J103*$K$24/100</f>
        <v>0.261320952</v>
      </c>
      <c r="R105" s="160"/>
      <c r="S105" s="160"/>
    </row>
    <row r="106" spans="1:19" s="165" customFormat="1" ht="12.75">
      <c r="A106" s="221">
        <v>43251</v>
      </c>
      <c r="B106" s="218">
        <v>2</v>
      </c>
      <c r="C106" s="228">
        <f t="shared" si="44"/>
        <v>124.74930000000001</v>
      </c>
      <c r="D106" s="220">
        <f>C105*$D$31/100</f>
        <v>1.0803289380000001</v>
      </c>
      <c r="E106" s="231">
        <f t="shared" si="45"/>
        <v>168.4049</v>
      </c>
      <c r="F106" s="220">
        <f>E105*$F$31/100</f>
        <v>0.61418847999999993</v>
      </c>
      <c r="G106" s="218">
        <v>2</v>
      </c>
      <c r="H106" s="228">
        <f t="shared" si="46"/>
        <v>127.4003</v>
      </c>
      <c r="I106" s="220">
        <f>H105*$I$24/100</f>
        <v>0.31213073499999999</v>
      </c>
      <c r="J106" s="231">
        <f t="shared" si="47"/>
        <v>186.77600000000001</v>
      </c>
      <c r="K106" s="220">
        <f>J105*$K$24/100</f>
        <v>0.27914739599999999</v>
      </c>
      <c r="R106" s="160"/>
      <c r="S106" s="160"/>
    </row>
    <row r="107" spans="1:19" s="165" customFormat="1" ht="12.75">
      <c r="A107" s="221">
        <v>43281</v>
      </c>
      <c r="B107" s="218">
        <v>3</v>
      </c>
      <c r="C107" s="228">
        <f t="shared" si="44"/>
        <v>124.74930000000001</v>
      </c>
      <c r="D107" s="220">
        <f>C106*$D$31/100</f>
        <v>1.0803289380000001</v>
      </c>
      <c r="E107" s="231">
        <f t="shared" si="45"/>
        <v>178.5137</v>
      </c>
      <c r="F107" s="220">
        <f>E106*$F$31/100</f>
        <v>0.65341101199999996</v>
      </c>
      <c r="G107" s="218">
        <v>3</v>
      </c>
      <c r="H107" s="228">
        <f t="shared" si="46"/>
        <v>127.4003</v>
      </c>
      <c r="I107" s="220">
        <f>H106*$I$24/100</f>
        <v>0.31213073499999999</v>
      </c>
      <c r="J107" s="231">
        <f t="shared" si="47"/>
        <v>197.98759999999999</v>
      </c>
      <c r="K107" s="220">
        <f>J106*$K$24/100</f>
        <v>0.29697384000000004</v>
      </c>
      <c r="R107" s="160"/>
      <c r="S107" s="160"/>
    </row>
    <row r="108" spans="1:19" s="165" customFormat="1" ht="12.75">
      <c r="A108" s="221">
        <v>43312</v>
      </c>
      <c r="B108" s="218">
        <v>4</v>
      </c>
      <c r="C108" s="228">
        <f t="shared" si="44"/>
        <v>124.74930000000001</v>
      </c>
      <c r="D108" s="220">
        <f>C107*$D$31/100</f>
        <v>1.0803289380000001</v>
      </c>
      <c r="E108" s="231">
        <f t="shared" si="45"/>
        <v>188.6225</v>
      </c>
      <c r="F108" s="220">
        <f>E107*$F$31/100</f>
        <v>0.69263315599999997</v>
      </c>
      <c r="G108" s="218">
        <v>4</v>
      </c>
      <c r="H108" s="228">
        <f t="shared" si="46"/>
        <v>127.4003</v>
      </c>
      <c r="I108" s="220">
        <f>H107*$I$24/100</f>
        <v>0.31213073499999999</v>
      </c>
      <c r="J108" s="231">
        <f t="shared" si="47"/>
        <v>209.19919999999999</v>
      </c>
      <c r="K108" s="220">
        <f>J107*$K$24/100</f>
        <v>0.31480028399999999</v>
      </c>
      <c r="R108" s="160"/>
      <c r="S108" s="160"/>
    </row>
    <row r="109" spans="1:19" s="165" customFormat="1" ht="12.75">
      <c r="A109" s="221">
        <v>43343</v>
      </c>
      <c r="B109" s="223">
        <v>5</v>
      </c>
      <c r="C109" s="228">
        <f t="shared" si="44"/>
        <v>124.74930000000001</v>
      </c>
      <c r="D109" s="220">
        <f>C108*$D$31/100</f>
        <v>1.0803289380000001</v>
      </c>
      <c r="E109" s="231">
        <f t="shared" si="45"/>
        <v>198.73140000000001</v>
      </c>
      <c r="F109" s="220">
        <f>E108*$F$31/100</f>
        <v>0.73185529999999999</v>
      </c>
      <c r="G109" s="223">
        <v>5</v>
      </c>
      <c r="H109" s="228">
        <f t="shared" si="46"/>
        <v>127.4003</v>
      </c>
      <c r="I109" s="220">
        <f>H108*$I$24/100</f>
        <v>0.31213073499999999</v>
      </c>
      <c r="J109" s="231">
        <f t="shared" si="47"/>
        <v>220.41079999999999</v>
      </c>
      <c r="K109" s="220">
        <f>J108*$K$24/100</f>
        <v>0.33262672799999998</v>
      </c>
      <c r="R109" s="160"/>
      <c r="S109" s="160"/>
    </row>
    <row r="110" spans="1:19" s="165" customFormat="1" ht="12.75">
      <c r="A110" s="221">
        <v>43373</v>
      </c>
      <c r="B110" s="223">
        <v>6</v>
      </c>
      <c r="C110" s="228">
        <f t="shared" si="44"/>
        <v>124.74930000000001</v>
      </c>
      <c r="D110" s="220">
        <f>C109*$D$31/100</f>
        <v>1.0803289380000001</v>
      </c>
      <c r="E110" s="231">
        <f t="shared" si="45"/>
        <v>208.84020000000001</v>
      </c>
      <c r="F110" s="220">
        <f>E109*$F$31/100</f>
        <v>0.77107783200000002</v>
      </c>
      <c r="G110" s="223">
        <v>6</v>
      </c>
      <c r="H110" s="228">
        <f t="shared" si="46"/>
        <v>127.4003</v>
      </c>
      <c r="I110" s="220">
        <f>H109*$I$24/100</f>
        <v>0.31213073499999999</v>
      </c>
      <c r="J110" s="231">
        <f t="shared" si="47"/>
        <v>231.6224</v>
      </c>
      <c r="K110" s="220">
        <f>J109*$K$24/100</f>
        <v>0.35045317199999998</v>
      </c>
      <c r="L110" s="242"/>
      <c r="M110" s="242"/>
      <c r="R110" s="160"/>
      <c r="S110" s="160"/>
    </row>
    <row r="111" spans="1:19" s="165" customFormat="1" ht="12.75">
      <c r="A111" s="221"/>
      <c r="B111" s="235"/>
      <c r="C111" s="263">
        <f>C20</f>
        <v>0.21659999999999999</v>
      </c>
      <c r="D111" s="237"/>
      <c r="E111" s="263">
        <f>D20</f>
        <v>0.44109999999999999</v>
      </c>
      <c r="F111" s="237"/>
      <c r="G111" s="235"/>
      <c r="H111" s="263">
        <f>C111</f>
        <v>0.21659999999999999</v>
      </c>
      <c r="I111" s="237"/>
      <c r="J111" s="263">
        <f>E111</f>
        <v>0.44109999999999999</v>
      </c>
      <c r="K111" s="237"/>
      <c r="L111" s="242"/>
      <c r="M111" s="242"/>
      <c r="R111" s="160"/>
      <c r="S111" s="160"/>
    </row>
    <row r="112" spans="1:19" s="165" customFormat="1" ht="12.75">
      <c r="A112" s="221">
        <v>43404</v>
      </c>
      <c r="B112" s="218">
        <v>1</v>
      </c>
      <c r="C112" s="228">
        <f>ROUND($C$110*(1+(B112*$C$111/12)),4)</f>
        <v>127.001</v>
      </c>
      <c r="D112" s="220">
        <f>C110*$D$31/100</f>
        <v>1.0803289380000001</v>
      </c>
      <c r="E112" s="231">
        <f>ROUND($E$110*(1+(B112*$E$111/12)),4)</f>
        <v>216.51679999999999</v>
      </c>
      <c r="F112" s="220">
        <f>E110*$F$31/100</f>
        <v>0.81029997600000003</v>
      </c>
      <c r="G112" s="218">
        <v>1</v>
      </c>
      <c r="H112" s="228">
        <f>ROUND($H$110*(1+(G112*$H$111/12)),4)</f>
        <v>129.69990000000001</v>
      </c>
      <c r="I112" s="220">
        <f>H110*$I$24/100</f>
        <v>0.31213073499999999</v>
      </c>
      <c r="J112" s="231">
        <f>ROUND($J$110*(1+(G112*$J$111/12)),4)</f>
        <v>240.13650000000001</v>
      </c>
      <c r="K112" s="220">
        <f>J110*$K$24/100</f>
        <v>0.36827961600000003</v>
      </c>
      <c r="L112" s="242"/>
      <c r="M112" s="242"/>
      <c r="R112" s="160"/>
      <c r="S112" s="160"/>
    </row>
    <row r="113" spans="1:19" s="165" customFormat="1" ht="12.75">
      <c r="A113" s="221">
        <v>43434</v>
      </c>
      <c r="B113" s="218">
        <v>2</v>
      </c>
      <c r="C113" s="228">
        <f t="shared" ref="C113:C117" si="48">ROUND($C$110*(1+(B113*$C$111/12)),4)</f>
        <v>129.2527</v>
      </c>
      <c r="D113" s="220">
        <f>C112*$D$31/100</f>
        <v>1.09982866</v>
      </c>
      <c r="E113" s="231">
        <f t="shared" ref="E113:E117" si="49">ROUND($E$110*(1+(B113*$E$111/12)),4)</f>
        <v>224.1934</v>
      </c>
      <c r="F113" s="220">
        <f>E112*$F$31/100</f>
        <v>0.84008518399999998</v>
      </c>
      <c r="G113" s="218">
        <v>2</v>
      </c>
      <c r="H113" s="228">
        <f t="shared" ref="H113:H117" si="50">ROUND($H$110*(1+(G113*$H$111/12)),4)</f>
        <v>131.99950000000001</v>
      </c>
      <c r="I113" s="220">
        <f>H112*$I$24/100</f>
        <v>0.31776475500000001</v>
      </c>
      <c r="J113" s="231">
        <f t="shared" ref="J113:J117" si="51">ROUND($J$110*(1+(G113*$J$111/12)),4)</f>
        <v>248.65049999999999</v>
      </c>
      <c r="K113" s="220">
        <f>J112*$K$24/100</f>
        <v>0.38181703500000003</v>
      </c>
      <c r="L113" s="242"/>
      <c r="M113" s="242"/>
      <c r="R113" s="160"/>
      <c r="S113" s="160"/>
    </row>
    <row r="114" spans="1:19" s="165" customFormat="1" ht="12.75">
      <c r="A114" s="221">
        <v>43465</v>
      </c>
      <c r="B114" s="218">
        <v>3</v>
      </c>
      <c r="C114" s="228">
        <f t="shared" si="48"/>
        <v>131.50450000000001</v>
      </c>
      <c r="D114" s="220">
        <f>C113*$D$31/100</f>
        <v>1.119328382</v>
      </c>
      <c r="E114" s="231">
        <f t="shared" si="49"/>
        <v>231.87010000000001</v>
      </c>
      <c r="F114" s="220">
        <f>E113*$F$31/100</f>
        <v>0.86987039199999994</v>
      </c>
      <c r="G114" s="218">
        <v>3</v>
      </c>
      <c r="H114" s="228">
        <f t="shared" si="50"/>
        <v>134.29900000000001</v>
      </c>
      <c r="I114" s="220">
        <f>H113*$I$24/100</f>
        <v>0.32339877500000003</v>
      </c>
      <c r="J114" s="231">
        <f t="shared" si="51"/>
        <v>257.16460000000001</v>
      </c>
      <c r="K114" s="220">
        <f>J113*$K$24/100</f>
        <v>0.39535429499999997</v>
      </c>
      <c r="L114" s="242"/>
      <c r="M114" s="242"/>
      <c r="R114" s="160"/>
      <c r="S114" s="160"/>
    </row>
    <row r="115" spans="1:19" s="165" customFormat="1" ht="12.75">
      <c r="A115" s="221">
        <v>43496</v>
      </c>
      <c r="B115" s="218">
        <v>4</v>
      </c>
      <c r="C115" s="228">
        <f t="shared" si="48"/>
        <v>133.75620000000001</v>
      </c>
      <c r="D115" s="220">
        <f>C114*$D$31/100</f>
        <v>1.1388289700000001</v>
      </c>
      <c r="E115" s="231">
        <f t="shared" si="49"/>
        <v>239.54669999999999</v>
      </c>
      <c r="F115" s="220">
        <f>E114*$F$31/100</f>
        <v>0.89965598800000013</v>
      </c>
      <c r="G115" s="218">
        <v>4</v>
      </c>
      <c r="H115" s="228">
        <f t="shared" si="50"/>
        <v>136.5986</v>
      </c>
      <c r="I115" s="220">
        <f>H114*$I$24/100</f>
        <v>0.32903255000000003</v>
      </c>
      <c r="J115" s="231">
        <f t="shared" si="51"/>
        <v>265.67860000000002</v>
      </c>
      <c r="K115" s="220">
        <f>J114*$K$24/100</f>
        <v>0.40889171400000002</v>
      </c>
      <c r="L115" s="242"/>
      <c r="M115" s="242"/>
      <c r="R115" s="160"/>
      <c r="S115" s="160"/>
    </row>
    <row r="116" spans="1:19" s="165" customFormat="1" ht="12.75">
      <c r="A116" s="221">
        <v>43524</v>
      </c>
      <c r="B116" s="223">
        <v>5</v>
      </c>
      <c r="C116" s="228">
        <f t="shared" si="48"/>
        <v>136.00790000000001</v>
      </c>
      <c r="D116" s="220">
        <f>C115*$D$31/100</f>
        <v>1.158328692</v>
      </c>
      <c r="E116" s="231">
        <f t="shared" si="49"/>
        <v>247.22329999999999</v>
      </c>
      <c r="F116" s="220">
        <f>E115*$F$31/100</f>
        <v>0.92944119599999997</v>
      </c>
      <c r="G116" s="223">
        <v>5</v>
      </c>
      <c r="H116" s="228">
        <f t="shared" si="50"/>
        <v>138.8982</v>
      </c>
      <c r="I116" s="220">
        <f>H115*$I$24/100</f>
        <v>0.33466657</v>
      </c>
      <c r="J116" s="231">
        <f t="shared" si="51"/>
        <v>274.1927</v>
      </c>
      <c r="K116" s="220">
        <f>J115*$K$24/100</f>
        <v>0.42242897400000001</v>
      </c>
      <c r="L116" s="242"/>
      <c r="M116" s="242"/>
      <c r="R116" s="160"/>
      <c r="S116" s="160"/>
    </row>
    <row r="117" spans="1:19" s="165" customFormat="1" ht="12.75">
      <c r="A117" s="221">
        <v>43555</v>
      </c>
      <c r="B117" s="223">
        <v>6</v>
      </c>
      <c r="C117" s="228">
        <f t="shared" si="48"/>
        <v>138.25960000000001</v>
      </c>
      <c r="D117" s="220">
        <f>C116*$D$31/100</f>
        <v>1.1778284140000002</v>
      </c>
      <c r="E117" s="231">
        <f t="shared" si="49"/>
        <v>254.8999</v>
      </c>
      <c r="F117" s="220">
        <f>E116*$F$31/100</f>
        <v>0.95922640400000003</v>
      </c>
      <c r="G117" s="223">
        <v>6</v>
      </c>
      <c r="H117" s="228">
        <f t="shared" si="50"/>
        <v>141.1978</v>
      </c>
      <c r="I117" s="220">
        <f>H116*$I$24/100</f>
        <v>0.34030059000000001</v>
      </c>
      <c r="J117" s="231">
        <f t="shared" si="51"/>
        <v>282.70670000000001</v>
      </c>
      <c r="K117" s="220">
        <f>J116*$K$24/100</f>
        <v>0.43596639300000001</v>
      </c>
      <c r="L117" s="242"/>
      <c r="M117" s="242"/>
      <c r="R117" s="160"/>
      <c r="S117" s="160"/>
    </row>
    <row r="118" spans="1:19" s="165" customFormat="1" ht="12.75">
      <c r="A118" s="221"/>
      <c r="B118" s="235"/>
      <c r="C118" s="263">
        <f>C21</f>
        <v>8.8000000000000005E-3</v>
      </c>
      <c r="D118" s="237"/>
      <c r="E118" s="263">
        <f>D21</f>
        <v>8.5199999999999998E-2</v>
      </c>
      <c r="F118" s="237"/>
      <c r="G118" s="235"/>
      <c r="H118" s="263">
        <f>C118</f>
        <v>8.8000000000000005E-3</v>
      </c>
      <c r="I118" s="237"/>
      <c r="J118" s="263">
        <f>E118</f>
        <v>8.5199999999999998E-2</v>
      </c>
      <c r="K118" s="237"/>
      <c r="L118" s="242"/>
      <c r="M118" s="242"/>
      <c r="R118" s="160"/>
      <c r="S118" s="160"/>
    </row>
    <row r="119" spans="1:19" s="165" customFormat="1" ht="12.75">
      <c r="A119" s="221">
        <v>43585</v>
      </c>
      <c r="B119" s="218">
        <v>1</v>
      </c>
      <c r="C119" s="228">
        <f t="shared" ref="C119:C124" si="52">ROUND($C$117*(1+(B119*$C$118/12)),4)</f>
        <v>138.36099999999999</v>
      </c>
      <c r="D119" s="220">
        <f>C117*$D$31/100</f>
        <v>1.1973281360000001</v>
      </c>
      <c r="E119" s="231">
        <f t="shared" ref="E119:E124" si="53">ROUND($E$117*(1+(B119*$E$118/12)),4)</f>
        <v>256.7097</v>
      </c>
      <c r="F119" s="220">
        <f>E117*$F$31/100</f>
        <v>0.9890116120000001</v>
      </c>
      <c r="G119" s="218">
        <v>1</v>
      </c>
      <c r="H119" s="228">
        <f t="shared" ref="H119:H124" si="54">ROUND($H$117*(1+(G119*$H$118/12)),4)</f>
        <v>141.3013</v>
      </c>
      <c r="I119" s="220">
        <f>H117*$I$24/100</f>
        <v>0.34593460999999998</v>
      </c>
      <c r="J119" s="231">
        <f t="shared" ref="J119:J124" si="55">ROUND($J$117*(1+(G119*$J$118/12)),4)</f>
        <v>284.71390000000002</v>
      </c>
      <c r="K119" s="220">
        <f>J117*$K$24/100</f>
        <v>0.449503653</v>
      </c>
      <c r="L119" s="242"/>
      <c r="M119" s="242"/>
      <c r="R119" s="160"/>
      <c r="S119" s="160"/>
    </row>
    <row r="120" spans="1:19" s="165" customFormat="1" ht="12.75">
      <c r="A120" s="221">
        <v>43616</v>
      </c>
      <c r="B120" s="218">
        <v>2</v>
      </c>
      <c r="C120" s="228">
        <f t="shared" si="52"/>
        <v>138.4624</v>
      </c>
      <c r="D120" s="220">
        <f>C119*$D$31/100</f>
        <v>1.1982062599999999</v>
      </c>
      <c r="E120" s="231">
        <f t="shared" si="53"/>
        <v>258.51949999999999</v>
      </c>
      <c r="F120" s="220">
        <f>E119*$F$31/100</f>
        <v>0.99603363600000006</v>
      </c>
      <c r="G120" s="218">
        <v>2</v>
      </c>
      <c r="H120" s="228">
        <f t="shared" si="54"/>
        <v>141.4049</v>
      </c>
      <c r="I120" s="220">
        <f>H119*$I$24/100</f>
        <v>0.34618818499999998</v>
      </c>
      <c r="J120" s="231">
        <f t="shared" si="55"/>
        <v>286.72109999999998</v>
      </c>
      <c r="K120" s="220">
        <f>J119*$K$24/100</f>
        <v>0.45269510100000004</v>
      </c>
      <c r="L120" s="242"/>
      <c r="M120" s="242"/>
      <c r="R120" s="160"/>
      <c r="S120" s="160"/>
    </row>
    <row r="121" spans="1:19" s="165" customFormat="1" ht="12.75">
      <c r="A121" s="221">
        <v>43646</v>
      </c>
      <c r="B121" s="218">
        <v>3</v>
      </c>
      <c r="C121" s="228">
        <f t="shared" si="52"/>
        <v>138.56379999999999</v>
      </c>
      <c r="D121" s="220">
        <f>C120*$D$31/100</f>
        <v>1.1990843839999998</v>
      </c>
      <c r="E121" s="231">
        <f t="shared" si="53"/>
        <v>260.32929999999999</v>
      </c>
      <c r="F121" s="220">
        <f>E120*$F$31/100</f>
        <v>1.00305566</v>
      </c>
      <c r="G121" s="218">
        <v>3</v>
      </c>
      <c r="H121" s="228">
        <f t="shared" si="54"/>
        <v>141.50839999999999</v>
      </c>
      <c r="I121" s="220">
        <f>H120*$I$24/100</f>
        <v>0.34644200499999994</v>
      </c>
      <c r="J121" s="231">
        <f t="shared" si="55"/>
        <v>288.72840000000002</v>
      </c>
      <c r="K121" s="220">
        <f>J120*$K$24/100</f>
        <v>0.45588654899999992</v>
      </c>
      <c r="L121" s="242"/>
      <c r="M121" s="242"/>
      <c r="R121" s="160"/>
      <c r="S121" s="160"/>
    </row>
    <row r="122" spans="1:19" s="165" customFormat="1" ht="12.75">
      <c r="A122" s="221">
        <v>43677</v>
      </c>
      <c r="B122" s="218">
        <v>4</v>
      </c>
      <c r="C122" s="228">
        <f t="shared" si="52"/>
        <v>138.6652</v>
      </c>
      <c r="D122" s="220">
        <f>C121*$D$31/100</f>
        <v>1.1999625079999998</v>
      </c>
      <c r="E122" s="231">
        <f t="shared" si="53"/>
        <v>262.13909999999998</v>
      </c>
      <c r="F122" s="220">
        <f>E121*$F$31/100</f>
        <v>1.0100776840000001</v>
      </c>
      <c r="G122" s="218">
        <v>4</v>
      </c>
      <c r="H122" s="228">
        <f t="shared" si="54"/>
        <v>141.61199999999999</v>
      </c>
      <c r="I122" s="220">
        <f>H121*$I$24/100</f>
        <v>0.34669557999999995</v>
      </c>
      <c r="J122" s="231">
        <f t="shared" si="55"/>
        <v>290.73559999999998</v>
      </c>
      <c r="K122" s="220">
        <f>J121*$K$24/100</f>
        <v>0.45907815600000007</v>
      </c>
      <c r="L122" s="242"/>
      <c r="M122" s="242"/>
      <c r="R122" s="160"/>
      <c r="S122" s="160"/>
    </row>
    <row r="123" spans="1:19" s="165" customFormat="1" ht="12.75">
      <c r="A123" s="221">
        <v>43708</v>
      </c>
      <c r="B123" s="223">
        <v>5</v>
      </c>
      <c r="C123" s="228">
        <f t="shared" si="52"/>
        <v>138.76660000000001</v>
      </c>
      <c r="D123" s="220">
        <f>C122*$D$31/100</f>
        <v>1.200840632</v>
      </c>
      <c r="E123" s="231">
        <f t="shared" si="53"/>
        <v>263.94880000000001</v>
      </c>
      <c r="F123" s="220">
        <f>E122*$F$31/100</f>
        <v>1.0170997079999999</v>
      </c>
      <c r="G123" s="223">
        <v>5</v>
      </c>
      <c r="H123" s="228">
        <f t="shared" si="54"/>
        <v>141.71549999999999</v>
      </c>
      <c r="I123" s="220">
        <f>H122*$I$24/100</f>
        <v>0.34694939999999996</v>
      </c>
      <c r="J123" s="231">
        <f t="shared" si="55"/>
        <v>292.74279999999999</v>
      </c>
      <c r="K123" s="220">
        <f>J122*$K$24/100</f>
        <v>0.46226960399999995</v>
      </c>
      <c r="L123" s="242"/>
      <c r="M123" s="242"/>
      <c r="R123" s="160"/>
      <c r="S123" s="160"/>
    </row>
    <row r="124" spans="1:19" s="165" customFormat="1" ht="12.75">
      <c r="A124" s="221">
        <v>43738</v>
      </c>
      <c r="B124" s="223">
        <v>6</v>
      </c>
      <c r="C124" s="228">
        <f t="shared" si="52"/>
        <v>138.86789999999999</v>
      </c>
      <c r="D124" s="220">
        <f>C123*$D$31/100</f>
        <v>1.201718756</v>
      </c>
      <c r="E124" s="231">
        <f t="shared" si="53"/>
        <v>265.7586</v>
      </c>
      <c r="F124" s="220">
        <f>E123*$F$31/100</f>
        <v>1.0241213440000001</v>
      </c>
      <c r="G124" s="223">
        <v>6</v>
      </c>
      <c r="H124" s="228">
        <f t="shared" si="54"/>
        <v>141.81909999999999</v>
      </c>
      <c r="I124" s="220">
        <f>H123*$I$24/100</f>
        <v>0.34720297499999991</v>
      </c>
      <c r="J124" s="231">
        <f t="shared" si="55"/>
        <v>294.75</v>
      </c>
      <c r="K124" s="220">
        <f>J123*$K$24/100</f>
        <v>0.46546105199999999</v>
      </c>
      <c r="L124" s="242"/>
      <c r="M124" s="242"/>
      <c r="R124" s="160"/>
      <c r="S124" s="160"/>
    </row>
    <row r="125" spans="1:19" s="165" customFormat="1" ht="12.75">
      <c r="A125" s="461"/>
      <c r="B125" s="462"/>
      <c r="C125" s="463"/>
      <c r="D125" s="464"/>
      <c r="E125" s="465"/>
      <c r="F125" s="464"/>
      <c r="G125" s="462"/>
      <c r="H125" s="463"/>
      <c r="I125" s="464"/>
      <c r="J125" s="465"/>
      <c r="K125" s="464"/>
      <c r="L125" s="242"/>
      <c r="M125" s="242"/>
      <c r="R125" s="160"/>
      <c r="S125" s="160"/>
    </row>
    <row r="126" spans="1:19" s="165" customFormat="1" ht="12.75">
      <c r="A126" s="461"/>
      <c r="B126" s="462"/>
      <c r="C126" s="463"/>
      <c r="D126" s="464"/>
      <c r="E126" s="465"/>
      <c r="F126" s="464"/>
      <c r="G126" s="462"/>
      <c r="H126" s="463"/>
      <c r="I126" s="464"/>
      <c r="J126" s="465"/>
      <c r="K126" s="464"/>
      <c r="L126" s="242"/>
      <c r="M126" s="242"/>
      <c r="R126" s="160"/>
      <c r="S126" s="160"/>
    </row>
    <row r="127" spans="1:19" s="165" customFormat="1" ht="12.75">
      <c r="A127" s="164"/>
      <c r="B127" s="163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</row>
    <row r="128" spans="1:19" s="165" customFormat="1" ht="15.75">
      <c r="A128" s="22"/>
      <c r="B128" s="44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</row>
  </sheetData>
  <mergeCells count="3">
    <mergeCell ref="B22:F22"/>
    <mergeCell ref="G22:K22"/>
    <mergeCell ref="A5:B5"/>
  </mergeCells>
  <pageMargins left="0.7" right="0.7" top="0.75" bottom="0.75" header="0.3" footer="0.3"/>
  <pageSetup paperSize="9" orientation="landscape" r:id="rId1"/>
  <ignoredErrors>
    <ignoredError sqref="F111:K111 D111 C111 E111 C118:J11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412"/>
  <sheetViews>
    <sheetView topLeftCell="A146" workbookViewId="0">
      <selection activeCell="H162" sqref="H162"/>
    </sheetView>
  </sheetViews>
  <sheetFormatPr defaultRowHeight="12.75" outlineLevelRow="1"/>
  <cols>
    <col min="1" max="1" width="5.140625" style="1" customWidth="1"/>
    <col min="2" max="2" width="48.140625" style="1" bestFit="1" customWidth="1"/>
    <col min="3" max="3" width="15" style="1" customWidth="1"/>
    <col min="4" max="4" width="12.5703125" style="325" customWidth="1"/>
    <col min="5" max="5" width="10.7109375" style="1" customWidth="1"/>
    <col min="6" max="6" width="12" style="1" customWidth="1"/>
    <col min="7" max="7" width="13.42578125" style="1" customWidth="1"/>
    <col min="8" max="8" width="13.28515625" style="1" customWidth="1"/>
    <col min="9" max="9" width="12.85546875" style="1" customWidth="1"/>
    <col min="10" max="10" width="11.28515625" style="1" bestFit="1" customWidth="1"/>
    <col min="11" max="79" width="11.42578125" style="1" bestFit="1" customWidth="1"/>
    <col min="80" max="84" width="11.42578125" style="1" customWidth="1"/>
    <col min="85" max="85" width="11.42578125" style="1" bestFit="1" customWidth="1"/>
    <col min="86" max="16384" width="9.140625" style="1"/>
  </cols>
  <sheetData>
    <row r="1" spans="1:85" ht="18.75">
      <c r="A1" s="21" t="s">
        <v>29</v>
      </c>
      <c r="B1" s="279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</row>
    <row r="2" spans="1:85" ht="18.75">
      <c r="A2" s="21" t="s">
        <v>388</v>
      </c>
      <c r="B2" s="280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</row>
    <row r="3" spans="1:85">
      <c r="A3" s="62"/>
      <c r="B3" s="62"/>
      <c r="C3" s="62"/>
      <c r="D3" s="11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</row>
    <row r="4" spans="1:85" ht="16.5" thickBot="1">
      <c r="A4" s="109" t="s">
        <v>389</v>
      </c>
      <c r="B4" s="282"/>
      <c r="C4" s="283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</row>
    <row r="5" spans="1:85" ht="13.5" thickTop="1">
      <c r="A5" s="62" t="s">
        <v>390</v>
      </c>
      <c r="B5" s="62"/>
      <c r="C5" s="520">
        <v>44104</v>
      </c>
      <c r="D5" s="11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</row>
    <row r="6" spans="1:85">
      <c r="A6" s="62" t="s">
        <v>391</v>
      </c>
      <c r="B6" s="62"/>
      <c r="C6" s="285">
        <v>22</v>
      </c>
      <c r="D6" s="11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</row>
    <row r="7" spans="1:85">
      <c r="A7" s="62" t="s">
        <v>392</v>
      </c>
      <c r="B7" s="62"/>
      <c r="C7" s="285">
        <v>24</v>
      </c>
      <c r="D7" s="11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</row>
    <row r="8" spans="1:85">
      <c r="A8" s="62" t="s">
        <v>393</v>
      </c>
      <c r="B8" s="62"/>
      <c r="C8" s="520">
        <f>EOMONTH(C5,C6)</f>
        <v>44773</v>
      </c>
      <c r="D8" s="11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</row>
    <row r="9" spans="1:85">
      <c r="A9" s="62" t="s">
        <v>394</v>
      </c>
      <c r="B9" s="62"/>
      <c r="C9" s="520">
        <f>EOMONTH(C5,C7)</f>
        <v>44834</v>
      </c>
      <c r="D9" s="11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</row>
    <row r="10" spans="1:85">
      <c r="A10" s="62"/>
      <c r="B10" s="62"/>
      <c r="C10" s="286"/>
      <c r="D10" s="11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</row>
    <row r="11" spans="1:85" ht="16.5" thickBot="1">
      <c r="A11" s="109" t="s">
        <v>395</v>
      </c>
      <c r="B11" s="282"/>
      <c r="C11" s="283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</row>
    <row r="12" spans="1:85" ht="13.5" thickTop="1">
      <c r="A12" s="287" t="s">
        <v>396</v>
      </c>
      <c r="B12" s="288"/>
      <c r="C12" s="288"/>
      <c r="D12" s="289"/>
      <c r="E12" s="288"/>
      <c r="F12" s="287"/>
      <c r="G12" s="288"/>
      <c r="H12" s="288"/>
      <c r="I12" s="288"/>
      <c r="J12" s="288"/>
      <c r="K12" s="288"/>
      <c r="L12" s="288"/>
      <c r="M12" s="288"/>
      <c r="N12" s="288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</row>
    <row r="13" spans="1:85">
      <c r="A13" s="62"/>
      <c r="B13" s="62"/>
      <c r="C13" s="286"/>
      <c r="D13" s="11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</row>
    <row r="14" spans="1:85">
      <c r="A14" s="62" t="s">
        <v>397</v>
      </c>
      <c r="B14" s="62"/>
      <c r="C14" s="285" t="s">
        <v>398</v>
      </c>
      <c r="D14" s="285">
        <f>19.174*10^6*0+(18.174*10^6)</f>
        <v>18174000</v>
      </c>
      <c r="E14" s="112"/>
      <c r="F14" s="62"/>
      <c r="G14" s="11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</row>
    <row r="15" spans="1:85">
      <c r="A15" s="62" t="s">
        <v>399</v>
      </c>
      <c r="B15" s="62"/>
      <c r="C15" s="285" t="s">
        <v>400</v>
      </c>
      <c r="D15" s="285">
        <f>1665451000*0+1571626000</f>
        <v>1571626000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</row>
    <row r="16" spans="1:85">
      <c r="A16" s="62"/>
      <c r="B16" s="62"/>
      <c r="C16" s="286"/>
      <c r="D16" s="11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</row>
    <row r="17" spans="1:85">
      <c r="A17" s="62" t="s">
        <v>401</v>
      </c>
      <c r="B17" s="62"/>
      <c r="C17" s="285" t="s">
        <v>402</v>
      </c>
      <c r="D17" s="290">
        <v>70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</row>
    <row r="18" spans="1:85">
      <c r="A18" s="62" t="s">
        <v>403</v>
      </c>
      <c r="B18" s="62"/>
      <c r="C18" s="285" t="s">
        <v>404</v>
      </c>
      <c r="D18" s="209">
        <v>0.25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</row>
    <row r="19" spans="1:85">
      <c r="A19" s="62"/>
      <c r="B19" s="62"/>
      <c r="C19" s="286"/>
      <c r="D19" s="11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</row>
    <row r="20" spans="1:85" s="292" customFormat="1">
      <c r="A20" s="291"/>
      <c r="B20" s="291"/>
      <c r="C20" s="652" t="s">
        <v>405</v>
      </c>
      <c r="D20" s="652"/>
      <c r="E20" s="291"/>
      <c r="F20" s="652" t="s">
        <v>406</v>
      </c>
      <c r="G20" s="652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</row>
    <row r="21" spans="1:85" s="292" customFormat="1">
      <c r="A21" s="291" t="s">
        <v>407</v>
      </c>
      <c r="B21" s="291"/>
      <c r="C21" s="293" t="s">
        <v>408</v>
      </c>
      <c r="D21" s="294" t="s">
        <v>409</v>
      </c>
      <c r="E21" s="291"/>
      <c r="F21" s="293" t="s">
        <v>408</v>
      </c>
      <c r="G21" s="294" t="s">
        <v>409</v>
      </c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</row>
    <row r="22" spans="1:85">
      <c r="A22" s="62" t="s">
        <v>410</v>
      </c>
      <c r="B22" s="62"/>
      <c r="C22" s="285"/>
      <c r="D22" s="290"/>
      <c r="E22" s="62"/>
      <c r="F22" s="209">
        <v>100</v>
      </c>
      <c r="G22" s="209">
        <v>100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</row>
    <row r="23" spans="1:85">
      <c r="A23" s="62" t="s">
        <v>411</v>
      </c>
      <c r="B23" s="62"/>
      <c r="C23" s="194">
        <v>0.01</v>
      </c>
      <c r="D23" s="194">
        <v>0</v>
      </c>
      <c r="E23" s="62"/>
      <c r="F23" s="209">
        <f>F22*C23</f>
        <v>1</v>
      </c>
      <c r="G23" s="209">
        <v>0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</row>
    <row r="24" spans="1:85">
      <c r="A24" s="62" t="s">
        <v>412</v>
      </c>
      <c r="B24" s="62"/>
      <c r="C24" s="194">
        <v>7.4999999999999997E-2</v>
      </c>
      <c r="D24" s="194">
        <v>0</v>
      </c>
      <c r="E24" s="62"/>
      <c r="F24" s="209">
        <f>SUM(F22:F23)*C24</f>
        <v>7.5749999999999993</v>
      </c>
      <c r="G24" s="209">
        <v>0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</row>
    <row r="25" spans="1:85">
      <c r="A25" s="62" t="s">
        <v>413</v>
      </c>
      <c r="B25" s="62"/>
      <c r="C25" s="194">
        <v>0.1</v>
      </c>
      <c r="D25" s="194">
        <v>0</v>
      </c>
      <c r="E25" s="62"/>
      <c r="F25" s="209">
        <f>SUM(F24)*C25</f>
        <v>0.75749999999999995</v>
      </c>
      <c r="G25" s="209">
        <f>SUM(G23:G24)*D25</f>
        <v>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</row>
    <row r="26" spans="1:85">
      <c r="A26" s="62" t="s">
        <v>414</v>
      </c>
      <c r="B26" s="62"/>
      <c r="C26" s="194">
        <v>0.18</v>
      </c>
      <c r="D26" s="194">
        <v>0.18</v>
      </c>
      <c r="E26" s="62"/>
      <c r="F26" s="209">
        <f>SUM(F22:F25)*C26</f>
        <v>19.679849999999998</v>
      </c>
      <c r="G26" s="209">
        <f>SUM(G22:G25)*D26</f>
        <v>18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</row>
    <row r="27" spans="1:85">
      <c r="A27" s="62"/>
      <c r="B27" s="62"/>
      <c r="C27" s="194"/>
      <c r="D27" s="194"/>
      <c r="E27" s="62"/>
      <c r="F27" s="295">
        <f>SUM(F23:F26)</f>
        <v>29.012349999999998</v>
      </c>
      <c r="G27" s="295">
        <f>SUM(G23:G26)</f>
        <v>18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</row>
    <row r="28" spans="1:85">
      <c r="A28" s="62"/>
      <c r="B28" s="62"/>
      <c r="C28" s="286"/>
      <c r="D28" s="11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</row>
    <row r="29" spans="1:85">
      <c r="A29" s="62"/>
      <c r="B29" s="62"/>
      <c r="C29" s="204">
        <f>C5</f>
        <v>44104</v>
      </c>
      <c r="D29" s="204">
        <f t="shared" ref="D29:AA29" si="0">EOMONTH(C29,1)</f>
        <v>44135</v>
      </c>
      <c r="E29" s="204">
        <f t="shared" si="0"/>
        <v>44165</v>
      </c>
      <c r="F29" s="204">
        <f t="shared" si="0"/>
        <v>44196</v>
      </c>
      <c r="G29" s="204">
        <f t="shared" si="0"/>
        <v>44227</v>
      </c>
      <c r="H29" s="204">
        <f t="shared" si="0"/>
        <v>44255</v>
      </c>
      <c r="I29" s="204">
        <f t="shared" si="0"/>
        <v>44286</v>
      </c>
      <c r="J29" s="204">
        <f t="shared" si="0"/>
        <v>44316</v>
      </c>
      <c r="K29" s="204">
        <f t="shared" si="0"/>
        <v>44347</v>
      </c>
      <c r="L29" s="204">
        <f t="shared" si="0"/>
        <v>44377</v>
      </c>
      <c r="M29" s="204">
        <f t="shared" si="0"/>
        <v>44408</v>
      </c>
      <c r="N29" s="204">
        <f t="shared" si="0"/>
        <v>44439</v>
      </c>
      <c r="O29" s="204">
        <f t="shared" si="0"/>
        <v>44469</v>
      </c>
      <c r="P29" s="204">
        <f t="shared" si="0"/>
        <v>44500</v>
      </c>
      <c r="Q29" s="204">
        <f t="shared" si="0"/>
        <v>44530</v>
      </c>
      <c r="R29" s="204">
        <f t="shared" si="0"/>
        <v>44561</v>
      </c>
      <c r="S29" s="204">
        <f t="shared" si="0"/>
        <v>44592</v>
      </c>
      <c r="T29" s="204">
        <f t="shared" si="0"/>
        <v>44620</v>
      </c>
      <c r="U29" s="204">
        <f t="shared" si="0"/>
        <v>44651</v>
      </c>
      <c r="V29" s="204">
        <f t="shared" si="0"/>
        <v>44681</v>
      </c>
      <c r="W29" s="204">
        <f t="shared" si="0"/>
        <v>44712</v>
      </c>
      <c r="X29" s="204">
        <f t="shared" si="0"/>
        <v>44742</v>
      </c>
      <c r="Y29" s="204">
        <f t="shared" si="0"/>
        <v>44773</v>
      </c>
      <c r="Z29" s="204">
        <f t="shared" si="0"/>
        <v>44804</v>
      </c>
      <c r="AA29" s="204">
        <f t="shared" si="0"/>
        <v>44834</v>
      </c>
      <c r="AD29" s="286"/>
      <c r="AE29" s="62"/>
      <c r="AG29" s="286"/>
      <c r="AJ29" s="286"/>
      <c r="AM29" s="286"/>
      <c r="AN29" s="286"/>
      <c r="AO29" s="286"/>
      <c r="AP29" s="286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</row>
    <row r="30" spans="1:85">
      <c r="A30" s="62" t="s">
        <v>415</v>
      </c>
      <c r="B30" s="62"/>
      <c r="C30" s="209">
        <f>D17</f>
        <v>70</v>
      </c>
      <c r="D30" s="209">
        <f t="shared" ref="D30:AA30" si="1">C30+$D$18</f>
        <v>70.25</v>
      </c>
      <c r="E30" s="209">
        <f t="shared" si="1"/>
        <v>70.5</v>
      </c>
      <c r="F30" s="209">
        <f t="shared" si="1"/>
        <v>70.75</v>
      </c>
      <c r="G30" s="209">
        <f t="shared" si="1"/>
        <v>71</v>
      </c>
      <c r="H30" s="209">
        <f t="shared" si="1"/>
        <v>71.25</v>
      </c>
      <c r="I30" s="209">
        <f t="shared" si="1"/>
        <v>71.5</v>
      </c>
      <c r="J30" s="209">
        <f t="shared" si="1"/>
        <v>71.75</v>
      </c>
      <c r="K30" s="209">
        <f t="shared" si="1"/>
        <v>72</v>
      </c>
      <c r="L30" s="209">
        <f t="shared" si="1"/>
        <v>72.25</v>
      </c>
      <c r="M30" s="209">
        <f t="shared" si="1"/>
        <v>72.5</v>
      </c>
      <c r="N30" s="209">
        <f t="shared" si="1"/>
        <v>72.75</v>
      </c>
      <c r="O30" s="209">
        <f t="shared" si="1"/>
        <v>73</v>
      </c>
      <c r="P30" s="209">
        <f t="shared" si="1"/>
        <v>73.25</v>
      </c>
      <c r="Q30" s="209">
        <f t="shared" si="1"/>
        <v>73.5</v>
      </c>
      <c r="R30" s="209">
        <f t="shared" si="1"/>
        <v>73.75</v>
      </c>
      <c r="S30" s="209">
        <f t="shared" si="1"/>
        <v>74</v>
      </c>
      <c r="T30" s="209">
        <f t="shared" si="1"/>
        <v>74.25</v>
      </c>
      <c r="U30" s="209">
        <f t="shared" si="1"/>
        <v>74.5</v>
      </c>
      <c r="V30" s="209">
        <f t="shared" si="1"/>
        <v>74.75</v>
      </c>
      <c r="W30" s="209">
        <f t="shared" si="1"/>
        <v>75</v>
      </c>
      <c r="X30" s="209">
        <f t="shared" si="1"/>
        <v>75.25</v>
      </c>
      <c r="Y30" s="209">
        <f t="shared" si="1"/>
        <v>75.5</v>
      </c>
      <c r="Z30" s="209">
        <f t="shared" si="1"/>
        <v>75.75</v>
      </c>
      <c r="AA30" s="209">
        <f t="shared" si="1"/>
        <v>76</v>
      </c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</row>
    <row r="31" spans="1:85">
      <c r="A31" s="62"/>
      <c r="B31" s="62"/>
      <c r="C31" s="286"/>
      <c r="D31" s="11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</row>
    <row r="32" spans="1:85">
      <c r="A32" s="62"/>
      <c r="B32" s="62"/>
      <c r="C32" s="286"/>
      <c r="D32" s="11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</row>
    <row r="33" spans="1:85">
      <c r="A33" s="296" t="s">
        <v>416</v>
      </c>
      <c r="B33" s="288"/>
      <c r="C33" s="288"/>
      <c r="D33" s="289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</row>
    <row r="34" spans="1:85">
      <c r="A34" s="1" t="s">
        <v>417</v>
      </c>
      <c r="B34" s="62"/>
      <c r="C34" s="285" t="s">
        <v>347</v>
      </c>
      <c r="D34" s="285">
        <f ca="1">'FGD Phasing'!D37</f>
        <v>540.26982963509602</v>
      </c>
      <c r="E34" s="285" t="s">
        <v>646</v>
      </c>
      <c r="F34" s="285" t="s">
        <v>647</v>
      </c>
      <c r="G34" s="62"/>
      <c r="H34" s="285" t="s">
        <v>418</v>
      </c>
      <c r="I34" s="489">
        <f>IF(Assumption!K78="Yes",'Phasing (2)'!R19,0)</f>
        <v>167</v>
      </c>
      <c r="J34" s="62"/>
      <c r="K34" s="285" t="s">
        <v>419</v>
      </c>
      <c r="L34" s="298">
        <f ca="1">D34-I34</f>
        <v>373.26982963509602</v>
      </c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</row>
    <row r="35" spans="1:85">
      <c r="A35" s="62" t="s">
        <v>158</v>
      </c>
      <c r="B35" s="62"/>
      <c r="C35" s="285" t="s">
        <v>347</v>
      </c>
      <c r="D35" s="285">
        <f ca="1">'FGD Phasing'!C40</f>
        <v>135.067457408774</v>
      </c>
      <c r="E35" s="193">
        <v>0.25</v>
      </c>
      <c r="F35" s="193">
        <v>0.25</v>
      </c>
      <c r="G35" s="62"/>
      <c r="H35" s="285" t="s">
        <v>347</v>
      </c>
      <c r="I35" s="489">
        <f>I34*E35</f>
        <v>41.75</v>
      </c>
      <c r="J35" s="62"/>
      <c r="K35" s="285" t="s">
        <v>347</v>
      </c>
      <c r="L35" s="298">
        <f ca="1">IF(Assumption!K79="Equity",((L34-40)*F35+40),(L34*F35))</f>
        <v>93.317457408774004</v>
      </c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</row>
    <row r="36" spans="1:85">
      <c r="A36" s="62" t="s">
        <v>342</v>
      </c>
      <c r="B36" s="62"/>
      <c r="C36" s="285" t="s">
        <v>347</v>
      </c>
      <c r="D36" s="285">
        <f ca="1">'FGD Phasing'!C41</f>
        <v>405.20237222632204</v>
      </c>
      <c r="E36" s="193">
        <f>1-E35</f>
        <v>0.75</v>
      </c>
      <c r="F36" s="193">
        <f>1-F35</f>
        <v>0.75</v>
      </c>
      <c r="G36" s="62"/>
      <c r="H36" s="285" t="s">
        <v>347</v>
      </c>
      <c r="I36" s="489">
        <f>I34*E36</f>
        <v>125.25</v>
      </c>
      <c r="J36" s="62"/>
      <c r="K36" s="285" t="s">
        <v>347</v>
      </c>
      <c r="L36" s="298">
        <f ca="1">L34-L35</f>
        <v>279.95237222632204</v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</row>
    <row r="37" spans="1:85">
      <c r="A37" s="62" t="s">
        <v>420</v>
      </c>
      <c r="B37" s="62"/>
      <c r="C37" s="62"/>
      <c r="D37" s="193">
        <v>0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</row>
    <row r="38" spans="1:85">
      <c r="A38" s="62" t="s">
        <v>343</v>
      </c>
      <c r="B38" s="62"/>
      <c r="C38" s="62"/>
      <c r="D38" s="194">
        <v>0.111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</row>
    <row r="39" spans="1:85">
      <c r="A39" s="62" t="s">
        <v>421</v>
      </c>
      <c r="B39" s="62"/>
      <c r="C39" s="285" t="s">
        <v>422</v>
      </c>
      <c r="D39" s="297">
        <f>C5</f>
        <v>44104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</row>
    <row r="40" spans="1:85">
      <c r="A40" s="62" t="s">
        <v>423</v>
      </c>
      <c r="B40" s="62"/>
      <c r="C40" s="285" t="s">
        <v>424</v>
      </c>
      <c r="D40" s="285">
        <v>22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</row>
    <row r="41" spans="1:85">
      <c r="A41" s="62" t="s">
        <v>423</v>
      </c>
      <c r="B41" s="62"/>
      <c r="C41" s="285" t="s">
        <v>425</v>
      </c>
      <c r="D41" s="285">
        <v>24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</row>
    <row r="42" spans="1:85">
      <c r="A42" s="62" t="s">
        <v>426</v>
      </c>
      <c r="B42" s="62"/>
      <c r="C42" s="285"/>
      <c r="D42" s="297">
        <f>EOMONTH(D39,D41)</f>
        <v>44834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</row>
    <row r="43" spans="1:85">
      <c r="A43" s="62" t="s">
        <v>427</v>
      </c>
      <c r="B43" s="62"/>
      <c r="C43" s="285" t="s">
        <v>428</v>
      </c>
      <c r="D43" s="285">
        <v>36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</row>
    <row r="44" spans="1:85">
      <c r="A44" s="62" t="s">
        <v>427</v>
      </c>
      <c r="B44" s="62"/>
      <c r="C44" s="36"/>
      <c r="D44" s="297">
        <f>EOMONTH(D39,D43)</f>
        <v>45199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</row>
    <row r="45" spans="1:85">
      <c r="A45" s="62" t="s">
        <v>429</v>
      </c>
      <c r="B45" s="62"/>
      <c r="C45" s="285" t="s">
        <v>428</v>
      </c>
      <c r="D45" s="285">
        <v>3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</row>
    <row r="46" spans="1:85" s="3" customFormat="1">
      <c r="A46" s="29" t="s">
        <v>430</v>
      </c>
      <c r="B46" s="29"/>
      <c r="C46" s="29"/>
      <c r="D46" s="297">
        <f>EOMONTH(D42,D45)</f>
        <v>44926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</row>
    <row r="47" spans="1:85">
      <c r="A47" s="62" t="s">
        <v>431</v>
      </c>
      <c r="B47" s="62"/>
      <c r="C47" s="285" t="s">
        <v>432</v>
      </c>
      <c r="D47" s="285" t="s">
        <v>433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</row>
    <row r="48" spans="1:85">
      <c r="A48" s="62" t="s">
        <v>434</v>
      </c>
      <c r="B48" s="62"/>
      <c r="C48" s="266">
        <f>YEARFRAC(D46,C50,1)</f>
        <v>11.496840775063184</v>
      </c>
      <c r="D48" s="298">
        <v>18</v>
      </c>
      <c r="E48" s="285" t="s">
        <v>368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</row>
    <row r="49" spans="1:85">
      <c r="A49" s="62"/>
      <c r="B49" s="62"/>
      <c r="C49" s="254">
        <f>C48*4+1</f>
        <v>46.987363100252736</v>
      </c>
      <c r="D49" s="285">
        <f>D48*4</f>
        <v>72</v>
      </c>
      <c r="E49" s="285" t="s">
        <v>435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</row>
    <row r="50" spans="1:85">
      <c r="A50" s="62" t="s">
        <v>436</v>
      </c>
      <c r="B50" s="62"/>
      <c r="C50" s="297">
        <f>'Finance Cost'!BL6</f>
        <v>49125</v>
      </c>
      <c r="D50" s="297">
        <f>EOMONTH(D46,((D49-1)*3))</f>
        <v>51409</v>
      </c>
      <c r="E50" s="36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</row>
    <row r="51" spans="1:85">
      <c r="A51" s="62" t="s">
        <v>437</v>
      </c>
      <c r="B51" s="62"/>
      <c r="C51" s="299" t="s">
        <v>438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</row>
    <row r="52" spans="1:8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</row>
    <row r="53" spans="1:85">
      <c r="A53" s="291" t="s">
        <v>439</v>
      </c>
      <c r="B53" s="62"/>
      <c r="C53" s="62"/>
      <c r="D53" s="62">
        <v>1</v>
      </c>
      <c r="E53" s="62">
        <v>2</v>
      </c>
      <c r="F53" s="62">
        <v>3</v>
      </c>
      <c r="G53" s="62">
        <v>4</v>
      </c>
      <c r="H53" s="62">
        <v>5</v>
      </c>
      <c r="I53" s="62">
        <v>6</v>
      </c>
      <c r="J53" s="62">
        <v>7</v>
      </c>
      <c r="K53" s="62">
        <v>8</v>
      </c>
      <c r="L53" s="62">
        <v>9</v>
      </c>
      <c r="M53" s="62">
        <v>10</v>
      </c>
      <c r="N53" s="62">
        <v>11</v>
      </c>
      <c r="O53" s="62">
        <v>12</v>
      </c>
      <c r="P53" s="62">
        <v>13</v>
      </c>
      <c r="Q53" s="62">
        <v>14</v>
      </c>
      <c r="R53" s="62">
        <v>15</v>
      </c>
      <c r="S53" s="62">
        <v>16</v>
      </c>
      <c r="T53" s="62">
        <v>17</v>
      </c>
      <c r="U53" s="62">
        <v>18</v>
      </c>
      <c r="V53" s="62">
        <v>19</v>
      </c>
      <c r="W53" s="62">
        <v>20</v>
      </c>
      <c r="X53" s="62">
        <v>21</v>
      </c>
      <c r="Y53" s="62">
        <v>22</v>
      </c>
      <c r="Z53" s="62">
        <v>23</v>
      </c>
      <c r="AA53" s="62">
        <v>24</v>
      </c>
      <c r="AB53" s="62">
        <v>25</v>
      </c>
      <c r="AC53" s="62">
        <v>26</v>
      </c>
      <c r="AD53" s="62">
        <v>27</v>
      </c>
      <c r="AE53" s="62">
        <v>28</v>
      </c>
      <c r="AF53" s="62">
        <v>29</v>
      </c>
      <c r="AG53" s="62">
        <v>30</v>
      </c>
      <c r="AH53" s="62">
        <v>31</v>
      </c>
      <c r="AI53" s="62">
        <v>32</v>
      </c>
      <c r="AJ53" s="62">
        <v>33</v>
      </c>
      <c r="AK53" s="62">
        <v>34</v>
      </c>
      <c r="AL53" s="62">
        <v>35</v>
      </c>
      <c r="AM53" s="62">
        <v>36</v>
      </c>
      <c r="AN53" s="62">
        <v>37</v>
      </c>
      <c r="AO53" s="62">
        <v>38</v>
      </c>
      <c r="AP53" s="62">
        <v>39</v>
      </c>
      <c r="AQ53" s="62">
        <v>40</v>
      </c>
      <c r="AR53" s="62">
        <v>41</v>
      </c>
      <c r="AS53" s="62">
        <v>42</v>
      </c>
      <c r="AT53" s="62">
        <v>43</v>
      </c>
      <c r="AU53" s="62">
        <v>44</v>
      </c>
      <c r="AV53" s="62">
        <v>45</v>
      </c>
      <c r="AW53" s="62">
        <v>46</v>
      </c>
      <c r="AX53" s="62">
        <v>47</v>
      </c>
      <c r="AY53" s="62">
        <v>48</v>
      </c>
      <c r="AZ53" s="62">
        <v>49</v>
      </c>
      <c r="BA53" s="62">
        <v>50</v>
      </c>
      <c r="BB53" s="62">
        <v>51</v>
      </c>
      <c r="BC53" s="62">
        <v>52</v>
      </c>
      <c r="BD53" s="62">
        <v>53</v>
      </c>
      <c r="BE53" s="62">
        <v>54</v>
      </c>
      <c r="BF53" s="62">
        <v>55</v>
      </c>
      <c r="BG53" s="62">
        <v>56</v>
      </c>
      <c r="BH53" s="62">
        <v>57</v>
      </c>
      <c r="BI53" s="62">
        <v>58</v>
      </c>
      <c r="BJ53" s="62">
        <v>59</v>
      </c>
      <c r="BK53" s="62">
        <v>60</v>
      </c>
      <c r="BL53" s="62">
        <v>61</v>
      </c>
      <c r="BM53" s="62">
        <v>62</v>
      </c>
      <c r="BN53" s="62">
        <v>63</v>
      </c>
      <c r="BO53" s="62">
        <v>64</v>
      </c>
      <c r="BP53" s="62">
        <v>65</v>
      </c>
      <c r="BQ53" s="62">
        <v>66</v>
      </c>
      <c r="BR53" s="62">
        <v>67</v>
      </c>
      <c r="BS53" s="62">
        <v>68</v>
      </c>
      <c r="BT53" s="62">
        <v>69</v>
      </c>
      <c r="BU53" s="62">
        <v>70</v>
      </c>
      <c r="BV53" s="62">
        <v>71</v>
      </c>
      <c r="BW53" s="62">
        <v>72</v>
      </c>
      <c r="BX53" s="62">
        <v>73</v>
      </c>
      <c r="BY53" s="62">
        <v>74</v>
      </c>
      <c r="BZ53" s="62">
        <v>75</v>
      </c>
      <c r="CA53" s="62">
        <v>76</v>
      </c>
      <c r="CB53" s="62">
        <v>77</v>
      </c>
      <c r="CC53" s="62">
        <v>78</v>
      </c>
      <c r="CD53" s="62">
        <v>79</v>
      </c>
      <c r="CE53" s="62">
        <v>80</v>
      </c>
      <c r="CF53" s="62">
        <v>81</v>
      </c>
      <c r="CG53" s="62">
        <v>82</v>
      </c>
    </row>
    <row r="54" spans="1:85">
      <c r="A54" s="62"/>
      <c r="C54" s="62"/>
      <c r="D54" s="300">
        <f>D46</f>
        <v>44926</v>
      </c>
      <c r="E54" s="300">
        <f t="shared" ref="E54:BP54" si="2">EOMONTH(D54,3)</f>
        <v>45016</v>
      </c>
      <c r="F54" s="300">
        <f t="shared" si="2"/>
        <v>45107</v>
      </c>
      <c r="G54" s="300">
        <f t="shared" si="2"/>
        <v>45199</v>
      </c>
      <c r="H54" s="300">
        <f t="shared" si="2"/>
        <v>45291</v>
      </c>
      <c r="I54" s="300">
        <f t="shared" si="2"/>
        <v>45382</v>
      </c>
      <c r="J54" s="300">
        <f t="shared" si="2"/>
        <v>45473</v>
      </c>
      <c r="K54" s="300">
        <f t="shared" si="2"/>
        <v>45565</v>
      </c>
      <c r="L54" s="300">
        <f t="shared" si="2"/>
        <v>45657</v>
      </c>
      <c r="M54" s="300">
        <f t="shared" si="2"/>
        <v>45747</v>
      </c>
      <c r="N54" s="300">
        <f t="shared" si="2"/>
        <v>45838</v>
      </c>
      <c r="O54" s="300">
        <f t="shared" si="2"/>
        <v>45930</v>
      </c>
      <c r="P54" s="300">
        <f t="shared" si="2"/>
        <v>46022</v>
      </c>
      <c r="Q54" s="300">
        <f t="shared" si="2"/>
        <v>46112</v>
      </c>
      <c r="R54" s="300">
        <f t="shared" si="2"/>
        <v>46203</v>
      </c>
      <c r="S54" s="300">
        <f t="shared" si="2"/>
        <v>46295</v>
      </c>
      <c r="T54" s="300">
        <f t="shared" si="2"/>
        <v>46387</v>
      </c>
      <c r="U54" s="300">
        <f t="shared" si="2"/>
        <v>46477</v>
      </c>
      <c r="V54" s="300">
        <f t="shared" si="2"/>
        <v>46568</v>
      </c>
      <c r="W54" s="300">
        <f t="shared" si="2"/>
        <v>46660</v>
      </c>
      <c r="X54" s="300">
        <f t="shared" si="2"/>
        <v>46752</v>
      </c>
      <c r="Y54" s="300">
        <f t="shared" si="2"/>
        <v>46843</v>
      </c>
      <c r="Z54" s="300">
        <f t="shared" si="2"/>
        <v>46934</v>
      </c>
      <c r="AA54" s="300">
        <f t="shared" si="2"/>
        <v>47026</v>
      </c>
      <c r="AB54" s="300">
        <f t="shared" si="2"/>
        <v>47118</v>
      </c>
      <c r="AC54" s="300">
        <f t="shared" si="2"/>
        <v>47208</v>
      </c>
      <c r="AD54" s="300">
        <f t="shared" si="2"/>
        <v>47299</v>
      </c>
      <c r="AE54" s="300">
        <f t="shared" si="2"/>
        <v>47391</v>
      </c>
      <c r="AF54" s="300">
        <f t="shared" si="2"/>
        <v>47483</v>
      </c>
      <c r="AG54" s="300">
        <f t="shared" si="2"/>
        <v>47573</v>
      </c>
      <c r="AH54" s="300">
        <f t="shared" si="2"/>
        <v>47664</v>
      </c>
      <c r="AI54" s="300">
        <f t="shared" si="2"/>
        <v>47756</v>
      </c>
      <c r="AJ54" s="300">
        <f t="shared" si="2"/>
        <v>47848</v>
      </c>
      <c r="AK54" s="300">
        <f t="shared" si="2"/>
        <v>47938</v>
      </c>
      <c r="AL54" s="300">
        <f t="shared" si="2"/>
        <v>48029</v>
      </c>
      <c r="AM54" s="300">
        <f t="shared" si="2"/>
        <v>48121</v>
      </c>
      <c r="AN54" s="300">
        <f t="shared" si="2"/>
        <v>48213</v>
      </c>
      <c r="AO54" s="300">
        <f t="shared" si="2"/>
        <v>48304</v>
      </c>
      <c r="AP54" s="300">
        <f t="shared" si="2"/>
        <v>48395</v>
      </c>
      <c r="AQ54" s="300">
        <f t="shared" si="2"/>
        <v>48487</v>
      </c>
      <c r="AR54" s="300">
        <f t="shared" si="2"/>
        <v>48579</v>
      </c>
      <c r="AS54" s="300">
        <f t="shared" si="2"/>
        <v>48669</v>
      </c>
      <c r="AT54" s="300">
        <f t="shared" si="2"/>
        <v>48760</v>
      </c>
      <c r="AU54" s="300">
        <f t="shared" si="2"/>
        <v>48852</v>
      </c>
      <c r="AV54" s="300">
        <f t="shared" si="2"/>
        <v>48944</v>
      </c>
      <c r="AW54" s="300">
        <f t="shared" si="2"/>
        <v>49034</v>
      </c>
      <c r="AX54" s="300">
        <f t="shared" si="2"/>
        <v>49125</v>
      </c>
      <c r="AY54" s="300">
        <f t="shared" si="2"/>
        <v>49217</v>
      </c>
      <c r="AZ54" s="300">
        <f t="shared" si="2"/>
        <v>49309</v>
      </c>
      <c r="BA54" s="300">
        <f t="shared" si="2"/>
        <v>49399</v>
      </c>
      <c r="BB54" s="300">
        <f t="shared" si="2"/>
        <v>49490</v>
      </c>
      <c r="BC54" s="300">
        <f t="shared" si="2"/>
        <v>49582</v>
      </c>
      <c r="BD54" s="300">
        <f t="shared" si="2"/>
        <v>49674</v>
      </c>
      <c r="BE54" s="300">
        <f t="shared" si="2"/>
        <v>49765</v>
      </c>
      <c r="BF54" s="300">
        <f t="shared" si="2"/>
        <v>49856</v>
      </c>
      <c r="BG54" s="300">
        <f t="shared" si="2"/>
        <v>49948</v>
      </c>
      <c r="BH54" s="300">
        <f t="shared" si="2"/>
        <v>50040</v>
      </c>
      <c r="BI54" s="300">
        <f t="shared" si="2"/>
        <v>50130</v>
      </c>
      <c r="BJ54" s="300">
        <f t="shared" si="2"/>
        <v>50221</v>
      </c>
      <c r="BK54" s="300">
        <f t="shared" si="2"/>
        <v>50313</v>
      </c>
      <c r="BL54" s="300">
        <f t="shared" si="2"/>
        <v>50405</v>
      </c>
      <c r="BM54" s="300">
        <f t="shared" si="2"/>
        <v>50495</v>
      </c>
      <c r="BN54" s="300">
        <f t="shared" si="2"/>
        <v>50586</v>
      </c>
      <c r="BO54" s="300">
        <f t="shared" si="2"/>
        <v>50678</v>
      </c>
      <c r="BP54" s="300">
        <f t="shared" si="2"/>
        <v>50770</v>
      </c>
      <c r="BQ54" s="300">
        <f t="shared" ref="BQ54:CG54" si="3">EOMONTH(BP54,3)</f>
        <v>50860</v>
      </c>
      <c r="BR54" s="300">
        <f t="shared" si="3"/>
        <v>50951</v>
      </c>
      <c r="BS54" s="300">
        <f t="shared" si="3"/>
        <v>51043</v>
      </c>
      <c r="BT54" s="300">
        <f t="shared" si="3"/>
        <v>51135</v>
      </c>
      <c r="BU54" s="300">
        <f t="shared" si="3"/>
        <v>51226</v>
      </c>
      <c r="BV54" s="300">
        <f t="shared" si="3"/>
        <v>51317</v>
      </c>
      <c r="BW54" s="300">
        <f t="shared" si="3"/>
        <v>51409</v>
      </c>
      <c r="BX54" s="300">
        <f t="shared" si="3"/>
        <v>51501</v>
      </c>
      <c r="BY54" s="300">
        <f t="shared" si="3"/>
        <v>51591</v>
      </c>
      <c r="BZ54" s="300">
        <f t="shared" si="3"/>
        <v>51682</v>
      </c>
      <c r="CA54" s="300">
        <f t="shared" si="3"/>
        <v>51774</v>
      </c>
      <c r="CB54" s="300">
        <f t="shared" si="3"/>
        <v>51866</v>
      </c>
      <c r="CC54" s="300">
        <f t="shared" si="3"/>
        <v>51956</v>
      </c>
      <c r="CD54" s="300">
        <f t="shared" si="3"/>
        <v>52047</v>
      </c>
      <c r="CE54" s="300">
        <f t="shared" si="3"/>
        <v>52139</v>
      </c>
      <c r="CF54" s="300">
        <f t="shared" si="3"/>
        <v>52231</v>
      </c>
      <c r="CG54" s="300">
        <f t="shared" si="3"/>
        <v>52321</v>
      </c>
    </row>
    <row r="55" spans="1:85">
      <c r="A55" s="62"/>
      <c r="B55" s="62" t="s">
        <v>440</v>
      </c>
      <c r="C55" s="193">
        <f>SUM(D55:CG55)</f>
        <v>0.8049999999999996</v>
      </c>
      <c r="D55" s="171"/>
      <c r="E55" s="171">
        <f>IFERROR(HLOOKUP(E54,'Finance Cost'!$D$6:$BS$9,4,FALSE),0)</f>
        <v>1.4999999999999999E-2</v>
      </c>
      <c r="F55" s="171">
        <f>IFERROR(HLOOKUP(F54,'Finance Cost'!$D$6:$BS$9,4,FALSE),0)</f>
        <v>1.4999999999999999E-2</v>
      </c>
      <c r="G55" s="171">
        <f>IFERROR(HLOOKUP(G54,'Finance Cost'!$D$6:$BS$9,4,FALSE),0)</f>
        <v>1.4999999999999999E-2</v>
      </c>
      <c r="H55" s="171">
        <f>IFERROR(HLOOKUP(H54,'Finance Cost'!$D$6:$BS$9,4,FALSE),0)</f>
        <v>1.4999999999999999E-2</v>
      </c>
      <c r="I55" s="171">
        <f>IFERROR(HLOOKUP(I54,'Finance Cost'!$D$6:$BS$9,4,FALSE),0)</f>
        <v>1.4999999999999999E-2</v>
      </c>
      <c r="J55" s="171">
        <f>IFERROR(HLOOKUP(J54,'Finance Cost'!$D$6:$BS$9,4,FALSE),0)</f>
        <v>1.4999999999999999E-2</v>
      </c>
      <c r="K55" s="171">
        <f>IFERROR(HLOOKUP(K54,'Finance Cost'!$D$6:$BS$9,4,FALSE),0)</f>
        <v>1.4999999999999999E-2</v>
      </c>
      <c r="L55" s="171">
        <f>IFERROR(HLOOKUP(L54,'Finance Cost'!$D$6:$BS$9,4,FALSE),0)</f>
        <v>1.6250000000000001E-2</v>
      </c>
      <c r="M55" s="171">
        <f>IFERROR(HLOOKUP(M54,'Finance Cost'!$D$6:$BS$9,4,FALSE),0)</f>
        <v>1.6250000000000001E-2</v>
      </c>
      <c r="N55" s="171">
        <f>IFERROR(HLOOKUP(N54,'Finance Cost'!$D$6:$BS$9,4,FALSE),0)</f>
        <v>1.6250000000000001E-2</v>
      </c>
      <c r="O55" s="171">
        <f>IFERROR(HLOOKUP(O54,'Finance Cost'!$D$6:$BS$9,4,FALSE),0)</f>
        <v>1.6250000000000001E-2</v>
      </c>
      <c r="P55" s="171">
        <f>IFERROR(HLOOKUP(P54,'Finance Cost'!$D$6:$BS$9,4,FALSE),0)</f>
        <v>1.7500000000000002E-2</v>
      </c>
      <c r="Q55" s="171">
        <f>IFERROR(HLOOKUP(Q54,'Finance Cost'!$D$6:$BS$9,4,FALSE),0)</f>
        <v>1.7500000000000002E-2</v>
      </c>
      <c r="R55" s="171">
        <f>IFERROR(HLOOKUP(R54,'Finance Cost'!$D$6:$BS$9,4,FALSE),0)</f>
        <v>1.7500000000000002E-2</v>
      </c>
      <c r="S55" s="171">
        <f>IFERROR(HLOOKUP(S54,'Finance Cost'!$D$6:$BS$9,4,FALSE),0)</f>
        <v>1.7500000000000002E-2</v>
      </c>
      <c r="T55" s="171">
        <f>IFERROR(HLOOKUP(T54,'Finance Cost'!$D$6:$BS$9,4,FALSE),0)</f>
        <v>1.4999999999999999E-2</v>
      </c>
      <c r="U55" s="171">
        <f>IFERROR(HLOOKUP(U54,'Finance Cost'!$D$6:$BS$9,4,FALSE),0)</f>
        <v>1.4999999999999999E-2</v>
      </c>
      <c r="V55" s="171">
        <f>IFERROR(HLOOKUP(V54,'Finance Cost'!$D$6:$BS$9,4,FALSE),0)</f>
        <v>1.4999999999999999E-2</v>
      </c>
      <c r="W55" s="171">
        <f>IFERROR(HLOOKUP(W54,'Finance Cost'!$D$6:$BS$9,4,FALSE),0)</f>
        <v>1.4999999999999999E-2</v>
      </c>
      <c r="X55" s="171">
        <f>IFERROR(HLOOKUP(X54,'Finance Cost'!$D$6:$BS$9,4,FALSE),0)</f>
        <v>1.4999999999999999E-2</v>
      </c>
      <c r="Y55" s="171">
        <f>IFERROR(HLOOKUP(Y54,'Finance Cost'!$D$6:$BS$9,4,FALSE),0)</f>
        <v>1.4999999999999999E-2</v>
      </c>
      <c r="Z55" s="171">
        <f>IFERROR(HLOOKUP(Z54,'Finance Cost'!$D$6:$BS$9,4,FALSE),0)</f>
        <v>1.4999999999999999E-2</v>
      </c>
      <c r="AA55" s="171">
        <f>IFERROR(HLOOKUP(AA54,'Finance Cost'!$D$6:$BS$9,4,FALSE),0)</f>
        <v>1.4999999999999999E-2</v>
      </c>
      <c r="AB55" s="171">
        <f>IFERROR(HLOOKUP(AB54,'Finance Cost'!$D$6:$BS$9,4,FALSE),0)</f>
        <v>1.7500000000000002E-2</v>
      </c>
      <c r="AC55" s="171">
        <f>IFERROR(HLOOKUP(AC54,'Finance Cost'!$D$6:$BS$9,4,FALSE),0)</f>
        <v>1.7500000000000002E-2</v>
      </c>
      <c r="AD55" s="171">
        <f>IFERROR(HLOOKUP(AD54,'Finance Cost'!$D$6:$BS$9,4,FALSE),0)</f>
        <v>1.7500000000000002E-2</v>
      </c>
      <c r="AE55" s="171">
        <f>IFERROR(HLOOKUP(AE54,'Finance Cost'!$D$6:$BS$9,4,FALSE),0)</f>
        <v>1.7500000000000002E-2</v>
      </c>
      <c r="AF55" s="171">
        <f>IFERROR(HLOOKUP(AF54,'Finance Cost'!$D$6:$BS$9,4,FALSE),0)</f>
        <v>1.7500000000000002E-2</v>
      </c>
      <c r="AG55" s="171">
        <f>IFERROR(HLOOKUP(AG54,'Finance Cost'!$D$6:$BS$9,4,FALSE),0)</f>
        <v>1.7500000000000002E-2</v>
      </c>
      <c r="AH55" s="171">
        <f>IFERROR(HLOOKUP(AH54,'Finance Cost'!$D$6:$BS$9,4,FALSE),0)</f>
        <v>1.7500000000000002E-2</v>
      </c>
      <c r="AI55" s="171">
        <f>IFERROR(HLOOKUP(AI54,'Finance Cost'!$D$6:$BS$9,4,FALSE),0)</f>
        <v>1.7500000000000002E-2</v>
      </c>
      <c r="AJ55" s="171">
        <f>IFERROR(HLOOKUP(AJ54,'Finance Cost'!$D$6:$BS$9,4,FALSE),0)</f>
        <v>1.7500000000000002E-2</v>
      </c>
      <c r="AK55" s="171">
        <f>IFERROR(HLOOKUP(AK54,'Finance Cost'!$D$6:$BS$9,4,FALSE),0)</f>
        <v>1.7500000000000002E-2</v>
      </c>
      <c r="AL55" s="171">
        <f>IFERROR(HLOOKUP(AL54,'Finance Cost'!$D$6:$BS$9,4,FALSE),0)</f>
        <v>1.7500000000000002E-2</v>
      </c>
      <c r="AM55" s="171">
        <f>IFERROR(HLOOKUP(AM54,'Finance Cost'!$D$6:$BS$9,4,FALSE),0)</f>
        <v>1.7500000000000002E-2</v>
      </c>
      <c r="AN55" s="171">
        <f>IFERROR(HLOOKUP(AN54,'Finance Cost'!$D$6:$BS$9,4,FALSE),0)</f>
        <v>1.7500000000000002E-2</v>
      </c>
      <c r="AO55" s="171">
        <f>IFERROR(HLOOKUP(AO54,'Finance Cost'!$D$6:$BS$9,4,FALSE),0)</f>
        <v>1.7500000000000002E-2</v>
      </c>
      <c r="AP55" s="171">
        <f>IFERROR(HLOOKUP(AP54,'Finance Cost'!$D$6:$BS$9,4,FALSE),0)</f>
        <v>1.7500000000000002E-2</v>
      </c>
      <c r="AQ55" s="171">
        <f>IFERROR(HLOOKUP(AQ54,'Finance Cost'!$D$6:$BS$9,4,FALSE),0)</f>
        <v>1.7500000000000002E-2</v>
      </c>
      <c r="AR55" s="171">
        <f>IFERROR(HLOOKUP(AR54,'Finance Cost'!$D$6:$BS$9,4,FALSE),0)</f>
        <v>1.7500000000000002E-2</v>
      </c>
      <c r="AS55" s="171">
        <f>IFERROR(HLOOKUP(AS54,'Finance Cost'!$D$6:$BS$9,4,FALSE),0)</f>
        <v>1.7500000000000002E-2</v>
      </c>
      <c r="AT55" s="171">
        <f>IFERROR(HLOOKUP(AT54,'Finance Cost'!$D$6:$BS$9,4,FALSE),0)</f>
        <v>1.7500000000000002E-2</v>
      </c>
      <c r="AU55" s="171">
        <f>IFERROR(HLOOKUP(AU54,'Finance Cost'!$D$6:$BS$9,4,FALSE),0)</f>
        <v>1.7500000000000002E-2</v>
      </c>
      <c r="AV55" s="171">
        <f>IFERROR(HLOOKUP(AV54,'Finance Cost'!$D$6:$BS$9,4,FALSE),0)</f>
        <v>1.7500000000000002E-2</v>
      </c>
      <c r="AW55" s="171">
        <f>IFERROR(HLOOKUP(AW54,'Finance Cost'!$D$6:$BS$9,4,FALSE),0)</f>
        <v>1.7500000000000002E-2</v>
      </c>
      <c r="AX55" s="171">
        <f>IFERROR(HLOOKUP(AX54,'Finance Cost'!$D$6:$BS$9,4,FALSE),0)</f>
        <v>1.7500000000000002E-2</v>
      </c>
      <c r="AY55" s="171">
        <f>IFERROR(HLOOKUP(AY54,'Finance Cost'!$D$6:$BS$9,4,FALSE),0)</f>
        <v>1.7500000000000002E-2</v>
      </c>
      <c r="AZ55" s="171">
        <f>IFERROR(HLOOKUP(AZ54,'Finance Cost'!$D$6:$BS$9,4,FALSE),0)</f>
        <v>2.5000000000000001E-2</v>
      </c>
      <c r="BA55" s="171">
        <f>IFERROR(HLOOKUP(BA54,'Finance Cost'!$D$6:$BS$9,4,FALSE),0)</f>
        <v>0</v>
      </c>
      <c r="BB55" s="171">
        <f>IFERROR(HLOOKUP(BB54,'Finance Cost'!$D$6:$BS$9,4,FALSE),0)</f>
        <v>0</v>
      </c>
      <c r="BC55" s="171">
        <f>IFERROR(HLOOKUP(BC54,'Finance Cost'!$D$6:$BS$9,4,FALSE),0)</f>
        <v>0</v>
      </c>
      <c r="BD55" s="171">
        <f>IFERROR(HLOOKUP(BD54,'Finance Cost'!$D$6:$BS$9,4,FALSE),0)</f>
        <v>0</v>
      </c>
      <c r="BE55" s="171">
        <f>IFERROR(HLOOKUP(BE54,'Finance Cost'!$D$6:$BS$9,4,FALSE),0)</f>
        <v>0</v>
      </c>
      <c r="BF55" s="171">
        <f>IFERROR(HLOOKUP(BF54,'Finance Cost'!$D$6:$BS$9,4,FALSE),0)</f>
        <v>0</v>
      </c>
      <c r="BG55" s="171">
        <f>IFERROR(HLOOKUP(BG54,'Finance Cost'!$D$6:$BS$9,4,FALSE),0)</f>
        <v>0</v>
      </c>
      <c r="BH55" s="171">
        <f>IFERROR(HLOOKUP(BH54,'Finance Cost'!$D$6:$BS$9,4,FALSE),0)</f>
        <v>0</v>
      </c>
      <c r="BI55" s="171">
        <f>IFERROR(HLOOKUP(BI54,'Finance Cost'!$D$6:$BS$9,4,FALSE),0)</f>
        <v>0</v>
      </c>
      <c r="BJ55" s="171">
        <f>IFERROR(HLOOKUP(BJ54,'Finance Cost'!$D$6:$BS$9,4,FALSE),0)</f>
        <v>0</v>
      </c>
      <c r="BK55" s="171">
        <f>IFERROR(HLOOKUP(BK54,'Finance Cost'!$D$6:$BS$9,4,FALSE),0)</f>
        <v>0</v>
      </c>
      <c r="BL55" s="171">
        <f>IFERROR(HLOOKUP(BL54,'Finance Cost'!$D$6:$BS$9,4,FALSE),0)</f>
        <v>0</v>
      </c>
      <c r="BM55" s="171">
        <f>IFERROR(HLOOKUP(BM54,'Finance Cost'!$D$6:$BS$9,4,FALSE),0)</f>
        <v>0</v>
      </c>
      <c r="BN55" s="171">
        <f>IFERROR(HLOOKUP(BN54,'Finance Cost'!$D$6:$BS$9,4,FALSE),0)</f>
        <v>0</v>
      </c>
      <c r="BO55" s="171">
        <f>IFERROR(HLOOKUP(BO54,'Finance Cost'!$D$6:$BS$9,4,FALSE),0)</f>
        <v>0</v>
      </c>
      <c r="BP55" s="171">
        <f>IFERROR(HLOOKUP(BP54,'Finance Cost'!$D$6:$BS$9,4,FALSE),0)</f>
        <v>0</v>
      </c>
      <c r="BQ55" s="171">
        <f>IFERROR(HLOOKUP(BQ54,'Finance Cost'!$D$6:$BS$9,4,FALSE),0)</f>
        <v>0</v>
      </c>
      <c r="BR55" s="171">
        <f>IFERROR(HLOOKUP(BR54,'Finance Cost'!$D$6:$BS$9,4,FALSE),0)</f>
        <v>0</v>
      </c>
      <c r="BS55" s="171">
        <f>IFERROR(HLOOKUP(BS54,'Finance Cost'!$D$6:$BS$9,4,FALSE),0)</f>
        <v>0</v>
      </c>
      <c r="BT55" s="171">
        <f>IFERROR(HLOOKUP(BT54,'Finance Cost'!$D$6:$BS$9,4,FALSE),0)</f>
        <v>0</v>
      </c>
      <c r="BU55" s="171">
        <f>IFERROR(HLOOKUP(BU54,'Finance Cost'!$D$6:$BS$9,4,FALSE),0)</f>
        <v>0</v>
      </c>
      <c r="BV55" s="171">
        <f>IFERROR(HLOOKUP(BV54,'Finance Cost'!$D$6:$BS$9,4,FALSE),0)</f>
        <v>0</v>
      </c>
      <c r="BW55" s="171">
        <f>IFERROR(HLOOKUP(BW54,'Finance Cost'!$D$6:$BS$9,4,FALSE),0)</f>
        <v>0</v>
      </c>
      <c r="BX55" s="171">
        <f>IFERROR(HLOOKUP(BX54,'Finance Cost'!$D$6:$BS$9,4,FALSE),0)</f>
        <v>0</v>
      </c>
      <c r="BY55" s="171">
        <f>IFERROR(HLOOKUP(BY54,'Finance Cost'!$D$6:$BS$9,4,FALSE),0)</f>
        <v>0</v>
      </c>
      <c r="BZ55" s="171">
        <f>IFERROR(HLOOKUP(BZ54,'Finance Cost'!$D$6:$BS$9,4,FALSE),0)</f>
        <v>0</v>
      </c>
      <c r="CA55" s="171">
        <f>IFERROR(HLOOKUP(CA54,'Finance Cost'!$D$6:$BS$9,4,FALSE),0)</f>
        <v>0</v>
      </c>
      <c r="CB55" s="171">
        <f>IFERROR(HLOOKUP(CB54,'Finance Cost'!$D$6:$BS$9,4,FALSE),0)</f>
        <v>0</v>
      </c>
      <c r="CC55" s="171">
        <f>IFERROR(HLOOKUP(CC54,'Finance Cost'!$D$6:$BS$9,4,FALSE),0)</f>
        <v>0</v>
      </c>
      <c r="CD55" s="171">
        <f>IFERROR(HLOOKUP(CD54,'Finance Cost'!$D$6:$BS$9,4,FALSE),0)</f>
        <v>0</v>
      </c>
      <c r="CE55" s="171">
        <f>IFERROR(HLOOKUP(CE54,'Finance Cost'!$D$6:$BS$9,4,FALSE),0)</f>
        <v>0</v>
      </c>
      <c r="CF55" s="171">
        <f>IFERROR(HLOOKUP(CF54,'Finance Cost'!$D$6:$BS$9,4,FALSE),0)</f>
        <v>0</v>
      </c>
      <c r="CG55" s="171">
        <f>IFERROR(HLOOKUP(CG54,'Finance Cost'!$D$6:$BS$9,4,FALSE),0)</f>
        <v>0</v>
      </c>
    </row>
    <row r="56" spans="1:85">
      <c r="A56" s="62"/>
      <c r="B56" s="62" t="s">
        <v>440</v>
      </c>
      <c r="C56" s="193">
        <f>SUM(D56:CG56)</f>
        <v>1</v>
      </c>
      <c r="D56" s="171"/>
      <c r="E56" s="171">
        <f t="shared" ref="E56:BO56" si="4">E55*1/$C$55</f>
        <v>1.8633540372670815E-2</v>
      </c>
      <c r="F56" s="171">
        <f t="shared" si="4"/>
        <v>1.8633540372670815E-2</v>
      </c>
      <c r="G56" s="171">
        <f t="shared" si="4"/>
        <v>1.8633540372670815E-2</v>
      </c>
      <c r="H56" s="171">
        <f t="shared" si="4"/>
        <v>1.8633540372670815E-2</v>
      </c>
      <c r="I56" s="171">
        <f t="shared" si="4"/>
        <v>1.8633540372670815E-2</v>
      </c>
      <c r="J56" s="171">
        <f t="shared" si="4"/>
        <v>1.8633540372670815E-2</v>
      </c>
      <c r="K56" s="171">
        <f t="shared" si="4"/>
        <v>1.8633540372670815E-2</v>
      </c>
      <c r="L56" s="171">
        <f t="shared" si="4"/>
        <v>2.0186335403726718E-2</v>
      </c>
      <c r="M56" s="171">
        <f t="shared" si="4"/>
        <v>2.0186335403726718E-2</v>
      </c>
      <c r="N56" s="171">
        <f t="shared" si="4"/>
        <v>2.0186335403726718E-2</v>
      </c>
      <c r="O56" s="171">
        <f t="shared" si="4"/>
        <v>2.0186335403726718E-2</v>
      </c>
      <c r="P56" s="171">
        <f t="shared" si="4"/>
        <v>2.1739130434782622E-2</v>
      </c>
      <c r="Q56" s="171">
        <f t="shared" si="4"/>
        <v>2.1739130434782622E-2</v>
      </c>
      <c r="R56" s="171">
        <f t="shared" si="4"/>
        <v>2.1739130434782622E-2</v>
      </c>
      <c r="S56" s="171">
        <f t="shared" si="4"/>
        <v>2.1739130434782622E-2</v>
      </c>
      <c r="T56" s="171">
        <f t="shared" si="4"/>
        <v>1.8633540372670815E-2</v>
      </c>
      <c r="U56" s="171">
        <f t="shared" si="4"/>
        <v>1.8633540372670815E-2</v>
      </c>
      <c r="V56" s="171">
        <f t="shared" si="4"/>
        <v>1.8633540372670815E-2</v>
      </c>
      <c r="W56" s="171">
        <f t="shared" si="4"/>
        <v>1.8633540372670815E-2</v>
      </c>
      <c r="X56" s="171">
        <f t="shared" si="4"/>
        <v>1.8633540372670815E-2</v>
      </c>
      <c r="Y56" s="171">
        <f t="shared" si="4"/>
        <v>1.8633540372670815E-2</v>
      </c>
      <c r="Z56" s="171">
        <f t="shared" si="4"/>
        <v>1.8633540372670815E-2</v>
      </c>
      <c r="AA56" s="171">
        <f t="shared" si="4"/>
        <v>1.8633540372670815E-2</v>
      </c>
      <c r="AB56" s="171">
        <f t="shared" si="4"/>
        <v>2.1739130434782622E-2</v>
      </c>
      <c r="AC56" s="171">
        <f t="shared" si="4"/>
        <v>2.1739130434782622E-2</v>
      </c>
      <c r="AD56" s="171">
        <f t="shared" si="4"/>
        <v>2.1739130434782622E-2</v>
      </c>
      <c r="AE56" s="171">
        <f t="shared" si="4"/>
        <v>2.1739130434782622E-2</v>
      </c>
      <c r="AF56" s="171">
        <f t="shared" si="4"/>
        <v>2.1739130434782622E-2</v>
      </c>
      <c r="AG56" s="171">
        <f t="shared" si="4"/>
        <v>2.1739130434782622E-2</v>
      </c>
      <c r="AH56" s="171">
        <f t="shared" si="4"/>
        <v>2.1739130434782622E-2</v>
      </c>
      <c r="AI56" s="171">
        <f t="shared" si="4"/>
        <v>2.1739130434782622E-2</v>
      </c>
      <c r="AJ56" s="171">
        <f t="shared" si="4"/>
        <v>2.1739130434782622E-2</v>
      </c>
      <c r="AK56" s="171">
        <f t="shared" si="4"/>
        <v>2.1739130434782622E-2</v>
      </c>
      <c r="AL56" s="171">
        <f t="shared" si="4"/>
        <v>2.1739130434782622E-2</v>
      </c>
      <c r="AM56" s="171">
        <f t="shared" si="4"/>
        <v>2.1739130434782622E-2</v>
      </c>
      <c r="AN56" s="171">
        <f t="shared" si="4"/>
        <v>2.1739130434782622E-2</v>
      </c>
      <c r="AO56" s="171">
        <f t="shared" si="4"/>
        <v>2.1739130434782622E-2</v>
      </c>
      <c r="AP56" s="171">
        <f t="shared" si="4"/>
        <v>2.1739130434782622E-2</v>
      </c>
      <c r="AQ56" s="171">
        <f t="shared" si="4"/>
        <v>2.1739130434782622E-2</v>
      </c>
      <c r="AR56" s="171">
        <f t="shared" si="4"/>
        <v>2.1739130434782622E-2</v>
      </c>
      <c r="AS56" s="171">
        <f t="shared" si="4"/>
        <v>2.1739130434782622E-2</v>
      </c>
      <c r="AT56" s="171">
        <f t="shared" si="4"/>
        <v>2.1739130434782622E-2</v>
      </c>
      <c r="AU56" s="171">
        <f t="shared" si="4"/>
        <v>2.1739130434782622E-2</v>
      </c>
      <c r="AV56" s="171">
        <f t="shared" si="4"/>
        <v>2.1739130434782622E-2</v>
      </c>
      <c r="AW56" s="171">
        <f t="shared" si="4"/>
        <v>2.1739130434782622E-2</v>
      </c>
      <c r="AX56" s="171">
        <f t="shared" si="4"/>
        <v>2.1739130434782622E-2</v>
      </c>
      <c r="AY56" s="171">
        <f t="shared" si="4"/>
        <v>2.1739130434782622E-2</v>
      </c>
      <c r="AZ56" s="171">
        <f t="shared" si="4"/>
        <v>3.1055900621118029E-2</v>
      </c>
      <c r="BA56" s="171">
        <f t="shared" si="4"/>
        <v>0</v>
      </c>
      <c r="BB56" s="171">
        <f t="shared" si="4"/>
        <v>0</v>
      </c>
      <c r="BC56" s="171">
        <f t="shared" si="4"/>
        <v>0</v>
      </c>
      <c r="BD56" s="171">
        <f t="shared" si="4"/>
        <v>0</v>
      </c>
      <c r="BE56" s="171">
        <f t="shared" si="4"/>
        <v>0</v>
      </c>
      <c r="BF56" s="171">
        <f t="shared" si="4"/>
        <v>0</v>
      </c>
      <c r="BG56" s="171">
        <f t="shared" si="4"/>
        <v>0</v>
      </c>
      <c r="BH56" s="171">
        <f t="shared" si="4"/>
        <v>0</v>
      </c>
      <c r="BI56" s="171">
        <f t="shared" si="4"/>
        <v>0</v>
      </c>
      <c r="BJ56" s="171">
        <f t="shared" si="4"/>
        <v>0</v>
      </c>
      <c r="BK56" s="171">
        <f t="shared" si="4"/>
        <v>0</v>
      </c>
      <c r="BL56" s="171">
        <f t="shared" si="4"/>
        <v>0</v>
      </c>
      <c r="BM56" s="171">
        <f t="shared" si="4"/>
        <v>0</v>
      </c>
      <c r="BN56" s="171">
        <f t="shared" si="4"/>
        <v>0</v>
      </c>
      <c r="BO56" s="171">
        <f t="shared" si="4"/>
        <v>0</v>
      </c>
      <c r="BP56" s="171">
        <f t="shared" ref="BP56:CG56" si="5">BP55*1/$C$55</f>
        <v>0</v>
      </c>
      <c r="BQ56" s="171">
        <f t="shared" si="5"/>
        <v>0</v>
      </c>
      <c r="BR56" s="171">
        <f t="shared" si="5"/>
        <v>0</v>
      </c>
      <c r="BS56" s="171">
        <f t="shared" si="5"/>
        <v>0</v>
      </c>
      <c r="BT56" s="171">
        <f t="shared" si="5"/>
        <v>0</v>
      </c>
      <c r="BU56" s="171">
        <f t="shared" si="5"/>
        <v>0</v>
      </c>
      <c r="BV56" s="171">
        <f t="shared" si="5"/>
        <v>0</v>
      </c>
      <c r="BW56" s="171">
        <f t="shared" si="5"/>
        <v>0</v>
      </c>
      <c r="BX56" s="171">
        <f t="shared" si="5"/>
        <v>0</v>
      </c>
      <c r="BY56" s="171">
        <f t="shared" si="5"/>
        <v>0</v>
      </c>
      <c r="BZ56" s="171">
        <f t="shared" si="5"/>
        <v>0</v>
      </c>
      <c r="CA56" s="171">
        <f t="shared" si="5"/>
        <v>0</v>
      </c>
      <c r="CB56" s="171">
        <f t="shared" si="5"/>
        <v>0</v>
      </c>
      <c r="CC56" s="171">
        <f t="shared" si="5"/>
        <v>0</v>
      </c>
      <c r="CD56" s="171">
        <f t="shared" si="5"/>
        <v>0</v>
      </c>
      <c r="CE56" s="171">
        <f t="shared" si="5"/>
        <v>0</v>
      </c>
      <c r="CF56" s="171">
        <f t="shared" si="5"/>
        <v>0</v>
      </c>
      <c r="CG56" s="171">
        <f t="shared" si="5"/>
        <v>0</v>
      </c>
    </row>
    <row r="57" spans="1:85" s="478" customFormat="1">
      <c r="A57" s="477" t="s">
        <v>442</v>
      </c>
      <c r="C57" s="479">
        <f>SUM(D57:CG57)</f>
        <v>1.0000000000000004</v>
      </c>
      <c r="D57" s="480">
        <v>0.02</v>
      </c>
      <c r="E57" s="480">
        <v>0.02</v>
      </c>
      <c r="F57" s="480">
        <v>0.02</v>
      </c>
      <c r="G57" s="480">
        <v>0.02</v>
      </c>
      <c r="H57" s="480">
        <v>0.02</v>
      </c>
      <c r="I57" s="480">
        <v>0.02</v>
      </c>
      <c r="J57" s="480">
        <v>0.02</v>
      </c>
      <c r="K57" s="480">
        <v>0.02</v>
      </c>
      <c r="L57" s="480">
        <v>0.02</v>
      </c>
      <c r="M57" s="480">
        <v>0.02</v>
      </c>
      <c r="N57" s="480">
        <v>0.02</v>
      </c>
      <c r="O57" s="480">
        <v>0.02</v>
      </c>
      <c r="P57" s="480">
        <v>0.02</v>
      </c>
      <c r="Q57" s="480">
        <v>0.02</v>
      </c>
      <c r="R57" s="480">
        <v>0.02</v>
      </c>
      <c r="S57" s="480">
        <v>0.02</v>
      </c>
      <c r="T57" s="480">
        <v>0.02</v>
      </c>
      <c r="U57" s="480">
        <v>0.03</v>
      </c>
      <c r="V57" s="480">
        <v>0.03</v>
      </c>
      <c r="W57" s="480">
        <v>0.03</v>
      </c>
      <c r="X57" s="480">
        <v>0.03</v>
      </c>
      <c r="Y57" s="480">
        <v>0.03</v>
      </c>
      <c r="Z57" s="480">
        <v>0.03</v>
      </c>
      <c r="AA57" s="480">
        <v>0.03</v>
      </c>
      <c r="AB57" s="480">
        <v>0.03</v>
      </c>
      <c r="AC57" s="480">
        <v>0.03</v>
      </c>
      <c r="AD57" s="480">
        <v>0.03</v>
      </c>
      <c r="AE57" s="480">
        <v>0.03</v>
      </c>
      <c r="AF57" s="480">
        <v>0.03</v>
      </c>
      <c r="AG57" s="480">
        <v>0.01</v>
      </c>
      <c r="AH57" s="480">
        <v>0.01</v>
      </c>
      <c r="AI57" s="480">
        <v>0.01</v>
      </c>
      <c r="AJ57" s="480">
        <v>0.01</v>
      </c>
      <c r="AK57" s="480">
        <v>0.01</v>
      </c>
      <c r="AL57" s="480">
        <v>0.01</v>
      </c>
      <c r="AM57" s="480">
        <v>0.01</v>
      </c>
      <c r="AN57" s="480">
        <v>0.01</v>
      </c>
      <c r="AO57" s="480">
        <v>0.01</v>
      </c>
      <c r="AP57" s="480">
        <v>0.01</v>
      </c>
      <c r="AQ57" s="480">
        <v>0.01</v>
      </c>
      <c r="AR57" s="480">
        <v>0.01</v>
      </c>
      <c r="AS57" s="480">
        <v>0.02</v>
      </c>
      <c r="AT57" s="480">
        <v>0.02</v>
      </c>
      <c r="AU57" s="480">
        <v>0.02</v>
      </c>
      <c r="AV57" s="480">
        <v>0.02</v>
      </c>
      <c r="AW57" s="480">
        <v>0.02</v>
      </c>
      <c r="AX57" s="480">
        <v>0.02</v>
      </c>
      <c r="AY57" s="480">
        <v>0.02</v>
      </c>
      <c r="AZ57" s="480">
        <v>0.02</v>
      </c>
      <c r="BA57" s="480">
        <v>0.02</v>
      </c>
      <c r="BC57" s="480">
        <v>0</v>
      </c>
      <c r="BD57" s="480">
        <v>0</v>
      </c>
      <c r="BE57" s="480"/>
      <c r="BF57" s="480"/>
      <c r="BG57" s="480"/>
      <c r="BH57" s="480"/>
      <c r="BI57" s="480"/>
      <c r="BJ57" s="480"/>
      <c r="BK57" s="480"/>
      <c r="BL57" s="480"/>
      <c r="BM57" s="480"/>
      <c r="BN57" s="480"/>
      <c r="BO57" s="480"/>
      <c r="BP57" s="480"/>
      <c r="BQ57" s="480"/>
      <c r="BR57" s="480"/>
      <c r="BS57" s="480"/>
      <c r="BT57" s="480"/>
      <c r="BU57" s="480"/>
      <c r="BV57" s="480"/>
      <c r="BW57" s="480"/>
      <c r="BX57" s="480"/>
      <c r="BY57" s="480"/>
      <c r="BZ57" s="480"/>
      <c r="CA57" s="480"/>
      <c r="CB57" s="480"/>
      <c r="CC57" s="480"/>
      <c r="CD57" s="480"/>
      <c r="CE57" s="480"/>
      <c r="CF57" s="480"/>
      <c r="CG57" s="480"/>
    </row>
    <row r="58" spans="1:85">
      <c r="A58" s="291" t="s">
        <v>441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</row>
    <row r="59" spans="1:85">
      <c r="A59" s="62"/>
      <c r="B59" s="62" t="s">
        <v>432</v>
      </c>
      <c r="C59" s="194">
        <f>1/C49</f>
        <v>2.1282317925915301E-2</v>
      </c>
      <c r="D59" s="285">
        <f ca="1">D36*C59</f>
        <v>8.6236457100556585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</row>
    <row r="60" spans="1:85">
      <c r="A60" s="62"/>
      <c r="B60" s="62" t="s">
        <v>433</v>
      </c>
      <c r="C60" s="194">
        <f>1/D49</f>
        <v>1.3888888888888888E-2</v>
      </c>
      <c r="D60" s="285">
        <f ca="1">D36*C60</f>
        <v>5.6278107253655838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</row>
    <row r="61" spans="1:8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111">
        <f>SUM(D62:AG62)</f>
        <v>1.0000000000000004</v>
      </c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</row>
    <row r="62" spans="1:85" s="478" customFormat="1">
      <c r="A62" s="477" t="s">
        <v>442</v>
      </c>
      <c r="C62" s="479">
        <f>SUM(D62:CG62)</f>
        <v>1.0000000000000004</v>
      </c>
      <c r="D62" s="480"/>
      <c r="E62" s="480">
        <v>0.02</v>
      </c>
      <c r="F62" s="480">
        <v>0.02</v>
      </c>
      <c r="G62" s="480">
        <v>0.02</v>
      </c>
      <c r="H62" s="480">
        <v>0.02</v>
      </c>
      <c r="I62" s="480">
        <v>0.02</v>
      </c>
      <c r="J62" s="480">
        <v>0.02</v>
      </c>
      <c r="K62" s="480">
        <v>0.02</v>
      </c>
      <c r="L62" s="480">
        <v>0.02</v>
      </c>
      <c r="M62" s="480">
        <v>0.02</v>
      </c>
      <c r="N62" s="480">
        <v>0.02</v>
      </c>
      <c r="O62" s="480">
        <v>0.02</v>
      </c>
      <c r="P62" s="480">
        <v>0.02</v>
      </c>
      <c r="Q62" s="480">
        <v>0.02</v>
      </c>
      <c r="R62" s="480">
        <v>0.02</v>
      </c>
      <c r="S62" s="480">
        <v>0.02</v>
      </c>
      <c r="T62" s="480">
        <v>0.02</v>
      </c>
      <c r="U62" s="480">
        <v>0.02</v>
      </c>
      <c r="V62" s="480">
        <v>0.04</v>
      </c>
      <c r="W62" s="480">
        <v>0.04</v>
      </c>
      <c r="X62" s="480">
        <v>0.04</v>
      </c>
      <c r="Y62" s="480">
        <v>0.06</v>
      </c>
      <c r="Z62" s="480">
        <v>0.06</v>
      </c>
      <c r="AA62" s="480">
        <v>0.06</v>
      </c>
      <c r="AB62" s="480">
        <v>0.06</v>
      </c>
      <c r="AC62" s="480">
        <v>0.06</v>
      </c>
      <c r="AD62" s="480">
        <v>0.06</v>
      </c>
      <c r="AE62" s="480">
        <v>0.06</v>
      </c>
      <c r="AF62" s="480">
        <v>0.06</v>
      </c>
      <c r="AG62" s="480">
        <v>0.06</v>
      </c>
      <c r="AH62" s="480">
        <v>0</v>
      </c>
      <c r="AI62" s="480">
        <v>0</v>
      </c>
      <c r="AJ62" s="480">
        <v>0</v>
      </c>
      <c r="AK62" s="480">
        <v>0</v>
      </c>
      <c r="AL62" s="480">
        <v>0</v>
      </c>
      <c r="AM62" s="480">
        <v>0</v>
      </c>
      <c r="AN62" s="480">
        <v>0</v>
      </c>
      <c r="AO62" s="480">
        <v>0</v>
      </c>
      <c r="AP62" s="480">
        <v>0</v>
      </c>
      <c r="AQ62" s="480">
        <v>0</v>
      </c>
      <c r="AR62" s="480">
        <v>0</v>
      </c>
      <c r="AS62" s="480">
        <v>0</v>
      </c>
      <c r="AT62" s="480">
        <v>0</v>
      </c>
      <c r="AU62" s="480">
        <v>0</v>
      </c>
      <c r="AV62" s="480">
        <v>0</v>
      </c>
      <c r="AW62" s="480">
        <v>0</v>
      </c>
      <c r="AX62" s="480">
        <v>0</v>
      </c>
      <c r="AY62" s="480">
        <v>0</v>
      </c>
      <c r="AZ62" s="480">
        <v>0</v>
      </c>
      <c r="BA62" s="480">
        <v>0</v>
      </c>
      <c r="BB62" s="480">
        <v>0</v>
      </c>
      <c r="BC62" s="480">
        <v>0</v>
      </c>
      <c r="BD62" s="480">
        <v>0</v>
      </c>
      <c r="BE62" s="480"/>
      <c r="BF62" s="480"/>
      <c r="BG62" s="480"/>
      <c r="BH62" s="480"/>
      <c r="BI62" s="480"/>
      <c r="BJ62" s="480"/>
      <c r="BK62" s="480"/>
      <c r="BL62" s="480"/>
      <c r="BM62" s="480"/>
      <c r="BN62" s="480"/>
      <c r="BO62" s="480"/>
      <c r="BP62" s="480"/>
      <c r="BQ62" s="480"/>
      <c r="BR62" s="480"/>
      <c r="BS62" s="480"/>
      <c r="BT62" s="480"/>
      <c r="BU62" s="480"/>
      <c r="BV62" s="480"/>
      <c r="BW62" s="480"/>
      <c r="BX62" s="480"/>
      <c r="BY62" s="480"/>
      <c r="BZ62" s="480"/>
      <c r="CA62" s="480"/>
      <c r="CB62" s="480"/>
      <c r="CC62" s="480"/>
      <c r="CD62" s="480"/>
      <c r="CE62" s="480"/>
      <c r="CF62" s="480"/>
      <c r="CG62" s="480"/>
    </row>
    <row r="63" spans="1:85">
      <c r="A63" s="62"/>
      <c r="B63" s="62"/>
      <c r="C63" s="62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</row>
    <row r="64" spans="1:85">
      <c r="A64" s="291" t="s">
        <v>438</v>
      </c>
      <c r="B64" s="62"/>
      <c r="C64" s="193">
        <f>SUM(D64:CG64)</f>
        <v>1.0000000000000007</v>
      </c>
      <c r="D64" s="110">
        <v>0.01</v>
      </c>
      <c r="E64" s="110">
        <v>0.01</v>
      </c>
      <c r="F64" s="110">
        <v>0.01</v>
      </c>
      <c r="G64" s="110">
        <v>0.01</v>
      </c>
      <c r="H64" s="110">
        <v>0.01</v>
      </c>
      <c r="I64" s="110">
        <v>0.01</v>
      </c>
      <c r="J64" s="110">
        <v>0.01</v>
      </c>
      <c r="K64" s="110">
        <v>0.01</v>
      </c>
      <c r="L64" s="110">
        <v>0.01</v>
      </c>
      <c r="M64" s="110">
        <v>0.01</v>
      </c>
      <c r="N64" s="110">
        <v>0.01</v>
      </c>
      <c r="O64" s="110">
        <v>0.01</v>
      </c>
      <c r="P64" s="110">
        <v>0.01</v>
      </c>
      <c r="Q64" s="110">
        <v>0.01</v>
      </c>
      <c r="R64" s="110">
        <v>0.01</v>
      </c>
      <c r="S64" s="110">
        <v>0.01</v>
      </c>
      <c r="T64" s="171">
        <v>1.4999999999999999E-2</v>
      </c>
      <c r="U64" s="171">
        <v>1.4999999999999999E-2</v>
      </c>
      <c r="V64" s="171">
        <v>1.4999999999999999E-2</v>
      </c>
      <c r="W64" s="171">
        <v>1.4999999999999999E-2</v>
      </c>
      <c r="X64" s="171">
        <v>1.4999999999999999E-2</v>
      </c>
      <c r="Y64" s="171">
        <v>1.4999999999999999E-2</v>
      </c>
      <c r="Z64" s="171">
        <v>1.4999999999999999E-2</v>
      </c>
      <c r="AA64" s="171">
        <v>1.4999999999999999E-2</v>
      </c>
      <c r="AB64" s="171">
        <v>1.4999999999999999E-2</v>
      </c>
      <c r="AC64" s="171">
        <v>1.4999999999999999E-2</v>
      </c>
      <c r="AD64" s="171">
        <v>1.4999999999999999E-2</v>
      </c>
      <c r="AE64" s="171">
        <v>1.4999999999999999E-2</v>
      </c>
      <c r="AF64" s="171">
        <v>1.4999999999999999E-2</v>
      </c>
      <c r="AG64" s="171">
        <v>1.4999999999999999E-2</v>
      </c>
      <c r="AH64" s="171">
        <v>1.4999999999999999E-2</v>
      </c>
      <c r="AI64" s="171">
        <v>1.4999999999999999E-2</v>
      </c>
      <c r="AJ64" s="171">
        <v>1.4999999999999999E-2</v>
      </c>
      <c r="AK64" s="171">
        <v>1.4999999999999999E-2</v>
      </c>
      <c r="AL64" s="171">
        <v>1.4999999999999999E-2</v>
      </c>
      <c r="AM64" s="171">
        <v>1.4999999999999999E-2</v>
      </c>
      <c r="AN64" s="171">
        <v>1.4999999999999999E-2</v>
      </c>
      <c r="AO64" s="171">
        <v>1.4999999999999999E-2</v>
      </c>
      <c r="AP64" s="171">
        <v>1.4999999999999999E-2</v>
      </c>
      <c r="AQ64" s="171">
        <v>1.4999999999999999E-2</v>
      </c>
      <c r="AR64" s="171">
        <v>1.4999999999999999E-2</v>
      </c>
      <c r="AS64" s="171">
        <v>1.4999999999999999E-2</v>
      </c>
      <c r="AT64" s="171">
        <v>1.4999999999999999E-2</v>
      </c>
      <c r="AU64" s="171">
        <v>1.4999999999999999E-2</v>
      </c>
      <c r="AV64" s="171">
        <v>1.4999999999999999E-2</v>
      </c>
      <c r="AW64" s="171">
        <v>1.4999999999999999E-2</v>
      </c>
      <c r="AX64" s="171">
        <v>1.4999999999999999E-2</v>
      </c>
      <c r="AY64" s="171">
        <v>1.4999999999999999E-2</v>
      </c>
      <c r="AZ64" s="171">
        <v>1.4999999999999999E-2</v>
      </c>
      <c r="BA64" s="171">
        <v>1.4999999999999999E-2</v>
      </c>
      <c r="BB64" s="171">
        <v>1.4999999999999999E-2</v>
      </c>
      <c r="BC64" s="171">
        <v>1.4999999999999999E-2</v>
      </c>
      <c r="BD64" s="171">
        <v>1.4999999999999999E-2</v>
      </c>
      <c r="BE64" s="171">
        <v>1.4999999999999999E-2</v>
      </c>
      <c r="BF64" s="171">
        <v>1.4999999999999999E-2</v>
      </c>
      <c r="BG64" s="171">
        <v>1.4999999999999999E-2</v>
      </c>
      <c r="BH64" s="171">
        <v>1.4999999999999999E-2</v>
      </c>
      <c r="BI64" s="171">
        <v>1.4999999999999999E-2</v>
      </c>
      <c r="BJ64" s="171">
        <v>1.4999999999999999E-2</v>
      </c>
      <c r="BK64" s="171">
        <v>1.4999999999999999E-2</v>
      </c>
      <c r="BL64" s="171">
        <v>1.4999999999999999E-2</v>
      </c>
      <c r="BM64" s="171">
        <v>1.4999999999999999E-2</v>
      </c>
      <c r="BN64" s="171">
        <v>1.4999999999999999E-2</v>
      </c>
      <c r="BO64" s="171">
        <v>1.4999999999999999E-2</v>
      </c>
      <c r="BP64" s="171">
        <v>1.4999999999999999E-2</v>
      </c>
      <c r="BQ64" s="171">
        <v>1.4999999999999999E-2</v>
      </c>
      <c r="BR64" s="171">
        <v>1.4999999999999999E-2</v>
      </c>
      <c r="BS64" s="171">
        <v>1.4999999999999999E-2</v>
      </c>
      <c r="BT64" s="171">
        <v>1.4999999999999999E-2</v>
      </c>
      <c r="BU64" s="171">
        <v>1.4999999999999999E-2</v>
      </c>
      <c r="BV64" s="171">
        <v>1.4999999999999999E-2</v>
      </c>
      <c r="BW64" s="171">
        <v>1.4999999999999999E-2</v>
      </c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</row>
    <row r="65" spans="1:85">
      <c r="A65" s="62"/>
      <c r="B65" s="62"/>
      <c r="C65" s="286"/>
      <c r="D65" s="11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</row>
    <row r="66" spans="1:85" s="62" customFormat="1">
      <c r="C66" s="286"/>
      <c r="D66" s="110">
        <v>0.01</v>
      </c>
      <c r="E66" s="110">
        <v>0.01</v>
      </c>
      <c r="F66" s="110">
        <v>1.4999999999999999E-2</v>
      </c>
      <c r="G66" s="110">
        <v>1.4999999999999999E-2</v>
      </c>
      <c r="H66" s="110">
        <v>1.4999999999999999E-2</v>
      </c>
      <c r="I66" s="110">
        <v>1.4999999999999999E-2</v>
      </c>
      <c r="J66" s="110">
        <v>1.4999999999999999E-2</v>
      </c>
      <c r="K66" s="110">
        <v>1.4999999999999999E-2</v>
      </c>
      <c r="L66" s="110">
        <v>1.4999999999999999E-2</v>
      </c>
      <c r="M66" s="110">
        <v>1.4999999999999999E-2</v>
      </c>
      <c r="N66" s="110">
        <v>0.02</v>
      </c>
      <c r="O66" s="110">
        <v>0.02</v>
      </c>
      <c r="P66" s="110">
        <v>0.02</v>
      </c>
      <c r="Q66" s="110">
        <v>0.02</v>
      </c>
      <c r="R66" s="110">
        <v>0.02</v>
      </c>
      <c r="S66" s="110">
        <v>0.02</v>
      </c>
      <c r="T66" s="110">
        <v>0.02</v>
      </c>
      <c r="U66" s="110">
        <v>0.02</v>
      </c>
      <c r="V66" s="110">
        <v>0.02</v>
      </c>
      <c r="W66" s="110">
        <v>0.02</v>
      </c>
      <c r="X66" s="110">
        <v>0.02</v>
      </c>
      <c r="Y66" s="110">
        <v>0.02</v>
      </c>
      <c r="Z66" s="110">
        <v>0.02</v>
      </c>
      <c r="AA66" s="110">
        <v>0.02</v>
      </c>
      <c r="AB66" s="110">
        <v>0.02</v>
      </c>
      <c r="AC66" s="110">
        <v>0.02</v>
      </c>
      <c r="AD66" s="110">
        <v>0.02</v>
      </c>
      <c r="AE66" s="110">
        <v>0.02</v>
      </c>
      <c r="AF66" s="110">
        <v>0.02</v>
      </c>
      <c r="AG66" s="110">
        <v>0.02</v>
      </c>
      <c r="AH66" s="110">
        <v>0.02</v>
      </c>
      <c r="AI66" s="110">
        <v>0.02</v>
      </c>
      <c r="AJ66" s="110">
        <v>0.02</v>
      </c>
      <c r="AK66" s="110">
        <v>0.02</v>
      </c>
      <c r="AL66" s="110">
        <v>0.02</v>
      </c>
      <c r="AM66" s="110">
        <v>0.02</v>
      </c>
      <c r="AN66" s="110">
        <v>0.02</v>
      </c>
      <c r="AO66" s="110">
        <v>0.02</v>
      </c>
      <c r="AP66" s="110">
        <v>0.02</v>
      </c>
      <c r="AQ66" s="110">
        <v>0.02</v>
      </c>
      <c r="AR66" s="110">
        <v>0.02</v>
      </c>
      <c r="AS66" s="110">
        <v>0.02</v>
      </c>
      <c r="AT66" s="110">
        <v>0.02</v>
      </c>
      <c r="AU66" s="110">
        <v>0.02</v>
      </c>
      <c r="AV66" s="110">
        <v>0.02</v>
      </c>
      <c r="AW66" s="110">
        <v>0.02</v>
      </c>
      <c r="AX66" s="110">
        <v>0.02</v>
      </c>
      <c r="AY66" s="110">
        <v>0.02</v>
      </c>
      <c r="AZ66" s="110">
        <v>0.02</v>
      </c>
      <c r="BA66" s="110">
        <v>0.02</v>
      </c>
      <c r="BB66" s="110">
        <v>0.02</v>
      </c>
      <c r="BC66" s="110">
        <v>0.02</v>
      </c>
      <c r="BD66" s="110">
        <v>0.02</v>
      </c>
    </row>
    <row r="67" spans="1:85">
      <c r="A67" s="62"/>
      <c r="B67" s="62"/>
      <c r="C67" s="6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</row>
    <row r="68" spans="1:85" ht="13.5" hidden="1" thickBot="1">
      <c r="A68" s="282" t="s">
        <v>395</v>
      </c>
      <c r="B68" s="282"/>
      <c r="C68" s="283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</row>
    <row r="69" spans="1:85" hidden="1">
      <c r="A69" s="301" t="s">
        <v>443</v>
      </c>
      <c r="B69" s="288"/>
      <c r="C69" s="288"/>
      <c r="D69" s="289"/>
      <c r="E69" s="34"/>
      <c r="F69" s="287" t="s">
        <v>396</v>
      </c>
      <c r="G69" s="288"/>
      <c r="H69" s="288"/>
      <c r="I69" s="288"/>
      <c r="J69" s="288"/>
      <c r="K69" s="288"/>
      <c r="L69" s="288"/>
      <c r="M69" s="288"/>
      <c r="N69" s="288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</row>
    <row r="70" spans="1:85" hidden="1">
      <c r="A70" s="302"/>
      <c r="B70" s="29"/>
      <c r="C70" s="29"/>
      <c r="D70" s="66"/>
      <c r="E70" s="34"/>
      <c r="F70" s="38"/>
      <c r="G70" s="29"/>
      <c r="H70" s="29"/>
      <c r="I70" s="29"/>
      <c r="J70" s="29"/>
      <c r="K70" s="29"/>
      <c r="L70" s="29"/>
      <c r="M70" s="29"/>
      <c r="N70" s="29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</row>
    <row r="71" spans="1:85" hidden="1">
      <c r="A71" s="291" t="s">
        <v>444</v>
      </c>
      <c r="B71" s="291" t="s">
        <v>445</v>
      </c>
      <c r="C71" s="62"/>
      <c r="D71" s="1"/>
      <c r="E71" s="34"/>
      <c r="F71" s="291" t="s">
        <v>444</v>
      </c>
      <c r="G71" s="291" t="s">
        <v>445</v>
      </c>
      <c r="H71" s="291"/>
      <c r="I71" s="291"/>
      <c r="J71" s="62"/>
      <c r="K71" s="1" t="s">
        <v>446</v>
      </c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</row>
    <row r="72" spans="1:85" hidden="1">
      <c r="A72" s="62"/>
      <c r="B72" s="62" t="s">
        <v>443</v>
      </c>
      <c r="C72" s="62"/>
      <c r="D72" s="112">
        <v>48</v>
      </c>
      <c r="E72" s="34"/>
      <c r="F72" s="62"/>
      <c r="G72" s="62" t="s">
        <v>447</v>
      </c>
      <c r="H72" s="62"/>
      <c r="I72" s="62"/>
      <c r="J72" s="62"/>
      <c r="K72" s="112">
        <f>294</f>
        <v>294</v>
      </c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</row>
    <row r="73" spans="1:85" hidden="1">
      <c r="A73" s="62"/>
      <c r="B73" s="62" t="s">
        <v>448</v>
      </c>
      <c r="C73" s="171">
        <v>0.1</v>
      </c>
      <c r="D73" s="112">
        <f>D72*C73</f>
        <v>4.8000000000000007</v>
      </c>
      <c r="E73" s="34"/>
      <c r="F73" s="62"/>
      <c r="G73" s="62" t="s">
        <v>449</v>
      </c>
      <c r="H73" s="62"/>
      <c r="I73" s="62"/>
      <c r="J73" s="171"/>
      <c r="K73" s="112">
        <f>25</f>
        <v>25</v>
      </c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</row>
    <row r="74" spans="1:85" hidden="1">
      <c r="A74" s="62"/>
      <c r="B74" s="62"/>
      <c r="C74" s="171"/>
      <c r="D74" s="112"/>
      <c r="E74" s="34"/>
      <c r="F74" s="62"/>
      <c r="G74" s="62" t="s">
        <v>450</v>
      </c>
      <c r="H74" s="62"/>
      <c r="I74" s="62"/>
      <c r="J74" s="171"/>
      <c r="K74" s="112">
        <f>24</f>
        <v>24</v>
      </c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</row>
    <row r="75" spans="1:85" hidden="1">
      <c r="A75" s="62"/>
      <c r="B75" s="62"/>
      <c r="C75" s="171"/>
      <c r="D75" s="303">
        <f>D72+D73</f>
        <v>52.8</v>
      </c>
      <c r="E75" s="34"/>
      <c r="F75" s="62"/>
      <c r="G75" s="62"/>
      <c r="H75" s="62"/>
      <c r="I75" s="62"/>
      <c r="J75" s="171"/>
      <c r="K75" s="303">
        <f>SUM(K72:K74)</f>
        <v>343</v>
      </c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</row>
    <row r="76" spans="1:85" hidden="1">
      <c r="A76" s="62"/>
      <c r="B76" s="62" t="s">
        <v>407</v>
      </c>
      <c r="C76" s="171">
        <v>0.18</v>
      </c>
      <c r="D76" s="112">
        <f>D75*C76</f>
        <v>9.5039999999999996</v>
      </c>
      <c r="E76" s="34"/>
      <c r="F76" s="62"/>
      <c r="G76" s="62" t="s">
        <v>407</v>
      </c>
      <c r="H76" s="62"/>
      <c r="I76" s="62"/>
      <c r="J76" s="171"/>
      <c r="K76" s="112">
        <f>K75*C76</f>
        <v>61.739999999999995</v>
      </c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</row>
    <row r="77" spans="1:85" hidden="1">
      <c r="A77" s="62"/>
      <c r="B77" s="291" t="s">
        <v>451</v>
      </c>
      <c r="C77" s="304"/>
      <c r="D77" s="305">
        <f>D75+D76</f>
        <v>62.303999999999995</v>
      </c>
      <c r="E77" s="34"/>
      <c r="F77" s="62"/>
      <c r="G77" s="291" t="s">
        <v>451</v>
      </c>
      <c r="H77" s="291"/>
      <c r="I77" s="291"/>
      <c r="J77" s="304"/>
      <c r="K77" s="305">
        <f>K75+K76</f>
        <v>404.74</v>
      </c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</row>
    <row r="78" spans="1:85" hidden="1">
      <c r="B78" s="62"/>
      <c r="C78" s="171"/>
      <c r="D78" s="112"/>
      <c r="E78" s="34"/>
      <c r="F78" s="62"/>
      <c r="G78" s="62"/>
      <c r="H78" s="62"/>
      <c r="I78" s="62"/>
      <c r="J78" s="171"/>
      <c r="K78" s="11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</row>
    <row r="79" spans="1:85" hidden="1">
      <c r="A79" s="291" t="s">
        <v>452</v>
      </c>
      <c r="B79" s="291" t="s">
        <v>453</v>
      </c>
      <c r="C79" s="171"/>
      <c r="D79" s="112"/>
      <c r="E79" s="34"/>
      <c r="F79" s="291" t="s">
        <v>452</v>
      </c>
      <c r="G79" s="291" t="s">
        <v>453</v>
      </c>
      <c r="H79" s="291"/>
      <c r="I79" s="291"/>
      <c r="J79" s="171"/>
      <c r="K79" s="11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</row>
    <row r="80" spans="1:85" hidden="1">
      <c r="A80" s="62"/>
      <c r="B80" s="62" t="s">
        <v>454</v>
      </c>
      <c r="C80" s="171">
        <v>0.3</v>
      </c>
      <c r="D80" s="112">
        <f>D77*C80</f>
        <v>18.691199999999998</v>
      </c>
      <c r="E80" s="34"/>
      <c r="F80" s="62"/>
      <c r="G80" s="62" t="s">
        <v>455</v>
      </c>
      <c r="H80" s="62"/>
      <c r="I80" s="62"/>
      <c r="J80" s="171">
        <v>0.12</v>
      </c>
      <c r="K80" s="112">
        <f>K77*J80</f>
        <v>48.568799999999996</v>
      </c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</row>
    <row r="81" spans="1:85" hidden="1">
      <c r="A81" s="62"/>
      <c r="B81" s="62" t="s">
        <v>456</v>
      </c>
      <c r="C81" s="171" t="s">
        <v>457</v>
      </c>
      <c r="D81" s="112">
        <v>0</v>
      </c>
      <c r="E81" s="34"/>
      <c r="F81" s="62"/>
      <c r="G81" s="62" t="s">
        <v>456</v>
      </c>
      <c r="H81" s="62"/>
      <c r="I81" s="62"/>
      <c r="J81" s="171" t="s">
        <v>457</v>
      </c>
      <c r="K81" s="112">
        <f>50</f>
        <v>50</v>
      </c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</row>
    <row r="82" spans="1:85" hidden="1">
      <c r="A82" s="62"/>
      <c r="B82" s="62" t="s">
        <v>458</v>
      </c>
      <c r="C82" s="171" t="s">
        <v>457</v>
      </c>
      <c r="D82" s="112">
        <v>0.36</v>
      </c>
      <c r="E82" s="34"/>
      <c r="F82" s="62"/>
      <c r="G82" s="62" t="s">
        <v>458</v>
      </c>
      <c r="H82" s="62"/>
      <c r="I82" s="62"/>
      <c r="J82" s="171" t="s">
        <v>457</v>
      </c>
      <c r="K82" s="112">
        <f>(30000*5400)/10^7</f>
        <v>16.2</v>
      </c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</row>
    <row r="83" spans="1:85" hidden="1">
      <c r="A83" s="62"/>
      <c r="B83" s="291" t="s">
        <v>459</v>
      </c>
      <c r="C83" s="306"/>
      <c r="D83" s="305">
        <f>SUM(D80:D82)</f>
        <v>19.051199999999998</v>
      </c>
      <c r="E83" s="34"/>
      <c r="F83" s="62"/>
      <c r="G83" s="291" t="s">
        <v>459</v>
      </c>
      <c r="H83" s="291"/>
      <c r="I83" s="291"/>
      <c r="J83" s="306"/>
      <c r="K83" s="305">
        <f>SUM(K80:K82)</f>
        <v>114.7688</v>
      </c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</row>
    <row r="84" spans="1:85" hidden="1">
      <c r="A84" s="62"/>
      <c r="B84" s="62"/>
      <c r="C84" s="171"/>
      <c r="D84" s="112"/>
      <c r="E84" s="34"/>
      <c r="F84" s="62"/>
      <c r="G84" s="62"/>
      <c r="H84" s="62"/>
      <c r="I84" s="62"/>
      <c r="J84" s="171"/>
      <c r="K84" s="11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</row>
    <row r="85" spans="1:85" hidden="1">
      <c r="A85" s="62"/>
      <c r="B85" s="291" t="s">
        <v>460</v>
      </c>
      <c r="C85" s="304"/>
      <c r="D85" s="305">
        <f>D77+D83</f>
        <v>81.355199999999996</v>
      </c>
      <c r="E85" s="34"/>
      <c r="F85" s="291"/>
      <c r="G85" s="291" t="s">
        <v>460</v>
      </c>
      <c r="H85" s="291"/>
      <c r="I85" s="291"/>
      <c r="J85" s="304"/>
      <c r="K85" s="305">
        <f>K77+K83</f>
        <v>519.50880000000006</v>
      </c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</row>
    <row r="86" spans="1:85" hidden="1">
      <c r="A86" s="62"/>
      <c r="B86" s="62"/>
      <c r="C86" s="171"/>
      <c r="D86" s="112"/>
      <c r="E86" s="34"/>
      <c r="F86" s="62"/>
      <c r="G86" s="62"/>
      <c r="H86" s="62"/>
      <c r="I86" s="62"/>
      <c r="J86" s="171"/>
      <c r="K86" s="11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</row>
    <row r="87" spans="1:85" hidden="1">
      <c r="A87" s="291" t="s">
        <v>461</v>
      </c>
      <c r="B87" s="291" t="s">
        <v>462</v>
      </c>
      <c r="C87" s="171"/>
      <c r="D87" s="112"/>
      <c r="E87" s="34"/>
      <c r="F87" s="291" t="s">
        <v>461</v>
      </c>
      <c r="G87" s="291" t="s">
        <v>462</v>
      </c>
      <c r="H87" s="291"/>
      <c r="I87" s="291"/>
      <c r="J87" s="171"/>
      <c r="K87" s="11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</row>
    <row r="88" spans="1:85" hidden="1">
      <c r="A88" s="62"/>
      <c r="B88" s="62" t="s">
        <v>463</v>
      </c>
      <c r="C88" s="171">
        <v>0.05</v>
      </c>
      <c r="D88" s="112">
        <f>$D$332*C88</f>
        <v>4.2736799999999997</v>
      </c>
      <c r="E88" s="34"/>
      <c r="F88" s="62"/>
      <c r="G88" s="62" t="s">
        <v>463</v>
      </c>
      <c r="H88" s="62"/>
      <c r="I88" s="62"/>
      <c r="J88" s="171">
        <v>0.05</v>
      </c>
      <c r="K88" s="112">
        <f>$D$358*J88</f>
        <v>27.127920000000003</v>
      </c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</row>
    <row r="89" spans="1:85" hidden="1">
      <c r="A89" s="62"/>
      <c r="B89" s="62" t="s">
        <v>464</v>
      </c>
      <c r="C89" s="171">
        <v>5.0000000000000001E-3</v>
      </c>
      <c r="D89" s="112">
        <f>$D$332*C89</f>
        <v>0.42736799999999997</v>
      </c>
      <c r="E89" s="34"/>
      <c r="F89" s="62"/>
      <c r="G89" s="62" t="s">
        <v>464</v>
      </c>
      <c r="H89" s="62"/>
      <c r="I89" s="62"/>
      <c r="J89" s="171">
        <v>5.0000000000000001E-3</v>
      </c>
      <c r="K89" s="112">
        <f>$D$358*J89</f>
        <v>2.7127919999999999</v>
      </c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</row>
    <row r="90" spans="1:85" hidden="1">
      <c r="A90" s="62"/>
      <c r="B90" s="62" t="s">
        <v>465</v>
      </c>
      <c r="C90" s="171">
        <v>0.05</v>
      </c>
      <c r="D90" s="112">
        <f>$D$332*C90</f>
        <v>4.2736799999999997</v>
      </c>
      <c r="E90" s="34"/>
      <c r="F90" s="62"/>
      <c r="G90" s="62" t="s">
        <v>465</v>
      </c>
      <c r="H90" s="62"/>
      <c r="I90" s="62"/>
      <c r="J90" s="171">
        <v>0.05</v>
      </c>
      <c r="K90" s="112">
        <f>$D$358*J90</f>
        <v>27.127920000000003</v>
      </c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</row>
    <row r="91" spans="1:85" hidden="1">
      <c r="A91" s="62"/>
      <c r="B91" s="62" t="s">
        <v>466</v>
      </c>
      <c r="C91" s="171">
        <v>0.01</v>
      </c>
      <c r="D91" s="112">
        <f>$D$332*C91</f>
        <v>0.85473599999999994</v>
      </c>
      <c r="E91" s="34"/>
      <c r="F91" s="62"/>
      <c r="G91" s="62" t="s">
        <v>466</v>
      </c>
      <c r="H91" s="62"/>
      <c r="I91" s="62"/>
      <c r="J91" s="171">
        <v>0.01</v>
      </c>
      <c r="K91" s="112">
        <f>$D$358*J91</f>
        <v>5.4255839999999997</v>
      </c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</row>
    <row r="92" spans="1:85" hidden="1">
      <c r="A92" s="62"/>
      <c r="B92" s="62" t="s">
        <v>467</v>
      </c>
      <c r="C92" s="171">
        <v>0.02</v>
      </c>
      <c r="D92" s="112">
        <f>$D$332*C92</f>
        <v>1.7094719999999999</v>
      </c>
      <c r="E92" s="34"/>
      <c r="F92" s="62"/>
      <c r="G92" s="62" t="s">
        <v>467</v>
      </c>
      <c r="H92" s="62"/>
      <c r="I92" s="62"/>
      <c r="J92" s="171">
        <v>0.02</v>
      </c>
      <c r="K92" s="112">
        <f>$D$358*J92</f>
        <v>10.851167999999999</v>
      </c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</row>
    <row r="93" spans="1:85" hidden="1">
      <c r="A93" s="62"/>
      <c r="B93" s="291" t="s">
        <v>468</v>
      </c>
      <c r="C93" s="307"/>
      <c r="D93" s="305">
        <f>SUM(D88:D92)</f>
        <v>11.538935999999998</v>
      </c>
      <c r="E93" s="34"/>
      <c r="F93" s="62"/>
      <c r="G93" s="291" t="s">
        <v>468</v>
      </c>
      <c r="H93" s="291"/>
      <c r="I93" s="291"/>
      <c r="J93" s="307"/>
      <c r="K93" s="305">
        <f>SUM(K88:K92)</f>
        <v>73.245384000000001</v>
      </c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</row>
    <row r="94" spans="1:85" hidden="1">
      <c r="A94" s="62"/>
      <c r="B94" s="62"/>
      <c r="C94" s="62"/>
      <c r="D94" s="62"/>
      <c r="E94" s="34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</row>
    <row r="95" spans="1:85" ht="13.5" hidden="1" thickBot="1">
      <c r="A95" s="62"/>
      <c r="B95" s="291" t="s">
        <v>469</v>
      </c>
      <c r="C95" s="308"/>
      <c r="D95" s="309">
        <f>D93+D85</f>
        <v>92.894135999999989</v>
      </c>
      <c r="E95" s="34"/>
      <c r="F95" s="62"/>
      <c r="G95" s="291" t="s">
        <v>469</v>
      </c>
      <c r="H95" s="291"/>
      <c r="I95" s="291"/>
      <c r="J95" s="308"/>
      <c r="K95" s="309">
        <f>K93+K85</f>
        <v>592.75418400000012</v>
      </c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</row>
    <row r="96" spans="1:85" hidden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</row>
    <row r="97" spans="1:8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</row>
    <row r="98" spans="1:85">
      <c r="A98" s="62"/>
      <c r="B98" s="62"/>
      <c r="C98" s="62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</row>
    <row r="99" spans="1:85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</row>
    <row r="100" spans="1:85" ht="16.5" thickBot="1">
      <c r="A100" s="109" t="s">
        <v>470</v>
      </c>
      <c r="B100" s="282"/>
      <c r="C100" s="283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</row>
    <row r="101" spans="1:85" ht="13.5" thickTop="1">
      <c r="A101" s="291" t="s">
        <v>443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</row>
    <row r="102" spans="1:85">
      <c r="A102" s="62" t="s">
        <v>471</v>
      </c>
      <c r="B102" s="62"/>
      <c r="C102" s="62"/>
      <c r="D102" s="193">
        <v>0.01</v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</row>
    <row r="103" spans="1:85">
      <c r="A103" s="62" t="s">
        <v>300</v>
      </c>
      <c r="B103" s="62"/>
      <c r="C103" s="62"/>
      <c r="D103" s="193">
        <v>0.05</v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</row>
    <row r="104" spans="1:85">
      <c r="A104" s="62"/>
      <c r="B104" s="62"/>
      <c r="C104" s="62"/>
      <c r="D104" s="11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</row>
    <row r="105" spans="1:85">
      <c r="A105" s="296" t="s">
        <v>396</v>
      </c>
      <c r="B105" s="288"/>
      <c r="C105" s="288"/>
      <c r="D105" s="289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</row>
    <row r="106" spans="1:85">
      <c r="A106" s="62" t="s">
        <v>472</v>
      </c>
      <c r="B106" s="62"/>
      <c r="C106" s="189" t="s">
        <v>473</v>
      </c>
      <c r="D106" s="189">
        <v>13</v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</row>
    <row r="107" spans="1:85">
      <c r="A107" s="62" t="s">
        <v>474</v>
      </c>
      <c r="B107" s="62"/>
      <c r="C107" s="189" t="s">
        <v>475</v>
      </c>
      <c r="D107" s="189">
        <v>15</v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</row>
    <row r="108" spans="1:85">
      <c r="A108" s="62" t="s">
        <v>476</v>
      </c>
      <c r="B108" s="62"/>
      <c r="C108" s="62"/>
      <c r="D108" s="193">
        <v>0.01</v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</row>
    <row r="109" spans="1:85">
      <c r="A109" s="62"/>
      <c r="B109" s="62"/>
      <c r="C109" s="62"/>
      <c r="D109" s="11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</row>
    <row r="110" spans="1:85">
      <c r="A110" s="296" t="s">
        <v>477</v>
      </c>
      <c r="B110" s="288"/>
      <c r="C110" s="288"/>
      <c r="D110" s="289"/>
      <c r="E110" s="288" t="s">
        <v>424</v>
      </c>
      <c r="F110" s="288" t="s">
        <v>425</v>
      </c>
      <c r="G110" s="288"/>
      <c r="H110" s="288"/>
      <c r="I110" s="288"/>
      <c r="J110" s="288"/>
      <c r="K110" s="288"/>
      <c r="L110" s="288"/>
      <c r="M110" s="288"/>
      <c r="N110" s="288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</row>
    <row r="111" spans="1:85">
      <c r="A111" s="62" t="s">
        <v>478</v>
      </c>
      <c r="B111" s="62"/>
      <c r="C111" s="189" t="s">
        <v>479</v>
      </c>
      <c r="D111" s="209">
        <v>15</v>
      </c>
      <c r="E111" s="209">
        <v>10</v>
      </c>
      <c r="F111" s="209">
        <v>10</v>
      </c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</row>
    <row r="112" spans="1:85">
      <c r="A112" s="62" t="s">
        <v>480</v>
      </c>
      <c r="B112" s="62"/>
      <c r="C112" s="189" t="s">
        <v>481</v>
      </c>
      <c r="D112" s="285">
        <v>2000</v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</row>
    <row r="113" spans="1:85">
      <c r="A113" s="62" t="s">
        <v>482</v>
      </c>
      <c r="B113" s="62"/>
      <c r="C113" s="62"/>
      <c r="D113" s="194">
        <v>0.03</v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</row>
    <row r="114" spans="1:85">
      <c r="A114" s="62"/>
      <c r="B114" s="62"/>
      <c r="C114" s="62"/>
      <c r="D114" s="11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</row>
    <row r="115" spans="1:85">
      <c r="A115" s="291" t="s">
        <v>483</v>
      </c>
      <c r="B115" s="62"/>
      <c r="C115" s="62"/>
      <c r="D115" s="11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</row>
    <row r="116" spans="1:85">
      <c r="A116" s="62" t="s">
        <v>484</v>
      </c>
      <c r="B116" s="62"/>
      <c r="C116" s="189" t="s">
        <v>479</v>
      </c>
      <c r="D116" s="209">
        <f>D111*1.6</f>
        <v>24</v>
      </c>
      <c r="E116" s="209">
        <f>D116/2</f>
        <v>12</v>
      </c>
      <c r="F116" s="209">
        <f>E116</f>
        <v>12</v>
      </c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</row>
    <row r="117" spans="1:85">
      <c r="A117" s="62" t="s">
        <v>485</v>
      </c>
      <c r="B117" s="62"/>
      <c r="C117" s="189" t="s">
        <v>481</v>
      </c>
      <c r="D117" s="285">
        <v>200</v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</row>
    <row r="118" spans="1:85">
      <c r="A118" s="62" t="s">
        <v>482</v>
      </c>
      <c r="B118" s="62"/>
      <c r="C118" s="62"/>
      <c r="D118" s="194">
        <v>0.05</v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</row>
    <row r="119" spans="1:85">
      <c r="A119" s="62"/>
      <c r="B119" s="62"/>
      <c r="C119" s="62"/>
      <c r="D119" s="11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</row>
    <row r="120" spans="1:85">
      <c r="A120" s="291" t="s">
        <v>486</v>
      </c>
      <c r="B120" s="62"/>
      <c r="C120" s="62"/>
      <c r="D120" s="11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</row>
    <row r="121" spans="1:85">
      <c r="A121" s="62" t="s">
        <v>89</v>
      </c>
      <c r="B121" s="62"/>
      <c r="C121" s="189" t="s">
        <v>487</v>
      </c>
      <c r="D121" s="285">
        <v>250</v>
      </c>
      <c r="E121" s="209">
        <f>D121/2</f>
        <v>125</v>
      </c>
      <c r="F121" s="209">
        <f>E121</f>
        <v>125</v>
      </c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</row>
    <row r="122" spans="1:85">
      <c r="A122" s="62" t="s">
        <v>488</v>
      </c>
      <c r="B122" s="62"/>
      <c r="C122" s="189" t="s">
        <v>489</v>
      </c>
      <c r="D122" s="209">
        <v>5.5</v>
      </c>
      <c r="E122" s="209">
        <v>10.5</v>
      </c>
      <c r="F122" s="209" t="s">
        <v>644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</row>
    <row r="123" spans="1:85">
      <c r="A123" s="62" t="s">
        <v>482</v>
      </c>
      <c r="B123" s="62"/>
      <c r="C123" s="62"/>
      <c r="D123" s="194">
        <v>0.05</v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</row>
    <row r="124" spans="1:85">
      <c r="A124" s="62"/>
      <c r="B124" s="62"/>
      <c r="C124" s="62"/>
      <c r="D124" s="11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</row>
    <row r="125" spans="1:8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</row>
    <row r="126" spans="1:85">
      <c r="A126" s="62" t="s">
        <v>48</v>
      </c>
      <c r="B126" s="62"/>
      <c r="C126" s="62"/>
      <c r="D126" s="194">
        <v>1.0999999999999999E-2</v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</row>
    <row r="127" spans="1:85">
      <c r="A127" s="62"/>
      <c r="B127" s="62"/>
      <c r="C127" s="62"/>
      <c r="D127" s="112"/>
      <c r="E127" s="62"/>
      <c r="F127" s="62"/>
      <c r="G127" s="62"/>
      <c r="H127" s="140"/>
      <c r="I127" s="140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</row>
    <row r="128" spans="1:85">
      <c r="A128" s="62"/>
      <c r="B128" s="62"/>
      <c r="C128" s="62"/>
      <c r="D128" s="112"/>
      <c r="E128" s="62"/>
      <c r="F128" s="62"/>
      <c r="G128" s="140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</row>
    <row r="129" spans="1:113" ht="16.5" thickBot="1">
      <c r="A129" s="109" t="s">
        <v>490</v>
      </c>
      <c r="B129" s="282"/>
      <c r="C129" s="283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</row>
    <row r="130" spans="1:113" ht="13.5" thickTop="1">
      <c r="A130" s="62"/>
      <c r="B130" s="62"/>
      <c r="C130" s="62"/>
      <c r="D130" s="11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</row>
    <row r="131" spans="1:113">
      <c r="A131" s="6"/>
      <c r="B131" s="6"/>
      <c r="C131" s="6"/>
      <c r="D131" s="6"/>
      <c r="E131" s="6">
        <f>D132+1</f>
        <v>43922</v>
      </c>
      <c r="F131" s="6">
        <f t="shared" ref="F131:Z131" si="6">E132+1</f>
        <v>44287</v>
      </c>
      <c r="G131" s="6">
        <f t="shared" si="6"/>
        <v>44652</v>
      </c>
      <c r="H131" s="6">
        <f t="shared" si="6"/>
        <v>45017</v>
      </c>
      <c r="I131" s="6">
        <f t="shared" si="6"/>
        <v>45383</v>
      </c>
      <c r="J131" s="6">
        <f t="shared" si="6"/>
        <v>45748</v>
      </c>
      <c r="K131" s="6">
        <f t="shared" si="6"/>
        <v>46113</v>
      </c>
      <c r="L131" s="6">
        <f t="shared" si="6"/>
        <v>46478</v>
      </c>
      <c r="M131" s="6">
        <f t="shared" si="6"/>
        <v>46844</v>
      </c>
      <c r="N131" s="6">
        <f t="shared" si="6"/>
        <v>47209</v>
      </c>
      <c r="O131" s="6">
        <f t="shared" si="6"/>
        <v>47574</v>
      </c>
      <c r="P131" s="6">
        <f t="shared" si="6"/>
        <v>47939</v>
      </c>
      <c r="Q131" s="6">
        <f t="shared" si="6"/>
        <v>48305</v>
      </c>
      <c r="R131" s="6">
        <f t="shared" si="6"/>
        <v>48670</v>
      </c>
      <c r="S131" s="6">
        <f t="shared" si="6"/>
        <v>49035</v>
      </c>
      <c r="T131" s="6">
        <f t="shared" si="6"/>
        <v>49400</v>
      </c>
      <c r="U131" s="6">
        <f t="shared" si="6"/>
        <v>49766</v>
      </c>
      <c r="V131" s="6">
        <f t="shared" si="6"/>
        <v>50131</v>
      </c>
      <c r="W131" s="6">
        <f t="shared" si="6"/>
        <v>50496</v>
      </c>
      <c r="X131" s="6">
        <f t="shared" si="6"/>
        <v>50861</v>
      </c>
      <c r="Y131" s="6">
        <f t="shared" si="6"/>
        <v>51227</v>
      </c>
      <c r="Z131" s="6">
        <f t="shared" si="6"/>
        <v>51592</v>
      </c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</row>
    <row r="132" spans="1:113">
      <c r="A132" s="6"/>
      <c r="B132" s="6"/>
      <c r="C132" s="6">
        <f>'Financial Statement'!E6</f>
        <v>43555</v>
      </c>
      <c r="D132" s="6">
        <f>'Financial Statement'!F6</f>
        <v>43921</v>
      </c>
      <c r="E132" s="6">
        <f>'Financial Statement'!G6</f>
        <v>44286</v>
      </c>
      <c r="F132" s="6">
        <f>'Financial Statement'!H6</f>
        <v>44651</v>
      </c>
      <c r="G132" s="6">
        <f>'Financial Statement'!I6</f>
        <v>45016</v>
      </c>
      <c r="H132" s="6">
        <f>'Financial Statement'!J6</f>
        <v>45382</v>
      </c>
      <c r="I132" s="6">
        <f>'Financial Statement'!K6</f>
        <v>45747</v>
      </c>
      <c r="J132" s="6">
        <f>'Financial Statement'!L6</f>
        <v>46112</v>
      </c>
      <c r="K132" s="6">
        <f>'Financial Statement'!M6</f>
        <v>46477</v>
      </c>
      <c r="L132" s="6">
        <f>'Financial Statement'!N6</f>
        <v>46843</v>
      </c>
      <c r="M132" s="6">
        <f>'Financial Statement'!O6</f>
        <v>47208</v>
      </c>
      <c r="N132" s="6">
        <f>'Financial Statement'!P6</f>
        <v>47573</v>
      </c>
      <c r="O132" s="6">
        <f>'Financial Statement'!Q6</f>
        <v>47938</v>
      </c>
      <c r="P132" s="6">
        <f>'Financial Statement'!R6</f>
        <v>48304</v>
      </c>
      <c r="Q132" s="6">
        <f>'Financial Statement'!S6</f>
        <v>48669</v>
      </c>
      <c r="R132" s="6">
        <f>'Financial Statement'!T6</f>
        <v>49034</v>
      </c>
      <c r="S132" s="6">
        <f>'Financial Statement'!U6</f>
        <v>49399</v>
      </c>
      <c r="T132" s="6">
        <f>'Financial Statement'!V6</f>
        <v>49765</v>
      </c>
      <c r="U132" s="6">
        <f>'Financial Statement'!W6</f>
        <v>50130</v>
      </c>
      <c r="V132" s="6">
        <f>'Financial Statement'!X6</f>
        <v>50495</v>
      </c>
      <c r="W132" s="6">
        <f>'Financial Statement'!Y6</f>
        <v>50860</v>
      </c>
      <c r="X132" s="6">
        <f>'Financial Statement'!Z6</f>
        <v>51226</v>
      </c>
      <c r="Y132" s="6">
        <f>'Financial Statement'!AA6</f>
        <v>51591</v>
      </c>
      <c r="Z132" s="6">
        <f>'Financial Statement'!AB6</f>
        <v>51956</v>
      </c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</row>
    <row r="133" spans="1:113">
      <c r="A133" s="6"/>
      <c r="B133" s="6"/>
      <c r="C133" s="8">
        <f>YEAR(C132)</f>
        <v>2019</v>
      </c>
      <c r="D133" s="8">
        <f>YEAR(D132)</f>
        <v>2020</v>
      </c>
      <c r="E133" s="8">
        <f t="shared" ref="E133:Z133" si="7">YEAR(E132)</f>
        <v>2021</v>
      </c>
      <c r="F133" s="8">
        <f t="shared" si="7"/>
        <v>2022</v>
      </c>
      <c r="G133" s="8">
        <f t="shared" si="7"/>
        <v>2023</v>
      </c>
      <c r="H133" s="8">
        <f t="shared" si="7"/>
        <v>2024</v>
      </c>
      <c r="I133" s="8">
        <f t="shared" si="7"/>
        <v>2025</v>
      </c>
      <c r="J133" s="8">
        <f t="shared" si="7"/>
        <v>2026</v>
      </c>
      <c r="K133" s="8">
        <f t="shared" si="7"/>
        <v>2027</v>
      </c>
      <c r="L133" s="8">
        <f t="shared" si="7"/>
        <v>2028</v>
      </c>
      <c r="M133" s="8">
        <f t="shared" si="7"/>
        <v>2029</v>
      </c>
      <c r="N133" s="8">
        <f t="shared" si="7"/>
        <v>2030</v>
      </c>
      <c r="O133" s="8">
        <f t="shared" si="7"/>
        <v>2031</v>
      </c>
      <c r="P133" s="8">
        <f t="shared" si="7"/>
        <v>2032</v>
      </c>
      <c r="Q133" s="8">
        <f t="shared" si="7"/>
        <v>2033</v>
      </c>
      <c r="R133" s="8">
        <f t="shared" si="7"/>
        <v>2034</v>
      </c>
      <c r="S133" s="8">
        <f t="shared" si="7"/>
        <v>2035</v>
      </c>
      <c r="T133" s="8">
        <f t="shared" si="7"/>
        <v>2036</v>
      </c>
      <c r="U133" s="8">
        <f t="shared" si="7"/>
        <v>2037</v>
      </c>
      <c r="V133" s="8">
        <f t="shared" si="7"/>
        <v>2038</v>
      </c>
      <c r="W133" s="8">
        <f t="shared" si="7"/>
        <v>2039</v>
      </c>
      <c r="X133" s="8">
        <f t="shared" si="7"/>
        <v>2040</v>
      </c>
      <c r="Y133" s="8">
        <f t="shared" si="7"/>
        <v>2041</v>
      </c>
      <c r="Z133" s="8">
        <f t="shared" si="7"/>
        <v>2042</v>
      </c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</row>
    <row r="134" spans="1:113">
      <c r="A134" s="62"/>
      <c r="B134" s="62"/>
      <c r="C134" s="62"/>
      <c r="D134" s="62"/>
      <c r="E134" s="11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</row>
    <row r="135" spans="1:113">
      <c r="A135" s="62" t="s">
        <v>52</v>
      </c>
      <c r="B135" s="62"/>
      <c r="C135" s="111">
        <f>Revenue!F8</f>
        <v>0.62</v>
      </c>
      <c r="D135" s="111">
        <f>Revenue!G8</f>
        <v>0.76769999999999994</v>
      </c>
      <c r="E135" s="111">
        <f>Revenue!H8</f>
        <v>0.75</v>
      </c>
      <c r="F135" s="111">
        <f>Revenue!I8</f>
        <v>0.75</v>
      </c>
      <c r="G135" s="111">
        <f>Revenue!J8</f>
        <v>0.75</v>
      </c>
      <c r="H135" s="111">
        <f>Revenue!K8</f>
        <v>0.75</v>
      </c>
      <c r="I135" s="111">
        <f>Revenue!L8</f>
        <v>0.75</v>
      </c>
      <c r="J135" s="111">
        <f>Revenue!M8</f>
        <v>0.75</v>
      </c>
      <c r="K135" s="111">
        <f>Revenue!N8</f>
        <v>0.75</v>
      </c>
      <c r="L135" s="111">
        <f>Revenue!O8</f>
        <v>0.75</v>
      </c>
      <c r="M135" s="111">
        <f>Revenue!P8</f>
        <v>0.75</v>
      </c>
      <c r="N135" s="111">
        <f>Revenue!Q8</f>
        <v>0.75</v>
      </c>
      <c r="O135" s="111">
        <f>Revenue!R8</f>
        <v>0.75</v>
      </c>
      <c r="P135" s="111">
        <f>Revenue!S8</f>
        <v>0.75</v>
      </c>
      <c r="Q135" s="111">
        <f>Revenue!T8</f>
        <v>0.75</v>
      </c>
      <c r="R135" s="111">
        <f>Revenue!U8</f>
        <v>0.75</v>
      </c>
      <c r="S135" s="111">
        <f>Revenue!V8</f>
        <v>0.75</v>
      </c>
      <c r="T135" s="111">
        <f>Revenue!W8</f>
        <v>0.75</v>
      </c>
      <c r="U135" s="111">
        <f>Revenue!X8</f>
        <v>0.75</v>
      </c>
      <c r="V135" s="111">
        <f>Revenue!Y8</f>
        <v>0.75</v>
      </c>
      <c r="W135" s="111">
        <f>Revenue!Z8</f>
        <v>0.75</v>
      </c>
      <c r="X135" s="111">
        <f>Revenue!AA8</f>
        <v>0.75</v>
      </c>
      <c r="Y135" s="111">
        <f>Revenue!AB8</f>
        <v>0.75</v>
      </c>
      <c r="Z135" s="111">
        <f>Revenue!AC8</f>
        <v>0</v>
      </c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</row>
    <row r="136" spans="1:113">
      <c r="A136" s="62"/>
      <c r="B136" s="62"/>
      <c r="C136" s="62"/>
      <c r="D136" s="62"/>
      <c r="E136" s="112"/>
      <c r="F136" s="402">
        <f>'Fuel &amp; O&amp;M'!H10+$D$126</f>
        <v>6.8500000000000005E-2</v>
      </c>
      <c r="G136" s="402">
        <f>'Fuel &amp; O&amp;M'!I10+$D$126</f>
        <v>6.8500000000000005E-2</v>
      </c>
      <c r="H136" s="402">
        <f>'Fuel &amp; O&amp;M'!J10+$D$126</f>
        <v>6.8500000000000005E-2</v>
      </c>
      <c r="I136" s="402">
        <f>'Fuel &amp; O&amp;M'!K10+$D$126</f>
        <v>6.8500000000000005E-2</v>
      </c>
      <c r="J136" s="402">
        <f>'Fuel &amp; O&amp;M'!L10+$D$126</f>
        <v>6.8500000000000005E-2</v>
      </c>
      <c r="K136" s="402">
        <f>'Fuel &amp; O&amp;M'!M10+$D$126</f>
        <v>6.8500000000000005E-2</v>
      </c>
      <c r="L136" s="402">
        <f>'Fuel &amp; O&amp;M'!N10+$D$126</f>
        <v>6.8500000000000005E-2</v>
      </c>
      <c r="M136" s="402">
        <f>'Fuel &amp; O&amp;M'!O10+$D$126</f>
        <v>6.8500000000000005E-2</v>
      </c>
      <c r="N136" s="402">
        <f>'Fuel &amp; O&amp;M'!P10+$D$126</f>
        <v>6.8500000000000005E-2</v>
      </c>
      <c r="O136" s="402">
        <f>'Fuel &amp; O&amp;M'!Q10+$D$126</f>
        <v>6.8500000000000005E-2</v>
      </c>
      <c r="P136" s="402">
        <f>'Fuel &amp; O&amp;M'!R10+$D$126</f>
        <v>6.8500000000000005E-2</v>
      </c>
      <c r="Q136" s="402">
        <f>'Fuel &amp; O&amp;M'!S10+$D$126</f>
        <v>6.8500000000000005E-2</v>
      </c>
      <c r="R136" s="402">
        <f>'Fuel &amp; O&amp;M'!T10+$D$126</f>
        <v>6.8500000000000005E-2</v>
      </c>
      <c r="S136" s="402">
        <f>'Fuel &amp; O&amp;M'!U10+$D$126</f>
        <v>6.8500000000000005E-2</v>
      </c>
      <c r="T136" s="402">
        <f>'Fuel &amp; O&amp;M'!V10+$D$126</f>
        <v>6.8500000000000005E-2</v>
      </c>
      <c r="U136" s="402">
        <f>'Fuel &amp; O&amp;M'!W10+$D$126</f>
        <v>6.8500000000000005E-2</v>
      </c>
      <c r="V136" s="402">
        <f>'Fuel &amp; O&amp;M'!X10+$D$126</f>
        <v>6.8500000000000005E-2</v>
      </c>
      <c r="W136" s="402">
        <f>'Fuel &amp; O&amp;M'!Y10+$D$126</f>
        <v>6.8500000000000005E-2</v>
      </c>
      <c r="X136" s="402">
        <f>'Fuel &amp; O&amp;M'!Z10+$D$126</f>
        <v>6.8500000000000005E-2</v>
      </c>
      <c r="Y136" s="402">
        <f>'Fuel &amp; O&amp;M'!AA10+$D$126</f>
        <v>6.8500000000000005E-2</v>
      </c>
      <c r="Z136" s="402">
        <f>'Fuel &amp; O&amp;M'!AB10+$D$126</f>
        <v>6.8500000000000005E-2</v>
      </c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</row>
    <row r="137" spans="1:113">
      <c r="A137" s="291" t="s">
        <v>383</v>
      </c>
      <c r="B137" s="62"/>
      <c r="C137" s="62"/>
      <c r="D137" s="62"/>
      <c r="E137" s="11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</row>
    <row r="138" spans="1:113">
      <c r="A138" s="62" t="s">
        <v>424</v>
      </c>
      <c r="B138" s="62"/>
      <c r="C138" s="62"/>
      <c r="D138" s="62"/>
      <c r="E138" s="116">
        <f t="shared" ref="E138:Z138" si="8">IF(AND($C$8&gt;=E131,$C$8&lt;=E132),(E132-$C$8+1),IF($C$8&lt;E131,(E132-E131+1),0))</f>
        <v>0</v>
      </c>
      <c r="F138" s="116">
        <f t="shared" si="8"/>
        <v>0</v>
      </c>
      <c r="G138" s="116">
        <f>IF(AND($C$8&gt;=G131,$C$8&lt;=G132),(G132-$C$8+1),IF($C$8&lt;G131,(G132-G131+1),0))</f>
        <v>244</v>
      </c>
      <c r="H138" s="116">
        <f t="shared" si="8"/>
        <v>366</v>
      </c>
      <c r="I138" s="116">
        <f t="shared" si="8"/>
        <v>365</v>
      </c>
      <c r="J138" s="116">
        <f t="shared" si="8"/>
        <v>365</v>
      </c>
      <c r="K138" s="116">
        <f t="shared" si="8"/>
        <v>365</v>
      </c>
      <c r="L138" s="116">
        <f t="shared" si="8"/>
        <v>366</v>
      </c>
      <c r="M138" s="116">
        <f t="shared" si="8"/>
        <v>365</v>
      </c>
      <c r="N138" s="116">
        <f t="shared" si="8"/>
        <v>365</v>
      </c>
      <c r="O138" s="116">
        <f t="shared" si="8"/>
        <v>365</v>
      </c>
      <c r="P138" s="116">
        <f t="shared" si="8"/>
        <v>366</v>
      </c>
      <c r="Q138" s="116">
        <f t="shared" si="8"/>
        <v>365</v>
      </c>
      <c r="R138" s="116">
        <f t="shared" si="8"/>
        <v>365</v>
      </c>
      <c r="S138" s="116">
        <f t="shared" si="8"/>
        <v>365</v>
      </c>
      <c r="T138" s="116">
        <f t="shared" si="8"/>
        <v>366</v>
      </c>
      <c r="U138" s="116">
        <f t="shared" si="8"/>
        <v>365</v>
      </c>
      <c r="V138" s="116">
        <f t="shared" si="8"/>
        <v>365</v>
      </c>
      <c r="W138" s="116">
        <f t="shared" si="8"/>
        <v>365</v>
      </c>
      <c r="X138" s="116">
        <f t="shared" si="8"/>
        <v>366</v>
      </c>
      <c r="Y138" s="116">
        <f t="shared" si="8"/>
        <v>365</v>
      </c>
      <c r="Z138" s="116">
        <f t="shared" si="8"/>
        <v>365</v>
      </c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</row>
    <row r="139" spans="1:113">
      <c r="A139" s="62" t="s">
        <v>425</v>
      </c>
      <c r="B139" s="62"/>
      <c r="C139" s="62"/>
      <c r="D139" s="62"/>
      <c r="E139" s="116">
        <f t="shared" ref="E139:Z139" si="9">IF(AND($C$9&gt;=E131,$C$9&lt;=E132),(E132-$C$9+1),IF($C$9&lt;E131,(E132-E131+1),0))</f>
        <v>0</v>
      </c>
      <c r="F139" s="116">
        <f t="shared" si="9"/>
        <v>0</v>
      </c>
      <c r="G139" s="116">
        <f t="shared" si="9"/>
        <v>183</v>
      </c>
      <c r="H139" s="116">
        <f t="shared" si="9"/>
        <v>366</v>
      </c>
      <c r="I139" s="116">
        <f t="shared" si="9"/>
        <v>365</v>
      </c>
      <c r="J139" s="116">
        <f t="shared" si="9"/>
        <v>365</v>
      </c>
      <c r="K139" s="116">
        <f t="shared" si="9"/>
        <v>365</v>
      </c>
      <c r="L139" s="116">
        <f t="shared" si="9"/>
        <v>366</v>
      </c>
      <c r="M139" s="116">
        <f t="shared" si="9"/>
        <v>365</v>
      </c>
      <c r="N139" s="116">
        <f t="shared" si="9"/>
        <v>365</v>
      </c>
      <c r="O139" s="116">
        <f t="shared" si="9"/>
        <v>365</v>
      </c>
      <c r="P139" s="116">
        <f t="shared" si="9"/>
        <v>366</v>
      </c>
      <c r="Q139" s="116">
        <f t="shared" si="9"/>
        <v>365</v>
      </c>
      <c r="R139" s="116">
        <f t="shared" si="9"/>
        <v>365</v>
      </c>
      <c r="S139" s="116">
        <f t="shared" si="9"/>
        <v>365</v>
      </c>
      <c r="T139" s="116">
        <f t="shared" si="9"/>
        <v>366</v>
      </c>
      <c r="U139" s="116">
        <f t="shared" si="9"/>
        <v>365</v>
      </c>
      <c r="V139" s="116">
        <f t="shared" si="9"/>
        <v>365</v>
      </c>
      <c r="W139" s="116">
        <f t="shared" si="9"/>
        <v>365</v>
      </c>
      <c r="X139" s="116">
        <f t="shared" si="9"/>
        <v>366</v>
      </c>
      <c r="Y139" s="116">
        <f t="shared" si="9"/>
        <v>365</v>
      </c>
      <c r="Z139" s="116">
        <f t="shared" si="9"/>
        <v>365</v>
      </c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</row>
    <row r="140" spans="1:113">
      <c r="A140" s="62"/>
      <c r="B140" s="62"/>
      <c r="C140" s="62"/>
      <c r="D140" s="62"/>
      <c r="E140" s="116"/>
      <c r="F140" s="116">
        <f>((600*24000*F138*85%*(1-F136))+(600*24000*F139*85%*(1-F136)))/10^6</f>
        <v>0</v>
      </c>
      <c r="G140" s="116">
        <f>((600*24000*G138*85%*(1-G136))+(600*24000*G139*85%*(1-G136)))/10^6</f>
        <v>4868.46612</v>
      </c>
      <c r="H140" s="116">
        <f t="shared" ref="H140:Z140" si="10">((600*24000*H138*85%*(1-H136))+(600*24000*H139*85%*(1-H136)))/10^6</f>
        <v>8345.9419199999993</v>
      </c>
      <c r="I140" s="116">
        <f t="shared" si="10"/>
        <v>8323.1388000000006</v>
      </c>
      <c r="J140" s="116">
        <f t="shared" si="10"/>
        <v>8323.1388000000006</v>
      </c>
      <c r="K140" s="116">
        <f t="shared" si="10"/>
        <v>8323.1388000000006</v>
      </c>
      <c r="L140" s="116">
        <f t="shared" si="10"/>
        <v>8345.9419199999993</v>
      </c>
      <c r="M140" s="116">
        <f t="shared" si="10"/>
        <v>8323.1388000000006</v>
      </c>
      <c r="N140" s="116">
        <f t="shared" si="10"/>
        <v>8323.1388000000006</v>
      </c>
      <c r="O140" s="116">
        <f t="shared" si="10"/>
        <v>8323.1388000000006</v>
      </c>
      <c r="P140" s="116">
        <f t="shared" si="10"/>
        <v>8345.9419199999993</v>
      </c>
      <c r="Q140" s="116">
        <f t="shared" si="10"/>
        <v>8323.1388000000006</v>
      </c>
      <c r="R140" s="116">
        <f t="shared" si="10"/>
        <v>8323.1388000000006</v>
      </c>
      <c r="S140" s="116">
        <f t="shared" si="10"/>
        <v>8323.1388000000006</v>
      </c>
      <c r="T140" s="116">
        <f t="shared" si="10"/>
        <v>8345.9419199999993</v>
      </c>
      <c r="U140" s="116">
        <f t="shared" si="10"/>
        <v>8323.1388000000006</v>
      </c>
      <c r="V140" s="116">
        <f t="shared" si="10"/>
        <v>8323.1388000000006</v>
      </c>
      <c r="W140" s="116">
        <f t="shared" si="10"/>
        <v>8323.1388000000006</v>
      </c>
      <c r="X140" s="116">
        <f t="shared" si="10"/>
        <v>8345.9419199999993</v>
      </c>
      <c r="Y140" s="116">
        <f t="shared" si="10"/>
        <v>8323.1388000000006</v>
      </c>
      <c r="Z140" s="116">
        <f t="shared" si="10"/>
        <v>8323.1388000000006</v>
      </c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</row>
    <row r="141" spans="1:113">
      <c r="A141" s="62"/>
      <c r="B141" s="62"/>
      <c r="C141" s="62"/>
      <c r="D141" s="62"/>
      <c r="E141" s="116"/>
      <c r="F141" s="116">
        <f>(F138+F139)/2</f>
        <v>0</v>
      </c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</row>
    <row r="142" spans="1:113">
      <c r="A142" s="291" t="s">
        <v>491</v>
      </c>
      <c r="B142" s="62"/>
      <c r="C142" s="62"/>
      <c r="D142" s="62"/>
      <c r="E142" s="11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</row>
    <row r="143" spans="1:113">
      <c r="A143" s="62" t="s">
        <v>424</v>
      </c>
      <c r="B143" s="62"/>
      <c r="C143" s="62"/>
      <c r="D143" s="62"/>
      <c r="E143" s="116" t="b">
        <f>IF(E138&gt;0,(('Fuel &amp; O&amp;M'!G9/2)*$D$126*'FGD Input'!E138/(E132-D132)))</f>
        <v>0</v>
      </c>
      <c r="F143" s="116" t="b">
        <f>IF(F138&gt;0,(('Fuel &amp; O&amp;M'!H9/2)*$D$126*'FGD Input'!F138/(F132-E132)))</f>
        <v>0</v>
      </c>
      <c r="G143" s="116">
        <f>IF(G138&gt;0,(('Fuel &amp; O&amp;M'!I9/2)*$D$126*'FGD Input'!G138/(G132-F132)))</f>
        <v>28.987199999999998</v>
      </c>
      <c r="H143" s="116">
        <f>IF(H138&gt;0,(('Fuel &amp; O&amp;M'!J9/2)*$D$126*'FGD Input'!H138/(H132-G132)))</f>
        <v>43.480800000000002</v>
      </c>
      <c r="I143" s="116">
        <f>IF(I138&gt;0,(('Fuel &amp; O&amp;M'!K9/2)*$D$126*'FGD Input'!I138/(I132-H132)))</f>
        <v>43.361999999999995</v>
      </c>
      <c r="J143" s="116">
        <f>IF(J138&gt;0,(('Fuel &amp; O&amp;M'!L9/2)*$D$126*'FGD Input'!J138/(J132-I132)))</f>
        <v>43.361999999999995</v>
      </c>
      <c r="K143" s="116">
        <f>IF(K138&gt;0,(('Fuel &amp; O&amp;M'!M9/2)*$D$126*'FGD Input'!K138/(K132-J132)))</f>
        <v>43.361999999999995</v>
      </c>
      <c r="L143" s="116">
        <f>IF(L138&gt;0,(('Fuel &amp; O&amp;M'!N9/2)*$D$126*'FGD Input'!L138/(L132-K132)))</f>
        <v>43.480800000000002</v>
      </c>
      <c r="M143" s="116">
        <f>IF(M138&gt;0,(('Fuel &amp; O&amp;M'!O9/2)*$D$126*'FGD Input'!M138/(M132-L132)))</f>
        <v>43.361999999999995</v>
      </c>
      <c r="N143" s="116">
        <f>IF(N138&gt;0,(('Fuel &amp; O&amp;M'!P9/2)*$D$126*'FGD Input'!N138/(N132-M132)))</f>
        <v>43.361999999999995</v>
      </c>
      <c r="O143" s="116">
        <f>IF(O138&gt;0,(('Fuel &amp; O&amp;M'!Q9/2)*$D$126*'FGD Input'!O138/(O132-N132)))</f>
        <v>43.361999999999995</v>
      </c>
      <c r="P143" s="116">
        <f>IF(P138&gt;0,(('Fuel &amp; O&amp;M'!R9/2)*$D$126*'FGD Input'!P138/(P132-O132)))</f>
        <v>43.480800000000002</v>
      </c>
      <c r="Q143" s="116">
        <f>IF(Q138&gt;0,(('Fuel &amp; O&amp;M'!S9/2)*$D$126*'FGD Input'!Q138/(Q132-P132)))</f>
        <v>43.361999999999995</v>
      </c>
      <c r="R143" s="116">
        <f>IF(R138&gt;0,(('Fuel &amp; O&amp;M'!T9/2)*$D$126*'FGD Input'!R138/(R132-Q132)))</f>
        <v>43.361999999999995</v>
      </c>
      <c r="S143" s="116">
        <f>IF(S138&gt;0,(('Fuel &amp; O&amp;M'!U9/2)*$D$126*'FGD Input'!S138/(S132-R132)))</f>
        <v>43.361999999999995</v>
      </c>
      <c r="T143" s="116">
        <f>IF(T138&gt;0,(('Fuel &amp; O&amp;M'!V9/2)*$D$126*'FGD Input'!T138/(T132-S132)))</f>
        <v>43.480800000000002</v>
      </c>
      <c r="U143" s="116">
        <f>IF(U138&gt;0,(('Fuel &amp; O&amp;M'!W9/2)*$D$126*'FGD Input'!U138/(U132-T132)))</f>
        <v>43.361999999999995</v>
      </c>
      <c r="V143" s="116">
        <f>IF(V138&gt;0,(('Fuel &amp; O&amp;M'!X9/2)*$D$126*'FGD Input'!V138/(V132-U132)))</f>
        <v>43.361999999999995</v>
      </c>
      <c r="W143" s="116">
        <f>IF(W138&gt;0,(('Fuel &amp; O&amp;M'!Y9/2)*$D$126*'FGD Input'!W138/(W132-V132)))</f>
        <v>43.361999999999995</v>
      </c>
      <c r="X143" s="116">
        <f>IF(X138&gt;0,(('Fuel &amp; O&amp;M'!Z9/2)*$D$126*'FGD Input'!X138/(X132-W132)))</f>
        <v>43.480800000000002</v>
      </c>
      <c r="Y143" s="116">
        <f>IF(Y138&gt;0,(('Fuel &amp; O&amp;M'!AA9/2)*$D$126*'FGD Input'!Y138/(Y132-X132)))</f>
        <v>43.361999999999995</v>
      </c>
      <c r="Z143" s="116">
        <f>IF(Z138&gt;0,(('Fuel &amp; O&amp;M'!AB9/2)*$D$126*'FGD Input'!Z138/(Z132-Y132)))</f>
        <v>43.361999999999995</v>
      </c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</row>
    <row r="144" spans="1:113">
      <c r="A144" s="62" t="s">
        <v>425</v>
      </c>
      <c r="B144" s="62"/>
      <c r="C144" s="62"/>
      <c r="D144" s="62"/>
      <c r="E144" s="116" t="b">
        <f>IF(E139&gt;0,(('Fuel &amp; O&amp;M'!G9/2)*$D$126*'FGD Input'!E139/(E132-D132)))</f>
        <v>0</v>
      </c>
      <c r="F144" s="116" t="b">
        <f>IF(F139&gt;0,(('Fuel &amp; O&amp;M'!H9/2)*$D$126*'FGD Input'!F139/(F132-E132)))</f>
        <v>0</v>
      </c>
      <c r="G144" s="116">
        <f>IF(G139&gt;0,(('Fuel &amp; O&amp;M'!I9/2)*$D$126*'FGD Input'!G139/(G132-F132)))</f>
        <v>21.740399999999998</v>
      </c>
      <c r="H144" s="116">
        <f>IF(H139&gt;0,(('Fuel &amp; O&amp;M'!J9/2)*$D$126*'FGD Input'!H139/(H132-G132)))</f>
        <v>43.480800000000002</v>
      </c>
      <c r="I144" s="116">
        <f>IF(I139&gt;0,(('Fuel &amp; O&amp;M'!K9/2)*$D$126*'FGD Input'!I139/(I132-H132)))</f>
        <v>43.361999999999995</v>
      </c>
      <c r="J144" s="116">
        <f>IF(J139&gt;0,(('Fuel &amp; O&amp;M'!L9/2)*$D$126*'FGD Input'!J139/(J132-I132)))</f>
        <v>43.361999999999995</v>
      </c>
      <c r="K144" s="116">
        <f>IF(K139&gt;0,(('Fuel &amp; O&amp;M'!M9/2)*$D$126*'FGD Input'!K139/(K132-J132)))</f>
        <v>43.361999999999995</v>
      </c>
      <c r="L144" s="116">
        <f>IF(L139&gt;0,(('Fuel &amp; O&amp;M'!N9/2)*$D$126*'FGD Input'!L139/(L132-K132)))</f>
        <v>43.480800000000002</v>
      </c>
      <c r="M144" s="116">
        <f>IF(M139&gt;0,(('Fuel &amp; O&amp;M'!O9/2)*$D$126*'FGD Input'!M139/(M132-L132)))</f>
        <v>43.361999999999995</v>
      </c>
      <c r="N144" s="116">
        <f>IF(N139&gt;0,(('Fuel &amp; O&amp;M'!P9/2)*$D$126*'FGD Input'!N139/(N132-M132)))</f>
        <v>43.361999999999995</v>
      </c>
      <c r="O144" s="116">
        <f>IF(O139&gt;0,(('Fuel &amp; O&amp;M'!Q9/2)*$D$126*'FGD Input'!O139/(O132-N132)))</f>
        <v>43.361999999999995</v>
      </c>
      <c r="P144" s="116">
        <f>IF(P139&gt;0,(('Fuel &amp; O&amp;M'!R9/2)*$D$126*'FGD Input'!P139/(P132-O132)))</f>
        <v>43.480800000000002</v>
      </c>
      <c r="Q144" s="116">
        <f>IF(Q139&gt;0,(('Fuel &amp; O&amp;M'!S9/2)*$D$126*'FGD Input'!Q139/(Q132-P132)))</f>
        <v>43.361999999999995</v>
      </c>
      <c r="R144" s="116">
        <f>IF(R139&gt;0,(('Fuel &amp; O&amp;M'!T9/2)*$D$126*'FGD Input'!R139/(R132-Q132)))</f>
        <v>43.361999999999995</v>
      </c>
      <c r="S144" s="116">
        <f>IF(S139&gt;0,(('Fuel &amp; O&amp;M'!U9/2)*$D$126*'FGD Input'!S139/(S132-R132)))</f>
        <v>43.361999999999995</v>
      </c>
      <c r="T144" s="116">
        <f>IF(T139&gt;0,(('Fuel &amp; O&amp;M'!V9/2)*$D$126*'FGD Input'!T139/(T132-S132)))</f>
        <v>43.480800000000002</v>
      </c>
      <c r="U144" s="116">
        <f>IF(U139&gt;0,(('Fuel &amp; O&amp;M'!W9/2)*$D$126*'FGD Input'!U139/(U132-T132)))</f>
        <v>43.361999999999995</v>
      </c>
      <c r="V144" s="116">
        <f>IF(V139&gt;0,(('Fuel &amp; O&amp;M'!X9/2)*$D$126*'FGD Input'!V139/(V132-U132)))</f>
        <v>43.361999999999995</v>
      </c>
      <c r="W144" s="116">
        <f>IF(W139&gt;0,(('Fuel &amp; O&amp;M'!Y9/2)*$D$126*'FGD Input'!W139/(W132-V132)))</f>
        <v>43.361999999999995</v>
      </c>
      <c r="X144" s="116">
        <f>IF(X139&gt;0,(('Fuel &amp; O&amp;M'!Z9/2)*$D$126*'FGD Input'!X139/(X132-W132)))</f>
        <v>43.480800000000002</v>
      </c>
      <c r="Y144" s="116">
        <f>IF(Y139&gt;0,(('Fuel &amp; O&amp;M'!AA9/2)*$D$126*'FGD Input'!Y139/(Y132-X132)))</f>
        <v>43.361999999999995</v>
      </c>
      <c r="Z144" s="116">
        <f>IF(Z139&gt;0,(('Fuel &amp; O&amp;M'!AB9/2)*$D$126*'FGD Input'!Z139/(Z132-Y132)))</f>
        <v>43.361999999999995</v>
      </c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</row>
    <row r="145" spans="1:114" s="310" customFormat="1">
      <c r="A145" s="37" t="s">
        <v>492</v>
      </c>
      <c r="B145" s="49"/>
      <c r="C145" s="10"/>
      <c r="D145" s="10"/>
      <c r="E145" s="10">
        <f>SUM(E143:E144)</f>
        <v>0</v>
      </c>
      <c r="F145" s="10">
        <f t="shared" ref="F145:Z145" si="11">SUM(F143:F144)</f>
        <v>0</v>
      </c>
      <c r="G145" s="10">
        <f t="shared" si="11"/>
        <v>50.727599999999995</v>
      </c>
      <c r="H145" s="10">
        <f t="shared" si="11"/>
        <v>86.961600000000004</v>
      </c>
      <c r="I145" s="10">
        <f t="shared" si="11"/>
        <v>86.72399999999999</v>
      </c>
      <c r="J145" s="10">
        <f t="shared" si="11"/>
        <v>86.72399999999999</v>
      </c>
      <c r="K145" s="10">
        <f t="shared" si="11"/>
        <v>86.72399999999999</v>
      </c>
      <c r="L145" s="10">
        <f t="shared" si="11"/>
        <v>86.961600000000004</v>
      </c>
      <c r="M145" s="10">
        <f t="shared" si="11"/>
        <v>86.72399999999999</v>
      </c>
      <c r="N145" s="10">
        <f t="shared" si="11"/>
        <v>86.72399999999999</v>
      </c>
      <c r="O145" s="10">
        <f t="shared" si="11"/>
        <v>86.72399999999999</v>
      </c>
      <c r="P145" s="10">
        <f t="shared" si="11"/>
        <v>86.961600000000004</v>
      </c>
      <c r="Q145" s="10">
        <f t="shared" si="11"/>
        <v>86.72399999999999</v>
      </c>
      <c r="R145" s="10">
        <f t="shared" si="11"/>
        <v>86.72399999999999</v>
      </c>
      <c r="S145" s="10">
        <f t="shared" si="11"/>
        <v>86.72399999999999</v>
      </c>
      <c r="T145" s="10">
        <f t="shared" si="11"/>
        <v>86.961600000000004</v>
      </c>
      <c r="U145" s="10">
        <f t="shared" si="11"/>
        <v>86.72399999999999</v>
      </c>
      <c r="V145" s="10">
        <f t="shared" si="11"/>
        <v>86.72399999999999</v>
      </c>
      <c r="W145" s="10">
        <f t="shared" si="11"/>
        <v>86.72399999999999</v>
      </c>
      <c r="X145" s="10">
        <f t="shared" si="11"/>
        <v>86.961600000000004</v>
      </c>
      <c r="Y145" s="10">
        <f t="shared" si="11"/>
        <v>86.72399999999999</v>
      </c>
      <c r="Z145" s="10">
        <f t="shared" si="11"/>
        <v>86.72399999999999</v>
      </c>
      <c r="AA145" s="10"/>
      <c r="AB145" s="10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</row>
    <row r="146" spans="1:114">
      <c r="A146" s="62"/>
      <c r="B146" s="62"/>
      <c r="C146" s="62"/>
      <c r="D146" s="62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</row>
    <row r="147" spans="1:114" s="310" customFormat="1">
      <c r="A147" s="37" t="s">
        <v>493</v>
      </c>
      <c r="B147" s="49"/>
      <c r="C147" s="10"/>
      <c r="D147" s="10"/>
      <c r="E147" s="10"/>
      <c r="F147" s="10">
        <f>'Fuel &amp; O&amp;M'!H54*F145/10</f>
        <v>0</v>
      </c>
      <c r="G147" s="10">
        <f>'Fuel &amp; O&amp;M'!I54*G145/10</f>
        <v>8.4654096856343433</v>
      </c>
      <c r="H147" s="10">
        <f>'Fuel &amp; O&amp;M'!J54*H145/10</f>
        <v>14.512130889658877</v>
      </c>
      <c r="I147" s="10">
        <f>'Fuel &amp; O&amp;M'!K54*I145/10</f>
        <v>14.472480258812812</v>
      </c>
      <c r="J147" s="10">
        <f>'Fuel &amp; O&amp;M'!L54*J145/10</f>
        <v>14.472480258812812</v>
      </c>
      <c r="K147" s="10">
        <f>'Fuel &amp; O&amp;M'!M54*K145/10</f>
        <v>14.472480258812812</v>
      </c>
      <c r="L147" s="10">
        <f>'Fuel &amp; O&amp;M'!N54*L145/10</f>
        <v>14.512130889658877</v>
      </c>
      <c r="M147" s="10">
        <f>'Fuel &amp; O&amp;M'!O54*M145/10</f>
        <v>14.472480258812812</v>
      </c>
      <c r="N147" s="10">
        <f>'Fuel &amp; O&amp;M'!P54*N145/10</f>
        <v>14.472480258812812</v>
      </c>
      <c r="O147" s="10">
        <f>'Fuel &amp; O&amp;M'!Q54*O145/10</f>
        <v>14.472480258812812</v>
      </c>
      <c r="P147" s="10">
        <f>'Fuel &amp; O&amp;M'!R54*P145/10</f>
        <v>14.512130889658877</v>
      </c>
      <c r="Q147" s="10">
        <f>'Fuel &amp; O&amp;M'!S54*Q145/10</f>
        <v>14.472480258812812</v>
      </c>
      <c r="R147" s="10">
        <f>'Fuel &amp; O&amp;M'!T54*R145/10</f>
        <v>14.472480258812812</v>
      </c>
      <c r="S147" s="10">
        <f>'Fuel &amp; O&amp;M'!U54*S145/10</f>
        <v>14.472480258812812</v>
      </c>
      <c r="T147" s="10">
        <f>'Fuel &amp; O&amp;M'!V54*T145/10</f>
        <v>14.512130889658877</v>
      </c>
      <c r="U147" s="10">
        <f>'Fuel &amp; O&amp;M'!W54*U145/10</f>
        <v>14.472480258812812</v>
      </c>
      <c r="V147" s="10">
        <f>'Fuel &amp; O&amp;M'!X54*V145/10</f>
        <v>14.472480258812812</v>
      </c>
      <c r="W147" s="10">
        <f>'Fuel &amp; O&amp;M'!Y54*W145/10</f>
        <v>14.472480258812812</v>
      </c>
      <c r="X147" s="10">
        <f>'Fuel &amp; O&amp;M'!Z54*X145/10</f>
        <v>14.512130889658877</v>
      </c>
      <c r="Y147" s="10">
        <f>'Fuel &amp; O&amp;M'!AA54*Y145/10</f>
        <v>14.472480258812812</v>
      </c>
      <c r="Z147" s="10">
        <f>'Fuel &amp; O&amp;M'!AB54*Z145/10</f>
        <v>14.472480258812812</v>
      </c>
      <c r="AA147" s="10">
        <f>'Fuel &amp; O&amp;M'!AC54*AA145/10</f>
        <v>0</v>
      </c>
      <c r="AB147" s="10">
        <f>'Fuel &amp; O&amp;M'!AD54*AB145/10</f>
        <v>0</v>
      </c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</row>
    <row r="148" spans="1:114">
      <c r="A148" s="62"/>
      <c r="B148" s="62"/>
      <c r="C148" s="62"/>
      <c r="D148" s="62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</row>
    <row r="149" spans="1:114">
      <c r="A149" s="291" t="s">
        <v>494</v>
      </c>
      <c r="B149" s="62"/>
      <c r="C149" s="62"/>
      <c r="D149" s="62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</row>
    <row r="150" spans="1:114">
      <c r="A150" s="62" t="s">
        <v>424</v>
      </c>
      <c r="B150" s="62"/>
      <c r="C150" s="62"/>
      <c r="D150" s="112" t="b">
        <f t="shared" ref="D150:F151" si="12">IF(D138&gt;=365,($D$85*$D$102)+($K$85*$D$108))</f>
        <v>0</v>
      </c>
      <c r="E150" s="112" t="b">
        <f t="shared" si="12"/>
        <v>0</v>
      </c>
      <c r="F150" s="112" t="b">
        <f t="shared" si="12"/>
        <v>0</v>
      </c>
      <c r="G150" s="116" t="b">
        <f>IF(G138&gt;=365,('FGD Phasing'!D29*'FGD Input'!D108)/2)</f>
        <v>0</v>
      </c>
      <c r="H150" s="116">
        <f>G150*(1+$D$103)</f>
        <v>0</v>
      </c>
      <c r="I150" s="116">
        <f>H150*(1+$D$103)</f>
        <v>0</v>
      </c>
      <c r="J150" s="116">
        <f t="shared" ref="J150:Z150" si="13">I150*(1+$D$103)</f>
        <v>0</v>
      </c>
      <c r="K150" s="116">
        <f t="shared" si="13"/>
        <v>0</v>
      </c>
      <c r="L150" s="116">
        <f t="shared" si="13"/>
        <v>0</v>
      </c>
      <c r="M150" s="116">
        <f t="shared" si="13"/>
        <v>0</v>
      </c>
      <c r="N150" s="116">
        <f t="shared" si="13"/>
        <v>0</v>
      </c>
      <c r="O150" s="116">
        <f t="shared" si="13"/>
        <v>0</v>
      </c>
      <c r="P150" s="116">
        <f t="shared" si="13"/>
        <v>0</v>
      </c>
      <c r="Q150" s="116">
        <f t="shared" si="13"/>
        <v>0</v>
      </c>
      <c r="R150" s="116">
        <f t="shared" si="13"/>
        <v>0</v>
      </c>
      <c r="S150" s="116">
        <f t="shared" si="13"/>
        <v>0</v>
      </c>
      <c r="T150" s="116">
        <f t="shared" si="13"/>
        <v>0</v>
      </c>
      <c r="U150" s="116">
        <f t="shared" si="13"/>
        <v>0</v>
      </c>
      <c r="V150" s="116">
        <f t="shared" si="13"/>
        <v>0</v>
      </c>
      <c r="W150" s="116">
        <f t="shared" si="13"/>
        <v>0</v>
      </c>
      <c r="X150" s="116">
        <f t="shared" si="13"/>
        <v>0</v>
      </c>
      <c r="Y150" s="116">
        <f t="shared" si="13"/>
        <v>0</v>
      </c>
      <c r="Z150" s="116">
        <f t="shared" si="13"/>
        <v>0</v>
      </c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</row>
    <row r="151" spans="1:114">
      <c r="A151" s="62" t="s">
        <v>425</v>
      </c>
      <c r="B151" s="62"/>
      <c r="C151" s="62"/>
      <c r="D151" s="112" t="b">
        <f t="shared" si="12"/>
        <v>0</v>
      </c>
      <c r="E151" s="112" t="b">
        <f t="shared" si="12"/>
        <v>0</v>
      </c>
      <c r="F151" s="112" t="b">
        <f t="shared" si="12"/>
        <v>0</v>
      </c>
      <c r="G151" s="116" t="b">
        <f>IF(G139&gt;=365,('FGD Phasing'!D29*'FGD Input'!D108)/2)</f>
        <v>0</v>
      </c>
      <c r="H151" s="116">
        <f>G151*(1+$D$103)</f>
        <v>0</v>
      </c>
      <c r="I151" s="116">
        <f t="shared" ref="I151:Z151" si="14">H151*(1+$D$103)</f>
        <v>0</v>
      </c>
      <c r="J151" s="116">
        <f t="shared" si="14"/>
        <v>0</v>
      </c>
      <c r="K151" s="116">
        <f t="shared" si="14"/>
        <v>0</v>
      </c>
      <c r="L151" s="116">
        <f t="shared" si="14"/>
        <v>0</v>
      </c>
      <c r="M151" s="116">
        <f t="shared" si="14"/>
        <v>0</v>
      </c>
      <c r="N151" s="116">
        <f t="shared" si="14"/>
        <v>0</v>
      </c>
      <c r="O151" s="116">
        <f t="shared" si="14"/>
        <v>0</v>
      </c>
      <c r="P151" s="116">
        <f t="shared" si="14"/>
        <v>0</v>
      </c>
      <c r="Q151" s="116">
        <f t="shared" si="14"/>
        <v>0</v>
      </c>
      <c r="R151" s="116">
        <f t="shared" si="14"/>
        <v>0</v>
      </c>
      <c r="S151" s="116">
        <f t="shared" si="14"/>
        <v>0</v>
      </c>
      <c r="T151" s="116">
        <f t="shared" si="14"/>
        <v>0</v>
      </c>
      <c r="U151" s="116">
        <f t="shared" si="14"/>
        <v>0</v>
      </c>
      <c r="V151" s="116">
        <f t="shared" si="14"/>
        <v>0</v>
      </c>
      <c r="W151" s="116">
        <f t="shared" si="14"/>
        <v>0</v>
      </c>
      <c r="X151" s="116">
        <f t="shared" si="14"/>
        <v>0</v>
      </c>
      <c r="Y151" s="116">
        <f t="shared" si="14"/>
        <v>0</v>
      </c>
      <c r="Z151" s="116">
        <f t="shared" si="14"/>
        <v>0</v>
      </c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</row>
    <row r="152" spans="1:114" s="310" customFormat="1">
      <c r="A152" s="37" t="s">
        <v>495</v>
      </c>
      <c r="B152" s="49"/>
      <c r="C152" s="10"/>
      <c r="D152" s="10"/>
      <c r="E152" s="10">
        <f>SUM(E150:E151)</f>
        <v>0</v>
      </c>
      <c r="F152" s="10">
        <f t="shared" ref="F152:Z152" si="15">SUM(F150:F151)</f>
        <v>0</v>
      </c>
      <c r="G152" s="10">
        <f t="shared" si="15"/>
        <v>0</v>
      </c>
      <c r="H152" s="10">
        <f t="shared" si="15"/>
        <v>0</v>
      </c>
      <c r="I152" s="10">
        <f t="shared" si="15"/>
        <v>0</v>
      </c>
      <c r="J152" s="10">
        <f t="shared" si="15"/>
        <v>0</v>
      </c>
      <c r="K152" s="10">
        <f t="shared" si="15"/>
        <v>0</v>
      </c>
      <c r="L152" s="10">
        <f t="shared" si="15"/>
        <v>0</v>
      </c>
      <c r="M152" s="10">
        <f t="shared" si="15"/>
        <v>0</v>
      </c>
      <c r="N152" s="10">
        <f t="shared" si="15"/>
        <v>0</v>
      </c>
      <c r="O152" s="10">
        <f t="shared" si="15"/>
        <v>0</v>
      </c>
      <c r="P152" s="10">
        <f t="shared" si="15"/>
        <v>0</v>
      </c>
      <c r="Q152" s="10">
        <f t="shared" si="15"/>
        <v>0</v>
      </c>
      <c r="R152" s="10">
        <f t="shared" si="15"/>
        <v>0</v>
      </c>
      <c r="S152" s="10">
        <f t="shared" si="15"/>
        <v>0</v>
      </c>
      <c r="T152" s="10">
        <f t="shared" si="15"/>
        <v>0</v>
      </c>
      <c r="U152" s="10">
        <f t="shared" si="15"/>
        <v>0</v>
      </c>
      <c r="V152" s="10">
        <f t="shared" si="15"/>
        <v>0</v>
      </c>
      <c r="W152" s="10">
        <f t="shared" si="15"/>
        <v>0</v>
      </c>
      <c r="X152" s="10">
        <f t="shared" si="15"/>
        <v>0</v>
      </c>
      <c r="Y152" s="10">
        <f t="shared" si="15"/>
        <v>0</v>
      </c>
      <c r="Z152" s="10">
        <f t="shared" si="15"/>
        <v>0</v>
      </c>
      <c r="AA152" s="10"/>
      <c r="AB152" s="10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</row>
    <row r="153" spans="1:114">
      <c r="A153" s="62"/>
      <c r="B153" s="62"/>
      <c r="C153" s="62"/>
      <c r="D153" s="62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</row>
    <row r="154" spans="1:114">
      <c r="A154" s="62" t="s">
        <v>472</v>
      </c>
      <c r="B154" s="62"/>
      <c r="C154" s="62"/>
      <c r="D154" s="62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</row>
    <row r="155" spans="1:114">
      <c r="A155" s="62" t="s">
        <v>424</v>
      </c>
      <c r="B155" s="62"/>
      <c r="C155" s="62"/>
      <c r="D155" s="62" t="b">
        <f t="shared" ref="D155:G156" si="16">IF(D138&gt;0,(($D$106/2)*$D$107)/100)</f>
        <v>0</v>
      </c>
      <c r="E155" s="62" t="b">
        <f t="shared" si="16"/>
        <v>0</v>
      </c>
      <c r="F155" s="114" t="b">
        <f t="shared" si="16"/>
        <v>0</v>
      </c>
      <c r="G155" s="114">
        <f t="shared" si="16"/>
        <v>0.97499999999999998</v>
      </c>
      <c r="H155" s="116">
        <f>G155*(1+$D$103)</f>
        <v>1.0237499999999999</v>
      </c>
      <c r="I155" s="116">
        <f t="shared" ref="I155:X156" si="17">H155*(1+$D$103)</f>
        <v>1.0749374999999999</v>
      </c>
      <c r="J155" s="116">
        <f t="shared" si="17"/>
        <v>1.128684375</v>
      </c>
      <c r="K155" s="116">
        <f t="shared" si="17"/>
        <v>1.1851185937499999</v>
      </c>
      <c r="L155" s="116">
        <f t="shared" si="17"/>
        <v>1.2443745234375001</v>
      </c>
      <c r="M155" s="116">
        <f t="shared" si="17"/>
        <v>1.3065932496093751</v>
      </c>
      <c r="N155" s="116">
        <f t="shared" si="17"/>
        <v>1.371922912089844</v>
      </c>
      <c r="O155" s="116">
        <f t="shared" si="17"/>
        <v>1.4405190576943363</v>
      </c>
      <c r="P155" s="116">
        <f t="shared" si="17"/>
        <v>1.5125450105790532</v>
      </c>
      <c r="Q155" s="116">
        <f t="shared" si="17"/>
        <v>1.588172261108006</v>
      </c>
      <c r="R155" s="116">
        <f t="shared" si="17"/>
        <v>1.6675808741634064</v>
      </c>
      <c r="S155" s="116">
        <f t="shared" si="17"/>
        <v>1.7509599178715767</v>
      </c>
      <c r="T155" s="116">
        <f t="shared" si="17"/>
        <v>1.8385079137651557</v>
      </c>
      <c r="U155" s="116">
        <f t="shared" si="17"/>
        <v>1.9304333094534136</v>
      </c>
      <c r="V155" s="116">
        <f t="shared" si="17"/>
        <v>2.0269549749260842</v>
      </c>
      <c r="W155" s="116">
        <f t="shared" si="17"/>
        <v>2.1283027236723884</v>
      </c>
      <c r="X155" s="116">
        <f t="shared" si="17"/>
        <v>2.234717859856008</v>
      </c>
      <c r="Y155" s="116">
        <f t="shared" ref="Y155:Z156" si="18">X155*(1+$D$103)</f>
        <v>2.3464537528488085</v>
      </c>
      <c r="Z155" s="116">
        <f t="shared" si="18"/>
        <v>2.463776440491249</v>
      </c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</row>
    <row r="156" spans="1:114">
      <c r="A156" s="62" t="s">
        <v>425</v>
      </c>
      <c r="B156" s="62"/>
      <c r="C156" s="62"/>
      <c r="D156" s="62" t="b">
        <f t="shared" si="16"/>
        <v>0</v>
      </c>
      <c r="E156" s="62" t="b">
        <f t="shared" si="16"/>
        <v>0</v>
      </c>
      <c r="F156" s="114" t="b">
        <f t="shared" si="16"/>
        <v>0</v>
      </c>
      <c r="G156" s="114">
        <f t="shared" si="16"/>
        <v>0.97499999999999998</v>
      </c>
      <c r="H156" s="116">
        <f>G156*(1+$D$103)</f>
        <v>1.0237499999999999</v>
      </c>
      <c r="I156" s="116">
        <f t="shared" si="17"/>
        <v>1.0749374999999999</v>
      </c>
      <c r="J156" s="116">
        <f t="shared" si="17"/>
        <v>1.128684375</v>
      </c>
      <c r="K156" s="116">
        <f t="shared" si="17"/>
        <v>1.1851185937499999</v>
      </c>
      <c r="L156" s="116">
        <f t="shared" si="17"/>
        <v>1.2443745234375001</v>
      </c>
      <c r="M156" s="116">
        <f t="shared" si="17"/>
        <v>1.3065932496093751</v>
      </c>
      <c r="N156" s="116">
        <f t="shared" si="17"/>
        <v>1.371922912089844</v>
      </c>
      <c r="O156" s="116">
        <f t="shared" si="17"/>
        <v>1.4405190576943363</v>
      </c>
      <c r="P156" s="116">
        <f t="shared" si="17"/>
        <v>1.5125450105790532</v>
      </c>
      <c r="Q156" s="116">
        <f t="shared" si="17"/>
        <v>1.588172261108006</v>
      </c>
      <c r="R156" s="116">
        <f t="shared" si="17"/>
        <v>1.6675808741634064</v>
      </c>
      <c r="S156" s="116">
        <f t="shared" si="17"/>
        <v>1.7509599178715767</v>
      </c>
      <c r="T156" s="116">
        <f t="shared" si="17"/>
        <v>1.8385079137651557</v>
      </c>
      <c r="U156" s="116">
        <f t="shared" si="17"/>
        <v>1.9304333094534136</v>
      </c>
      <c r="V156" s="116">
        <f t="shared" si="17"/>
        <v>2.0269549749260842</v>
      </c>
      <c r="W156" s="116">
        <f t="shared" si="17"/>
        <v>2.1283027236723884</v>
      </c>
      <c r="X156" s="116">
        <f t="shared" si="17"/>
        <v>2.234717859856008</v>
      </c>
      <c r="Y156" s="116">
        <f t="shared" si="18"/>
        <v>2.3464537528488085</v>
      </c>
      <c r="Z156" s="116">
        <f t="shared" si="18"/>
        <v>2.463776440491249</v>
      </c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</row>
    <row r="157" spans="1:114" s="310" customFormat="1">
      <c r="A157" s="37" t="s">
        <v>496</v>
      </c>
      <c r="B157" s="49"/>
      <c r="C157" s="10"/>
      <c r="D157" s="10"/>
      <c r="E157" s="10">
        <f>SUM(E155:E156)</f>
        <v>0</v>
      </c>
      <c r="F157" s="10">
        <f t="shared" ref="F157:Z157" si="19">SUM(F155:F156)</f>
        <v>0</v>
      </c>
      <c r="G157" s="10">
        <f t="shared" si="19"/>
        <v>1.95</v>
      </c>
      <c r="H157" s="10">
        <f t="shared" si="19"/>
        <v>2.0474999999999999</v>
      </c>
      <c r="I157" s="10">
        <f t="shared" si="19"/>
        <v>2.1498749999999998</v>
      </c>
      <c r="J157" s="10">
        <f t="shared" si="19"/>
        <v>2.2573687499999999</v>
      </c>
      <c r="K157" s="10">
        <f t="shared" si="19"/>
        <v>2.3702371874999999</v>
      </c>
      <c r="L157" s="10">
        <f t="shared" si="19"/>
        <v>2.4887490468750002</v>
      </c>
      <c r="M157" s="10">
        <f t="shared" si="19"/>
        <v>2.6131864992187501</v>
      </c>
      <c r="N157" s="10">
        <f t="shared" si="19"/>
        <v>2.7438458241796879</v>
      </c>
      <c r="O157" s="10">
        <f t="shared" si="19"/>
        <v>2.8810381153886726</v>
      </c>
      <c r="P157" s="10">
        <f t="shared" si="19"/>
        <v>3.0250900211581064</v>
      </c>
      <c r="Q157" s="10">
        <f t="shared" si="19"/>
        <v>3.176344522216012</v>
      </c>
      <c r="R157" s="10">
        <f t="shared" si="19"/>
        <v>3.3351617483268128</v>
      </c>
      <c r="S157" s="10">
        <f t="shared" si="19"/>
        <v>3.5019198357431534</v>
      </c>
      <c r="T157" s="10">
        <f t="shared" si="19"/>
        <v>3.6770158275303113</v>
      </c>
      <c r="U157" s="10">
        <f t="shared" si="19"/>
        <v>3.8608666189068273</v>
      </c>
      <c r="V157" s="10">
        <f t="shared" si="19"/>
        <v>4.0539099498521685</v>
      </c>
      <c r="W157" s="10">
        <f t="shared" si="19"/>
        <v>4.2566054473447767</v>
      </c>
      <c r="X157" s="10">
        <f t="shared" si="19"/>
        <v>4.469435719712016</v>
      </c>
      <c r="Y157" s="10">
        <f t="shared" si="19"/>
        <v>4.6929075056976171</v>
      </c>
      <c r="Z157" s="10">
        <f t="shared" si="19"/>
        <v>4.927552880982498</v>
      </c>
      <c r="AA157" s="10"/>
      <c r="AB157" s="10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</row>
    <row r="158" spans="1:114">
      <c r="A158" s="62"/>
      <c r="B158" s="62"/>
      <c r="C158" s="62"/>
      <c r="D158" s="62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</row>
    <row r="159" spans="1:114">
      <c r="A159" s="62"/>
      <c r="B159" s="62"/>
      <c r="C159" s="62"/>
      <c r="D159" s="62"/>
      <c r="E159" s="11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</row>
    <row r="160" spans="1:114">
      <c r="A160" s="296" t="s">
        <v>478</v>
      </c>
      <c r="B160" s="288"/>
      <c r="C160" s="288"/>
      <c r="D160" s="289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</row>
    <row r="161" spans="1:114">
      <c r="A161" s="62" t="s">
        <v>424</v>
      </c>
      <c r="B161" s="62"/>
      <c r="C161" s="116"/>
      <c r="D161" s="116"/>
      <c r="E161" s="116">
        <f t="shared" ref="E161:Z161" si="20">($E$111*E138*24)*E135</f>
        <v>0</v>
      </c>
      <c r="F161" s="116">
        <f t="shared" si="20"/>
        <v>0</v>
      </c>
      <c r="G161" s="116">
        <f>($E$111*G138*24)*G135</f>
        <v>43920</v>
      </c>
      <c r="H161" s="116">
        <f t="shared" si="20"/>
        <v>65880</v>
      </c>
      <c r="I161" s="116">
        <f t="shared" si="20"/>
        <v>65700</v>
      </c>
      <c r="J161" s="116">
        <f t="shared" si="20"/>
        <v>65700</v>
      </c>
      <c r="K161" s="116">
        <f t="shared" si="20"/>
        <v>65700</v>
      </c>
      <c r="L161" s="116">
        <f t="shared" si="20"/>
        <v>65880</v>
      </c>
      <c r="M161" s="116">
        <f t="shared" si="20"/>
        <v>65700</v>
      </c>
      <c r="N161" s="116">
        <f t="shared" si="20"/>
        <v>65700</v>
      </c>
      <c r="O161" s="116">
        <f t="shared" si="20"/>
        <v>65700</v>
      </c>
      <c r="P161" s="116">
        <f t="shared" si="20"/>
        <v>65880</v>
      </c>
      <c r="Q161" s="116">
        <f t="shared" si="20"/>
        <v>65700</v>
      </c>
      <c r="R161" s="116">
        <f t="shared" si="20"/>
        <v>65700</v>
      </c>
      <c r="S161" s="116">
        <f t="shared" si="20"/>
        <v>65700</v>
      </c>
      <c r="T161" s="116">
        <f t="shared" si="20"/>
        <v>65880</v>
      </c>
      <c r="U161" s="116">
        <f t="shared" si="20"/>
        <v>65700</v>
      </c>
      <c r="V161" s="116">
        <f t="shared" si="20"/>
        <v>65700</v>
      </c>
      <c r="W161" s="116">
        <f t="shared" si="20"/>
        <v>65700</v>
      </c>
      <c r="X161" s="116">
        <f t="shared" si="20"/>
        <v>65880</v>
      </c>
      <c r="Y161" s="116">
        <f t="shared" si="20"/>
        <v>65700</v>
      </c>
      <c r="Z161" s="116">
        <f t="shared" si="20"/>
        <v>0</v>
      </c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</row>
    <row r="162" spans="1:114">
      <c r="A162" s="62" t="s">
        <v>425</v>
      </c>
      <c r="B162" s="62"/>
      <c r="C162" s="116"/>
      <c r="D162" s="116"/>
      <c r="E162" s="116">
        <f t="shared" ref="E162:Z162" si="21">($F$111*E139*24)*E135</f>
        <v>0</v>
      </c>
      <c r="F162" s="116">
        <f t="shared" si="21"/>
        <v>0</v>
      </c>
      <c r="G162" s="116">
        <f t="shared" si="21"/>
        <v>32940</v>
      </c>
      <c r="H162" s="116">
        <f t="shared" si="21"/>
        <v>65880</v>
      </c>
      <c r="I162" s="116">
        <f t="shared" si="21"/>
        <v>65700</v>
      </c>
      <c r="J162" s="116">
        <f t="shared" si="21"/>
        <v>65700</v>
      </c>
      <c r="K162" s="116">
        <f t="shared" si="21"/>
        <v>65700</v>
      </c>
      <c r="L162" s="116">
        <f t="shared" si="21"/>
        <v>65880</v>
      </c>
      <c r="M162" s="116">
        <f t="shared" si="21"/>
        <v>65700</v>
      </c>
      <c r="N162" s="116">
        <f t="shared" si="21"/>
        <v>65700</v>
      </c>
      <c r="O162" s="116">
        <f t="shared" si="21"/>
        <v>65700</v>
      </c>
      <c r="P162" s="116">
        <f t="shared" si="21"/>
        <v>65880</v>
      </c>
      <c r="Q162" s="116">
        <f t="shared" si="21"/>
        <v>65700</v>
      </c>
      <c r="R162" s="116">
        <f t="shared" si="21"/>
        <v>65700</v>
      </c>
      <c r="S162" s="116">
        <f t="shared" si="21"/>
        <v>65700</v>
      </c>
      <c r="T162" s="116">
        <f t="shared" si="21"/>
        <v>65880</v>
      </c>
      <c r="U162" s="116">
        <f t="shared" si="21"/>
        <v>65700</v>
      </c>
      <c r="V162" s="116">
        <f t="shared" si="21"/>
        <v>65700</v>
      </c>
      <c r="W162" s="116">
        <f t="shared" si="21"/>
        <v>65700</v>
      </c>
      <c r="X162" s="116">
        <f t="shared" si="21"/>
        <v>65880</v>
      </c>
      <c r="Y162" s="116">
        <f t="shared" si="21"/>
        <v>65700</v>
      </c>
      <c r="Z162" s="116">
        <f t="shared" si="21"/>
        <v>0</v>
      </c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</row>
    <row r="163" spans="1:114" s="310" customFormat="1">
      <c r="A163" s="37" t="s">
        <v>497</v>
      </c>
      <c r="B163" s="49"/>
      <c r="C163" s="10"/>
      <c r="D163" s="10"/>
      <c r="E163" s="10">
        <f>SUM(E161:E162)</f>
        <v>0</v>
      </c>
      <c r="F163" s="10">
        <f t="shared" ref="F163:Z163" si="22">SUM(F161:F162)</f>
        <v>0</v>
      </c>
      <c r="G163" s="10">
        <f t="shared" si="22"/>
        <v>76860</v>
      </c>
      <c r="H163" s="10">
        <f t="shared" si="22"/>
        <v>131760</v>
      </c>
      <c r="I163" s="10">
        <f t="shared" si="22"/>
        <v>131400</v>
      </c>
      <c r="J163" s="10">
        <f t="shared" si="22"/>
        <v>131400</v>
      </c>
      <c r="K163" s="10">
        <f t="shared" si="22"/>
        <v>131400</v>
      </c>
      <c r="L163" s="10">
        <f t="shared" si="22"/>
        <v>131760</v>
      </c>
      <c r="M163" s="10">
        <f t="shared" si="22"/>
        <v>131400</v>
      </c>
      <c r="N163" s="10">
        <f t="shared" si="22"/>
        <v>131400</v>
      </c>
      <c r="O163" s="10">
        <f t="shared" si="22"/>
        <v>131400</v>
      </c>
      <c r="P163" s="10">
        <f t="shared" si="22"/>
        <v>131760</v>
      </c>
      <c r="Q163" s="10">
        <f t="shared" si="22"/>
        <v>131400</v>
      </c>
      <c r="R163" s="10">
        <f t="shared" si="22"/>
        <v>131400</v>
      </c>
      <c r="S163" s="10">
        <f t="shared" si="22"/>
        <v>131400</v>
      </c>
      <c r="T163" s="10">
        <f t="shared" si="22"/>
        <v>131760</v>
      </c>
      <c r="U163" s="10">
        <f t="shared" si="22"/>
        <v>131400</v>
      </c>
      <c r="V163" s="10">
        <f t="shared" si="22"/>
        <v>131400</v>
      </c>
      <c r="W163" s="10">
        <f t="shared" si="22"/>
        <v>131400</v>
      </c>
      <c r="X163" s="10">
        <f t="shared" si="22"/>
        <v>131760</v>
      </c>
      <c r="Y163" s="10">
        <f t="shared" si="22"/>
        <v>131400</v>
      </c>
      <c r="Z163" s="10">
        <f t="shared" si="22"/>
        <v>0</v>
      </c>
      <c r="AA163" s="10"/>
      <c r="AB163" s="10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</row>
    <row r="164" spans="1:114">
      <c r="A164" s="62"/>
      <c r="B164" s="62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</row>
    <row r="165" spans="1:114" s="310" customFormat="1">
      <c r="A165" s="37" t="s">
        <v>498</v>
      </c>
      <c r="B165" s="49"/>
      <c r="C165" s="10">
        <v>2000</v>
      </c>
      <c r="D165" s="10">
        <f>C165*(1+$D$113)</f>
        <v>2060</v>
      </c>
      <c r="E165" s="10">
        <f t="shared" ref="E165:Z165" si="23">D165*(1+$D$113)</f>
        <v>2121.8000000000002</v>
      </c>
      <c r="F165" s="10">
        <f t="shared" si="23"/>
        <v>2185.4540000000002</v>
      </c>
      <c r="G165" s="10">
        <f t="shared" si="23"/>
        <v>2251.0176200000001</v>
      </c>
      <c r="H165" s="10">
        <f t="shared" si="23"/>
        <v>2318.5481486000003</v>
      </c>
      <c r="I165" s="10">
        <f t="shared" si="23"/>
        <v>2388.1045930580003</v>
      </c>
      <c r="J165" s="10">
        <f t="shared" si="23"/>
        <v>2459.7477308497405</v>
      </c>
      <c r="K165" s="10">
        <f t="shared" si="23"/>
        <v>2533.5401627752326</v>
      </c>
      <c r="L165" s="10">
        <f t="shared" si="23"/>
        <v>2609.5463676584895</v>
      </c>
      <c r="M165" s="10">
        <f t="shared" si="23"/>
        <v>2687.8327586882442</v>
      </c>
      <c r="N165" s="10">
        <f t="shared" si="23"/>
        <v>2768.4677414488915</v>
      </c>
      <c r="O165" s="10">
        <f t="shared" si="23"/>
        <v>2851.5217736923582</v>
      </c>
      <c r="P165" s="10">
        <f t="shared" si="23"/>
        <v>2937.0674269031292</v>
      </c>
      <c r="Q165" s="10">
        <f t="shared" si="23"/>
        <v>3025.1794497102233</v>
      </c>
      <c r="R165" s="10">
        <f t="shared" si="23"/>
        <v>3115.9348332015302</v>
      </c>
      <c r="S165" s="10">
        <f t="shared" si="23"/>
        <v>3209.412878197576</v>
      </c>
      <c r="T165" s="10">
        <f t="shared" si="23"/>
        <v>3305.6952645435035</v>
      </c>
      <c r="U165" s="10">
        <f t="shared" si="23"/>
        <v>3404.8661224798088</v>
      </c>
      <c r="V165" s="10">
        <f t="shared" si="23"/>
        <v>3507.0121061542031</v>
      </c>
      <c r="W165" s="10">
        <f t="shared" si="23"/>
        <v>3612.2224693388293</v>
      </c>
      <c r="X165" s="10">
        <f t="shared" si="23"/>
        <v>3720.5891434189944</v>
      </c>
      <c r="Y165" s="10">
        <f t="shared" si="23"/>
        <v>3832.2068177215642</v>
      </c>
      <c r="Z165" s="10">
        <f t="shared" si="23"/>
        <v>3947.1730222532115</v>
      </c>
      <c r="AA165" s="10"/>
      <c r="AB165" s="10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</row>
    <row r="166" spans="1:114">
      <c r="A166" s="62"/>
      <c r="B166" s="62"/>
      <c r="C166" s="62"/>
      <c r="D166" s="11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</row>
    <row r="167" spans="1:114" s="310" customFormat="1">
      <c r="A167" s="37" t="s">
        <v>499</v>
      </c>
      <c r="B167" s="49"/>
      <c r="C167" s="10">
        <f t="shared" ref="C167:Z167" si="24">(C165*C163)/10^7</f>
        <v>0</v>
      </c>
      <c r="D167" s="10">
        <f t="shared" si="24"/>
        <v>0</v>
      </c>
      <c r="E167" s="10">
        <f t="shared" si="24"/>
        <v>0</v>
      </c>
      <c r="F167" s="10">
        <f t="shared" si="24"/>
        <v>0</v>
      </c>
      <c r="G167" s="10">
        <f t="shared" si="24"/>
        <v>17.301321427320001</v>
      </c>
      <c r="H167" s="10">
        <f t="shared" si="24"/>
        <v>30.549190405953603</v>
      </c>
      <c r="I167" s="10">
        <f t="shared" si="24"/>
        <v>31.379694352782124</v>
      </c>
      <c r="J167" s="10">
        <f t="shared" si="24"/>
        <v>32.321085183365589</v>
      </c>
      <c r="K167" s="10">
        <f t="shared" si="24"/>
        <v>33.290717738866554</v>
      </c>
      <c r="L167" s="10">
        <f t="shared" si="24"/>
        <v>34.383382940268262</v>
      </c>
      <c r="M167" s="10">
        <f t="shared" si="24"/>
        <v>35.318122449163525</v>
      </c>
      <c r="N167" s="10">
        <f t="shared" si="24"/>
        <v>36.377666122638438</v>
      </c>
      <c r="O167" s="10">
        <f t="shared" si="24"/>
        <v>37.468996106317583</v>
      </c>
      <c r="P167" s="10">
        <f t="shared" si="24"/>
        <v>38.698800416875628</v>
      </c>
      <c r="Q167" s="10">
        <f t="shared" si="24"/>
        <v>39.750857969192332</v>
      </c>
      <c r="R167" s="10">
        <f t="shared" si="24"/>
        <v>40.943383708268108</v>
      </c>
      <c r="S167" s="10">
        <f t="shared" si="24"/>
        <v>42.171685219516149</v>
      </c>
      <c r="T167" s="10">
        <f t="shared" si="24"/>
        <v>43.555840805625202</v>
      </c>
      <c r="U167" s="10">
        <f t="shared" si="24"/>
        <v>44.739940849384688</v>
      </c>
      <c r="V167" s="10">
        <f t="shared" si="24"/>
        <v>46.082139074866227</v>
      </c>
      <c r="W167" s="10">
        <f t="shared" si="24"/>
        <v>47.464603247112223</v>
      </c>
      <c r="X167" s="10">
        <f t="shared" si="24"/>
        <v>49.022482553688668</v>
      </c>
      <c r="Y167" s="10">
        <f t="shared" si="24"/>
        <v>50.355197584861358</v>
      </c>
      <c r="Z167" s="10">
        <f t="shared" si="24"/>
        <v>0</v>
      </c>
      <c r="AA167" s="10"/>
      <c r="AB167" s="10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</row>
    <row r="168" spans="1:114">
      <c r="A168" s="62"/>
      <c r="B168" s="62"/>
      <c r="C168" s="62"/>
      <c r="D168" s="11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</row>
    <row r="169" spans="1:114">
      <c r="A169" s="62"/>
      <c r="B169" s="62"/>
      <c r="C169" s="62"/>
      <c r="D169" s="11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</row>
    <row r="170" spans="1:114">
      <c r="A170" s="296" t="s">
        <v>483</v>
      </c>
      <c r="B170" s="288"/>
      <c r="C170" s="288"/>
      <c r="D170" s="289"/>
      <c r="E170" s="288"/>
      <c r="F170" s="288"/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288"/>
      <c r="AA170" s="288"/>
      <c r="AB170" s="288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</row>
    <row r="171" spans="1:114">
      <c r="A171" s="62" t="s">
        <v>424</v>
      </c>
      <c r="B171" s="62"/>
      <c r="C171" s="116"/>
      <c r="D171" s="116"/>
      <c r="E171" s="116">
        <f t="shared" ref="E171:AB171" si="25">($E$116*E138*24)*E135</f>
        <v>0</v>
      </c>
      <c r="F171" s="116">
        <f t="shared" si="25"/>
        <v>0</v>
      </c>
      <c r="G171" s="116">
        <f t="shared" si="25"/>
        <v>52704</v>
      </c>
      <c r="H171" s="116">
        <f t="shared" si="25"/>
        <v>79056</v>
      </c>
      <c r="I171" s="116">
        <f t="shared" si="25"/>
        <v>78840</v>
      </c>
      <c r="J171" s="116">
        <f t="shared" si="25"/>
        <v>78840</v>
      </c>
      <c r="K171" s="116">
        <f t="shared" si="25"/>
        <v>78840</v>
      </c>
      <c r="L171" s="116">
        <f t="shared" si="25"/>
        <v>79056</v>
      </c>
      <c r="M171" s="116">
        <f t="shared" si="25"/>
        <v>78840</v>
      </c>
      <c r="N171" s="116">
        <f t="shared" si="25"/>
        <v>78840</v>
      </c>
      <c r="O171" s="116">
        <f t="shared" si="25"/>
        <v>78840</v>
      </c>
      <c r="P171" s="116">
        <f t="shared" si="25"/>
        <v>79056</v>
      </c>
      <c r="Q171" s="116">
        <f t="shared" si="25"/>
        <v>78840</v>
      </c>
      <c r="R171" s="116">
        <f t="shared" si="25"/>
        <v>78840</v>
      </c>
      <c r="S171" s="116">
        <f t="shared" si="25"/>
        <v>78840</v>
      </c>
      <c r="T171" s="116">
        <f t="shared" si="25"/>
        <v>79056</v>
      </c>
      <c r="U171" s="116">
        <f t="shared" si="25"/>
        <v>78840</v>
      </c>
      <c r="V171" s="116">
        <f t="shared" si="25"/>
        <v>78840</v>
      </c>
      <c r="W171" s="116">
        <f t="shared" si="25"/>
        <v>78840</v>
      </c>
      <c r="X171" s="116">
        <f t="shared" si="25"/>
        <v>79056</v>
      </c>
      <c r="Y171" s="116">
        <f t="shared" si="25"/>
        <v>78840</v>
      </c>
      <c r="Z171" s="116">
        <f t="shared" si="25"/>
        <v>0</v>
      </c>
      <c r="AA171" s="116">
        <f t="shared" si="25"/>
        <v>0</v>
      </c>
      <c r="AB171" s="116">
        <f t="shared" si="25"/>
        <v>0</v>
      </c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</row>
    <row r="172" spans="1:114">
      <c r="A172" s="62" t="s">
        <v>425</v>
      </c>
      <c r="B172" s="62"/>
      <c r="C172" s="116"/>
      <c r="D172" s="116"/>
      <c r="E172" s="116">
        <f t="shared" ref="E172:AB172" si="26">($F$116*E139*24)*E135</f>
        <v>0</v>
      </c>
      <c r="F172" s="116">
        <f t="shared" si="26"/>
        <v>0</v>
      </c>
      <c r="G172" s="116">
        <f t="shared" si="26"/>
        <v>39528</v>
      </c>
      <c r="H172" s="116">
        <f t="shared" si="26"/>
        <v>79056</v>
      </c>
      <c r="I172" s="116">
        <f t="shared" si="26"/>
        <v>78840</v>
      </c>
      <c r="J172" s="116">
        <f t="shared" si="26"/>
        <v>78840</v>
      </c>
      <c r="K172" s="116">
        <f t="shared" si="26"/>
        <v>78840</v>
      </c>
      <c r="L172" s="116">
        <f t="shared" si="26"/>
        <v>79056</v>
      </c>
      <c r="M172" s="116">
        <f t="shared" si="26"/>
        <v>78840</v>
      </c>
      <c r="N172" s="116">
        <f t="shared" si="26"/>
        <v>78840</v>
      </c>
      <c r="O172" s="116">
        <f t="shared" si="26"/>
        <v>78840</v>
      </c>
      <c r="P172" s="116">
        <f t="shared" si="26"/>
        <v>79056</v>
      </c>
      <c r="Q172" s="116">
        <f t="shared" si="26"/>
        <v>78840</v>
      </c>
      <c r="R172" s="116">
        <f t="shared" si="26"/>
        <v>78840</v>
      </c>
      <c r="S172" s="116">
        <f t="shared" si="26"/>
        <v>78840</v>
      </c>
      <c r="T172" s="116">
        <f t="shared" si="26"/>
        <v>79056</v>
      </c>
      <c r="U172" s="116">
        <f t="shared" si="26"/>
        <v>78840</v>
      </c>
      <c r="V172" s="116">
        <f t="shared" si="26"/>
        <v>78840</v>
      </c>
      <c r="W172" s="116">
        <f t="shared" si="26"/>
        <v>78840</v>
      </c>
      <c r="X172" s="116">
        <f t="shared" si="26"/>
        <v>79056</v>
      </c>
      <c r="Y172" s="116">
        <f t="shared" si="26"/>
        <v>78840</v>
      </c>
      <c r="Z172" s="116">
        <f t="shared" si="26"/>
        <v>0</v>
      </c>
      <c r="AA172" s="116">
        <f t="shared" si="26"/>
        <v>0</v>
      </c>
      <c r="AB172" s="116">
        <f t="shared" si="26"/>
        <v>0</v>
      </c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</row>
    <row r="173" spans="1:114" s="310" customFormat="1">
      <c r="A173" s="37" t="s">
        <v>500</v>
      </c>
      <c r="B173" s="49"/>
      <c r="C173" s="10"/>
      <c r="D173" s="10"/>
      <c r="E173" s="10">
        <f>SUM(E171:E172)</f>
        <v>0</v>
      </c>
      <c r="F173" s="10">
        <f t="shared" ref="F173:Z173" si="27">SUM(F171:F172)</f>
        <v>0</v>
      </c>
      <c r="G173" s="10">
        <f t="shared" si="27"/>
        <v>92232</v>
      </c>
      <c r="H173" s="10">
        <f t="shared" si="27"/>
        <v>158112</v>
      </c>
      <c r="I173" s="10">
        <f t="shared" si="27"/>
        <v>157680</v>
      </c>
      <c r="J173" s="10">
        <f t="shared" si="27"/>
        <v>157680</v>
      </c>
      <c r="K173" s="10">
        <f t="shared" si="27"/>
        <v>157680</v>
      </c>
      <c r="L173" s="10">
        <f t="shared" si="27"/>
        <v>158112</v>
      </c>
      <c r="M173" s="10">
        <f t="shared" si="27"/>
        <v>157680</v>
      </c>
      <c r="N173" s="10">
        <f t="shared" si="27"/>
        <v>157680</v>
      </c>
      <c r="O173" s="10">
        <f t="shared" si="27"/>
        <v>157680</v>
      </c>
      <c r="P173" s="10">
        <f t="shared" si="27"/>
        <v>158112</v>
      </c>
      <c r="Q173" s="10">
        <f t="shared" si="27"/>
        <v>157680</v>
      </c>
      <c r="R173" s="10">
        <f t="shared" si="27"/>
        <v>157680</v>
      </c>
      <c r="S173" s="10">
        <f t="shared" si="27"/>
        <v>157680</v>
      </c>
      <c r="T173" s="10">
        <f t="shared" si="27"/>
        <v>158112</v>
      </c>
      <c r="U173" s="10">
        <f t="shared" si="27"/>
        <v>157680</v>
      </c>
      <c r="V173" s="10">
        <f t="shared" si="27"/>
        <v>157680</v>
      </c>
      <c r="W173" s="10">
        <f t="shared" si="27"/>
        <v>157680</v>
      </c>
      <c r="X173" s="10">
        <f t="shared" si="27"/>
        <v>158112</v>
      </c>
      <c r="Y173" s="10">
        <f t="shared" si="27"/>
        <v>157680</v>
      </c>
      <c r="Z173" s="10">
        <f t="shared" si="27"/>
        <v>0</v>
      </c>
      <c r="AA173" s="10"/>
      <c r="AB173" s="10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</row>
    <row r="174" spans="1:114">
      <c r="A174" s="62"/>
      <c r="B174" s="62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</row>
    <row r="175" spans="1:114" s="310" customFormat="1">
      <c r="A175" s="37" t="s">
        <v>501</v>
      </c>
      <c r="B175" s="49"/>
      <c r="C175" s="10">
        <f>D117</f>
        <v>200</v>
      </c>
      <c r="D175" s="10">
        <f>C175*(1+$D$118)</f>
        <v>210</v>
      </c>
      <c r="E175" s="10">
        <f t="shared" ref="E175:AB175" si="28">D175*(1+$D$118)</f>
        <v>220.5</v>
      </c>
      <c r="F175" s="10">
        <f t="shared" si="28"/>
        <v>231.52500000000001</v>
      </c>
      <c r="G175" s="10">
        <f t="shared" si="28"/>
        <v>243.10125000000002</v>
      </c>
      <c r="H175" s="10">
        <f t="shared" si="28"/>
        <v>255.25631250000004</v>
      </c>
      <c r="I175" s="10">
        <f t="shared" si="28"/>
        <v>268.01912812500007</v>
      </c>
      <c r="J175" s="10">
        <f t="shared" si="28"/>
        <v>281.4200845312501</v>
      </c>
      <c r="K175" s="10">
        <f t="shared" si="28"/>
        <v>295.49108875781263</v>
      </c>
      <c r="L175" s="10">
        <f t="shared" si="28"/>
        <v>310.26564319570326</v>
      </c>
      <c r="M175" s="10">
        <f t="shared" si="28"/>
        <v>325.77892535548841</v>
      </c>
      <c r="N175" s="10">
        <f t="shared" si="28"/>
        <v>342.06787162326287</v>
      </c>
      <c r="O175" s="10">
        <f t="shared" si="28"/>
        <v>359.17126520442605</v>
      </c>
      <c r="P175" s="10">
        <f t="shared" si="28"/>
        <v>377.12982846464735</v>
      </c>
      <c r="Q175" s="10">
        <f t="shared" si="28"/>
        <v>395.98631988787974</v>
      </c>
      <c r="R175" s="10">
        <f t="shared" si="28"/>
        <v>415.78563588227377</v>
      </c>
      <c r="S175" s="10">
        <f t="shared" si="28"/>
        <v>436.57491767638749</v>
      </c>
      <c r="T175" s="10">
        <f t="shared" si="28"/>
        <v>458.40366356020689</v>
      </c>
      <c r="U175" s="10">
        <f t="shared" si="28"/>
        <v>481.32384673821724</v>
      </c>
      <c r="V175" s="10">
        <f t="shared" si="28"/>
        <v>505.39003907512813</v>
      </c>
      <c r="W175" s="10">
        <f t="shared" si="28"/>
        <v>530.65954102888452</v>
      </c>
      <c r="X175" s="10">
        <f t="shared" si="28"/>
        <v>557.1925180803288</v>
      </c>
      <c r="Y175" s="10">
        <f t="shared" si="28"/>
        <v>585.05214398434521</v>
      </c>
      <c r="Z175" s="10">
        <f t="shared" si="28"/>
        <v>614.30475118356253</v>
      </c>
      <c r="AA175" s="10">
        <f t="shared" si="28"/>
        <v>645.01998874274068</v>
      </c>
      <c r="AB175" s="10">
        <f t="shared" si="28"/>
        <v>677.27098817987769</v>
      </c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</row>
    <row r="176" spans="1:114">
      <c r="A176" s="62"/>
      <c r="B176" s="62"/>
      <c r="C176" s="62"/>
      <c r="D176" s="11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</row>
    <row r="177" spans="1:114" s="310" customFormat="1">
      <c r="A177" s="37" t="s">
        <v>502</v>
      </c>
      <c r="B177" s="49"/>
      <c r="C177" s="10">
        <f t="shared" ref="C177:Z177" si="29">(C175*C173)/10^7</f>
        <v>0</v>
      </c>
      <c r="D177" s="10">
        <f t="shared" si="29"/>
        <v>0</v>
      </c>
      <c r="E177" s="10">
        <f t="shared" si="29"/>
        <v>0</v>
      </c>
      <c r="F177" s="10">
        <f t="shared" si="29"/>
        <v>0</v>
      </c>
      <c r="G177" s="10">
        <f t="shared" si="29"/>
        <v>2.2421714490000002</v>
      </c>
      <c r="H177" s="10">
        <f t="shared" si="29"/>
        <v>4.0359086082000006</v>
      </c>
      <c r="I177" s="10">
        <f t="shared" si="29"/>
        <v>4.2261256122750011</v>
      </c>
      <c r="J177" s="10">
        <f t="shared" si="29"/>
        <v>4.4374318928887515</v>
      </c>
      <c r="K177" s="10">
        <f t="shared" si="29"/>
        <v>4.6593034875331893</v>
      </c>
      <c r="L177" s="10">
        <f t="shared" si="29"/>
        <v>4.9056721376959036</v>
      </c>
      <c r="M177" s="10">
        <f t="shared" si="29"/>
        <v>5.1368820950053413</v>
      </c>
      <c r="N177" s="10">
        <f t="shared" si="29"/>
        <v>5.3937261997556094</v>
      </c>
      <c r="O177" s="10">
        <f t="shared" si="29"/>
        <v>5.6634125097433898</v>
      </c>
      <c r="P177" s="10">
        <f t="shared" si="29"/>
        <v>5.9628751438202325</v>
      </c>
      <c r="Q177" s="10">
        <f t="shared" si="29"/>
        <v>6.2439122919920873</v>
      </c>
      <c r="R177" s="10">
        <f t="shared" si="29"/>
        <v>6.5561079065916923</v>
      </c>
      <c r="S177" s="10">
        <f t="shared" si="29"/>
        <v>6.8839133019212779</v>
      </c>
      <c r="T177" s="10">
        <f t="shared" si="29"/>
        <v>7.2479120052831423</v>
      </c>
      <c r="U177" s="10">
        <f t="shared" si="29"/>
        <v>7.5895144153682095</v>
      </c>
      <c r="V177" s="10">
        <f t="shared" si="29"/>
        <v>7.96899013613662</v>
      </c>
      <c r="W177" s="10">
        <f t="shared" si="29"/>
        <v>8.3674396429434506</v>
      </c>
      <c r="X177" s="10">
        <f t="shared" si="29"/>
        <v>8.8098823418716954</v>
      </c>
      <c r="Y177" s="10">
        <f t="shared" si="29"/>
        <v>9.2251022063451558</v>
      </c>
      <c r="Z177" s="10">
        <f t="shared" si="29"/>
        <v>0</v>
      </c>
      <c r="AA177" s="10"/>
      <c r="AB177" s="10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</row>
    <row r="178" spans="1:114">
      <c r="A178" s="62"/>
      <c r="B178" s="62"/>
      <c r="C178" s="62"/>
      <c r="D178" s="11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</row>
    <row r="179" spans="1:114">
      <c r="A179" s="62"/>
      <c r="B179" s="62"/>
      <c r="C179" s="62"/>
      <c r="D179" s="11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</row>
    <row r="180" spans="1:114">
      <c r="A180" s="296" t="s">
        <v>486</v>
      </c>
      <c r="B180" s="288"/>
      <c r="C180" s="288"/>
      <c r="D180" s="289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288"/>
      <c r="AA180" s="288"/>
      <c r="AB180" s="288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</row>
    <row r="181" spans="1:114">
      <c r="A181" s="62" t="s">
        <v>424</v>
      </c>
      <c r="B181" s="62"/>
      <c r="C181" s="116"/>
      <c r="D181" s="116"/>
      <c r="E181" s="116">
        <f t="shared" ref="E181:AB181" si="30">($E$121*E138*24)*E135</f>
        <v>0</v>
      </c>
      <c r="F181" s="116">
        <f t="shared" si="30"/>
        <v>0</v>
      </c>
      <c r="G181" s="116">
        <f t="shared" si="30"/>
        <v>549000</v>
      </c>
      <c r="H181" s="116">
        <f t="shared" si="30"/>
        <v>823500</v>
      </c>
      <c r="I181" s="116">
        <f t="shared" si="30"/>
        <v>821250</v>
      </c>
      <c r="J181" s="116">
        <f t="shared" si="30"/>
        <v>821250</v>
      </c>
      <c r="K181" s="116">
        <f t="shared" si="30"/>
        <v>821250</v>
      </c>
      <c r="L181" s="116">
        <f t="shared" si="30"/>
        <v>823500</v>
      </c>
      <c r="M181" s="116">
        <f t="shared" si="30"/>
        <v>821250</v>
      </c>
      <c r="N181" s="116">
        <f t="shared" si="30"/>
        <v>821250</v>
      </c>
      <c r="O181" s="116">
        <f t="shared" si="30"/>
        <v>821250</v>
      </c>
      <c r="P181" s="116">
        <f t="shared" si="30"/>
        <v>823500</v>
      </c>
      <c r="Q181" s="116">
        <f t="shared" si="30"/>
        <v>821250</v>
      </c>
      <c r="R181" s="116">
        <f t="shared" si="30"/>
        <v>821250</v>
      </c>
      <c r="S181" s="116">
        <f t="shared" si="30"/>
        <v>821250</v>
      </c>
      <c r="T181" s="116">
        <f t="shared" si="30"/>
        <v>823500</v>
      </c>
      <c r="U181" s="116">
        <f t="shared" si="30"/>
        <v>821250</v>
      </c>
      <c r="V181" s="116">
        <f t="shared" si="30"/>
        <v>821250</v>
      </c>
      <c r="W181" s="116">
        <f t="shared" si="30"/>
        <v>821250</v>
      </c>
      <c r="X181" s="116">
        <f t="shared" si="30"/>
        <v>823500</v>
      </c>
      <c r="Y181" s="116">
        <f t="shared" si="30"/>
        <v>821250</v>
      </c>
      <c r="Z181" s="116">
        <f t="shared" si="30"/>
        <v>0</v>
      </c>
      <c r="AA181" s="116">
        <f t="shared" si="30"/>
        <v>0</v>
      </c>
      <c r="AB181" s="116">
        <f t="shared" si="30"/>
        <v>0</v>
      </c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</row>
    <row r="182" spans="1:114">
      <c r="A182" s="62" t="s">
        <v>425</v>
      </c>
      <c r="B182" s="62"/>
      <c r="C182" s="116"/>
      <c r="D182" s="116"/>
      <c r="E182" s="116">
        <f t="shared" ref="E182:AB182" si="31">($F$121*E139*24)*E135</f>
        <v>0</v>
      </c>
      <c r="F182" s="116">
        <f t="shared" si="31"/>
        <v>0</v>
      </c>
      <c r="G182" s="116">
        <f t="shared" si="31"/>
        <v>411750</v>
      </c>
      <c r="H182" s="116">
        <f t="shared" si="31"/>
        <v>823500</v>
      </c>
      <c r="I182" s="116">
        <f t="shared" si="31"/>
        <v>821250</v>
      </c>
      <c r="J182" s="116">
        <f t="shared" si="31"/>
        <v>821250</v>
      </c>
      <c r="K182" s="116">
        <f t="shared" si="31"/>
        <v>821250</v>
      </c>
      <c r="L182" s="116">
        <f t="shared" si="31"/>
        <v>823500</v>
      </c>
      <c r="M182" s="116">
        <f t="shared" si="31"/>
        <v>821250</v>
      </c>
      <c r="N182" s="116">
        <f t="shared" si="31"/>
        <v>821250</v>
      </c>
      <c r="O182" s="116">
        <f t="shared" si="31"/>
        <v>821250</v>
      </c>
      <c r="P182" s="116">
        <f t="shared" si="31"/>
        <v>823500</v>
      </c>
      <c r="Q182" s="116">
        <f t="shared" si="31"/>
        <v>821250</v>
      </c>
      <c r="R182" s="116">
        <f t="shared" si="31"/>
        <v>821250</v>
      </c>
      <c r="S182" s="116">
        <f t="shared" si="31"/>
        <v>821250</v>
      </c>
      <c r="T182" s="116">
        <f t="shared" si="31"/>
        <v>823500</v>
      </c>
      <c r="U182" s="116">
        <f t="shared" si="31"/>
        <v>821250</v>
      </c>
      <c r="V182" s="116">
        <f t="shared" si="31"/>
        <v>821250</v>
      </c>
      <c r="W182" s="116">
        <f t="shared" si="31"/>
        <v>821250</v>
      </c>
      <c r="X182" s="116">
        <f t="shared" si="31"/>
        <v>823500</v>
      </c>
      <c r="Y182" s="116">
        <f t="shared" si="31"/>
        <v>821250</v>
      </c>
      <c r="Z182" s="116">
        <f t="shared" si="31"/>
        <v>0</v>
      </c>
      <c r="AA182" s="116">
        <f t="shared" si="31"/>
        <v>0</v>
      </c>
      <c r="AB182" s="116">
        <f t="shared" si="31"/>
        <v>0</v>
      </c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</row>
    <row r="183" spans="1:114" s="310" customFormat="1">
      <c r="A183" s="37" t="s">
        <v>503</v>
      </c>
      <c r="B183" s="49"/>
      <c r="C183" s="10"/>
      <c r="D183" s="10"/>
      <c r="E183" s="10">
        <f>SUM(E181:E182)</f>
        <v>0</v>
      </c>
      <c r="F183" s="10">
        <f t="shared" ref="F183:Z183" si="32">SUM(F181:F182)</f>
        <v>0</v>
      </c>
      <c r="G183" s="10">
        <f t="shared" si="32"/>
        <v>960750</v>
      </c>
      <c r="H183" s="10">
        <f t="shared" si="32"/>
        <v>1647000</v>
      </c>
      <c r="I183" s="10">
        <f t="shared" si="32"/>
        <v>1642500</v>
      </c>
      <c r="J183" s="10">
        <f t="shared" si="32"/>
        <v>1642500</v>
      </c>
      <c r="K183" s="10">
        <f t="shared" si="32"/>
        <v>1642500</v>
      </c>
      <c r="L183" s="10">
        <f t="shared" si="32"/>
        <v>1647000</v>
      </c>
      <c r="M183" s="10">
        <f t="shared" si="32"/>
        <v>1642500</v>
      </c>
      <c r="N183" s="10">
        <f t="shared" si="32"/>
        <v>1642500</v>
      </c>
      <c r="O183" s="10">
        <f t="shared" si="32"/>
        <v>1642500</v>
      </c>
      <c r="P183" s="10">
        <f t="shared" si="32"/>
        <v>1647000</v>
      </c>
      <c r="Q183" s="10">
        <f t="shared" si="32"/>
        <v>1642500</v>
      </c>
      <c r="R183" s="10">
        <f t="shared" si="32"/>
        <v>1642500</v>
      </c>
      <c r="S183" s="10">
        <f t="shared" si="32"/>
        <v>1642500</v>
      </c>
      <c r="T183" s="10">
        <f t="shared" si="32"/>
        <v>1647000</v>
      </c>
      <c r="U183" s="10">
        <f t="shared" si="32"/>
        <v>1642500</v>
      </c>
      <c r="V183" s="10">
        <f t="shared" si="32"/>
        <v>1642500</v>
      </c>
      <c r="W183" s="10">
        <f t="shared" si="32"/>
        <v>1642500</v>
      </c>
      <c r="X183" s="10">
        <f t="shared" si="32"/>
        <v>1647000</v>
      </c>
      <c r="Y183" s="10">
        <f t="shared" si="32"/>
        <v>1642500</v>
      </c>
      <c r="Z183" s="10">
        <f t="shared" si="32"/>
        <v>0</v>
      </c>
      <c r="AA183" s="10"/>
      <c r="AB183" s="10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</row>
    <row r="184" spans="1:114">
      <c r="A184" s="62"/>
      <c r="B184" s="62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</row>
    <row r="185" spans="1:114" s="310" customFormat="1">
      <c r="A185" s="37" t="s">
        <v>504</v>
      </c>
      <c r="B185" s="49"/>
      <c r="C185" s="10">
        <f>D122</f>
        <v>5.5</v>
      </c>
      <c r="D185" s="10">
        <f>C185*(1+$D$123)</f>
        <v>5.7750000000000004</v>
      </c>
      <c r="E185" s="10">
        <f t="shared" ref="E185:AB185" si="33">D185*(1+$D$123)</f>
        <v>6.0637500000000006</v>
      </c>
      <c r="F185" s="10">
        <f>E122</f>
        <v>10.5</v>
      </c>
      <c r="G185" s="10">
        <f t="shared" si="33"/>
        <v>11.025</v>
      </c>
      <c r="H185" s="10">
        <f t="shared" si="33"/>
        <v>11.576250000000002</v>
      </c>
      <c r="I185" s="10">
        <f t="shared" si="33"/>
        <v>12.155062500000001</v>
      </c>
      <c r="J185" s="10">
        <f t="shared" si="33"/>
        <v>12.762815625000002</v>
      </c>
      <c r="K185" s="10">
        <f t="shared" si="33"/>
        <v>13.400956406250003</v>
      </c>
      <c r="L185" s="10">
        <f t="shared" si="33"/>
        <v>14.071004226562504</v>
      </c>
      <c r="M185" s="10">
        <f t="shared" si="33"/>
        <v>14.774554437890631</v>
      </c>
      <c r="N185" s="10">
        <f t="shared" si="33"/>
        <v>15.513282159785163</v>
      </c>
      <c r="O185" s="10">
        <f t="shared" si="33"/>
        <v>16.288946267774421</v>
      </c>
      <c r="P185" s="10">
        <f t="shared" si="33"/>
        <v>17.103393581163143</v>
      </c>
      <c r="Q185" s="10">
        <f t="shared" si="33"/>
        <v>17.9585632602213</v>
      </c>
      <c r="R185" s="10">
        <f t="shared" si="33"/>
        <v>18.856491423232367</v>
      </c>
      <c r="S185" s="10">
        <f t="shared" si="33"/>
        <v>19.799315994393986</v>
      </c>
      <c r="T185" s="10">
        <f t="shared" si="33"/>
        <v>20.789281794113688</v>
      </c>
      <c r="U185" s="10">
        <f t="shared" si="33"/>
        <v>21.828745883819373</v>
      </c>
      <c r="V185" s="10">
        <f t="shared" si="33"/>
        <v>22.920183178010344</v>
      </c>
      <c r="W185" s="10">
        <f t="shared" si="33"/>
        <v>24.066192336910863</v>
      </c>
      <c r="X185" s="10">
        <f t="shared" si="33"/>
        <v>25.269501953756407</v>
      </c>
      <c r="Y185" s="10">
        <f t="shared" si="33"/>
        <v>26.532977051444227</v>
      </c>
      <c r="Z185" s="10">
        <f t="shared" si="33"/>
        <v>27.85962590401644</v>
      </c>
      <c r="AA185" s="10">
        <f t="shared" si="33"/>
        <v>29.252607199217262</v>
      </c>
      <c r="AB185" s="10">
        <f t="shared" si="33"/>
        <v>30.715237559178128</v>
      </c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</row>
    <row r="186" spans="1:114">
      <c r="A186" s="62"/>
      <c r="B186" s="62"/>
      <c r="C186" s="62"/>
      <c r="D186" s="11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</row>
    <row r="187" spans="1:114" s="310" customFormat="1">
      <c r="A187" s="37" t="s">
        <v>505</v>
      </c>
      <c r="B187" s="49"/>
      <c r="C187" s="10">
        <f t="shared" ref="C187:Z187" si="34">(C185*C183)/10^7</f>
        <v>0</v>
      </c>
      <c r="D187" s="10">
        <f t="shared" si="34"/>
        <v>0</v>
      </c>
      <c r="E187" s="10">
        <f t="shared" si="34"/>
        <v>0</v>
      </c>
      <c r="F187" s="10">
        <f t="shared" si="34"/>
        <v>0</v>
      </c>
      <c r="G187" s="10">
        <f t="shared" si="34"/>
        <v>1.059226875</v>
      </c>
      <c r="H187" s="10">
        <f t="shared" si="34"/>
        <v>1.9066083750000005</v>
      </c>
      <c r="I187" s="10">
        <f t="shared" si="34"/>
        <v>1.9964690156250005</v>
      </c>
      <c r="J187" s="10">
        <f t="shared" si="34"/>
        <v>2.0962924664062506</v>
      </c>
      <c r="K187" s="10">
        <f t="shared" si="34"/>
        <v>2.201107089726563</v>
      </c>
      <c r="L187" s="10">
        <f t="shared" si="34"/>
        <v>2.3174943961148444</v>
      </c>
      <c r="M187" s="10">
        <f t="shared" si="34"/>
        <v>2.4267205664235361</v>
      </c>
      <c r="N187" s="10">
        <f t="shared" si="34"/>
        <v>2.5480565947447129</v>
      </c>
      <c r="O187" s="10">
        <f t="shared" si="34"/>
        <v>2.6754594244819483</v>
      </c>
      <c r="P187" s="10">
        <f t="shared" si="34"/>
        <v>2.8169289228175698</v>
      </c>
      <c r="Q187" s="10">
        <f t="shared" si="34"/>
        <v>2.9496940154913487</v>
      </c>
      <c r="R187" s="10">
        <f t="shared" si="34"/>
        <v>3.0971787162659159</v>
      </c>
      <c r="S187" s="10">
        <f t="shared" si="34"/>
        <v>3.2520376520792125</v>
      </c>
      <c r="T187" s="10">
        <f t="shared" si="34"/>
        <v>3.4239947114905247</v>
      </c>
      <c r="U187" s="10">
        <f t="shared" si="34"/>
        <v>3.5853715114173323</v>
      </c>
      <c r="V187" s="10">
        <f t="shared" si="34"/>
        <v>3.7646400869881989</v>
      </c>
      <c r="W187" s="10">
        <f t="shared" si="34"/>
        <v>3.9528720913376092</v>
      </c>
      <c r="X187" s="10">
        <f t="shared" si="34"/>
        <v>4.1618869717836802</v>
      </c>
      <c r="Y187" s="10">
        <f t="shared" si="34"/>
        <v>4.3580414806997139</v>
      </c>
      <c r="Z187" s="10">
        <f t="shared" si="34"/>
        <v>0</v>
      </c>
      <c r="AA187" s="10"/>
      <c r="AB187" s="10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</row>
    <row r="188" spans="1:114">
      <c r="A188" s="62"/>
      <c r="B188" s="62"/>
      <c r="C188" s="62"/>
      <c r="D188" s="11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</row>
    <row r="189" spans="1:114" s="310" customFormat="1" ht="13.5" thickBot="1">
      <c r="A189" s="71" t="s">
        <v>506</v>
      </c>
      <c r="B189" s="72"/>
      <c r="C189" s="139">
        <f>C187+C177+C167+C152+C157</f>
        <v>0</v>
      </c>
      <c r="D189" s="139">
        <f t="shared" ref="D189:E189" si="35">D187+D177+D167+D152+D157</f>
        <v>0</v>
      </c>
      <c r="E189" s="139">
        <f t="shared" si="35"/>
        <v>0</v>
      </c>
      <c r="F189" s="139">
        <f>F187+F177+F167+F152+F157+F147</f>
        <v>0</v>
      </c>
      <c r="G189" s="139">
        <f>G187+G177+G167+G152+G157+G147</f>
        <v>31.018129436954347</v>
      </c>
      <c r="H189" s="139">
        <f>H187+H177+H167+H152+H157+H147</f>
        <v>53.05133827881248</v>
      </c>
      <c r="I189" s="139">
        <f t="shared" ref="I189:Z189" si="36">I187+I177+I167+I152+I157+I147</f>
        <v>54.224644239494936</v>
      </c>
      <c r="J189" s="139">
        <f t="shared" si="36"/>
        <v>55.584658551473396</v>
      </c>
      <c r="K189" s="139">
        <f t="shared" si="36"/>
        <v>56.993845762439122</v>
      </c>
      <c r="L189" s="139">
        <f t="shared" si="36"/>
        <v>58.607429410612887</v>
      </c>
      <c r="M189" s="139">
        <f t="shared" si="36"/>
        <v>59.967391868623963</v>
      </c>
      <c r="N189" s="139">
        <f t="shared" si="36"/>
        <v>61.535775000131252</v>
      </c>
      <c r="O189" s="139">
        <f t="shared" si="36"/>
        <v>63.161386414744399</v>
      </c>
      <c r="P189" s="139">
        <f t="shared" si="36"/>
        <v>65.01582539433042</v>
      </c>
      <c r="Q189" s="139">
        <f t="shared" si="36"/>
        <v>66.593289057704595</v>
      </c>
      <c r="R189" s="139">
        <f t="shared" si="36"/>
        <v>68.404312338265342</v>
      </c>
      <c r="S189" s="139">
        <f t="shared" si="36"/>
        <v>70.282036268072602</v>
      </c>
      <c r="T189" s="139">
        <f t="shared" si="36"/>
        <v>72.416894239588061</v>
      </c>
      <c r="U189" s="139">
        <f t="shared" si="36"/>
        <v>74.248173653889864</v>
      </c>
      <c r="V189" s="139">
        <f t="shared" si="36"/>
        <v>76.342159506656031</v>
      </c>
      <c r="W189" s="139">
        <f t="shared" si="36"/>
        <v>78.514000687550876</v>
      </c>
      <c r="X189" s="139">
        <f t="shared" si="36"/>
        <v>80.975818476714934</v>
      </c>
      <c r="Y189" s="139">
        <f t="shared" si="36"/>
        <v>83.103729036416652</v>
      </c>
      <c r="Z189" s="139">
        <f t="shared" si="36"/>
        <v>19.400033139795312</v>
      </c>
      <c r="AA189" s="139">
        <f t="shared" ref="AA189:AB189" si="37">AA187+AA177+AA167+AA152+AA157</f>
        <v>0</v>
      </c>
      <c r="AB189" s="139">
        <f t="shared" si="37"/>
        <v>0</v>
      </c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</row>
    <row r="190" spans="1:114" ht="13.5" thickTop="1">
      <c r="A190" s="62"/>
      <c r="B190" s="62"/>
      <c r="C190" s="62"/>
      <c r="D190" s="11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</row>
    <row r="191" spans="1:114" s="310" customFormat="1">
      <c r="A191" s="37" t="s">
        <v>507</v>
      </c>
      <c r="B191" s="49"/>
      <c r="C191" s="10">
        <f>SUMIF('FGD Phasing'!$D$84:$CH$84,'FGD Input'!C133,'FGD Phasing'!$D$92:$CH$92)</f>
        <v>0</v>
      </c>
      <c r="D191" s="10">
        <f>SUMIF('FGD Phasing'!$D$84:$CH$84,'FGD Input'!D133,'FGD Phasing'!$D$92:$CH$92)</f>
        <v>0</v>
      </c>
      <c r="E191" s="10">
        <f>SUMIF('FGD Phasing'!$D$84:$CH$84,'FGD Input'!E133,'FGD Phasing'!$D$92:$CH$92)</f>
        <v>0</v>
      </c>
      <c r="F191" s="10">
        <f>SUMIF('FGD Phasing'!$D$84:$CH$84,'FGD Input'!F133,'FGD Phasing'!$D$92:$CH$92)+SUMIF('FGD Phasing'!$C$98:$CU$98,'FGD Input'!F133,'FGD Phasing'!$C$106:$CU$106)</f>
        <v>0</v>
      </c>
      <c r="G191" s="10">
        <f ca="1">SUMIF('FGD Phasing'!$D$84:$CH$84,'FGD Input'!G133,'FGD Phasing'!$D$92:$CH$92)+SUMIF('FGD Phasing'!$C$98:$CU$98,'FGD Input'!G133,'FGD Phasing'!$C$106:$CU$106)</f>
        <v>22.086987057820412</v>
      </c>
      <c r="H191" s="10">
        <f ca="1">SUMIF('FGD Phasing'!$D$84:$CH$84,'FGD Input'!H133,'FGD Phasing'!$D$92:$CH$92)+SUMIF('FGD Phasing'!$C$98:$CU$98,'FGD Input'!H133,'FGD Phasing'!$C$106:$CU$106)</f>
        <v>41.828599682987132</v>
      </c>
      <c r="I191" s="10">
        <f ca="1">SUMIF('FGD Phasing'!$D$84:$CH$84,'FGD Input'!I133,'FGD Phasing'!$D$92:$CH$92)+SUMIF('FGD Phasing'!$C$98:$CU$98,'FGD Input'!I133,'FGD Phasing'!$C$106:$CU$106)</f>
        <v>38.185020375913822</v>
      </c>
      <c r="J191" s="10">
        <f ca="1">SUMIF('FGD Phasing'!$D$84:$CH$84,'FGD Input'!J133,'FGD Phasing'!$D$92:$CH$92)+SUMIF('FGD Phasing'!$C$98:$CU$98,'FGD Input'!J133,'FGD Phasing'!$C$106:$CU$106)</f>
        <v>34.57654973071341</v>
      </c>
      <c r="K191" s="10">
        <f ca="1">SUMIF('FGD Phasing'!$D$84:$CH$84,'FGD Input'!K133,'FGD Phasing'!$D$92:$CH$92)+SUMIF('FGD Phasing'!$C$98:$CU$98,'FGD Input'!K133,'FGD Phasing'!$C$106:$CU$106)</f>
        <v>30.87553133740909</v>
      </c>
      <c r="L191" s="10">
        <f ca="1">SUMIF('FGD Phasing'!$D$84:$CH$84,'FGD Input'!L133,'FGD Phasing'!$D$92:$CH$92)+SUMIF('FGD Phasing'!$C$98:$CU$98,'FGD Input'!L133,'FGD Phasing'!$C$106:$CU$106)</f>
        <v>26.506609954004745</v>
      </c>
      <c r="M191" s="10">
        <f ca="1">SUMIF('FGD Phasing'!$D$84:$CH$84,'FGD Input'!M133,'FGD Phasing'!$D$92:$CH$92)+SUMIF('FGD Phasing'!$C$98:$CU$98,'FGD Input'!M133,'FGD Phasing'!$C$106:$CU$106)</f>
        <v>21.65247717492181</v>
      </c>
      <c r="N191" s="10">
        <f ca="1">SUMIF('FGD Phasing'!$D$84:$CH$84,'FGD Input'!N133,'FGD Phasing'!$D$92:$CH$92)+SUMIF('FGD Phasing'!$C$98:$CU$98,'FGD Input'!N133,'FGD Phasing'!$C$106:$CU$106)</f>
        <v>16.81278749615846</v>
      </c>
      <c r="O191" s="10">
        <f ca="1">SUMIF('FGD Phasing'!$D$84:$CH$84,'FGD Input'!O133,'FGD Phasing'!$D$92:$CH$92)+SUMIF('FGD Phasing'!$C$98:$CU$98,'FGD Input'!O133,'FGD Phasing'!$C$106:$CU$106)</f>
        <v>13.660193247714449</v>
      </c>
      <c r="P191" s="10">
        <f ca="1">SUMIF('FGD Phasing'!$D$84:$CH$84,'FGD Input'!P133,'FGD Phasing'!$D$92:$CH$92)+SUMIF('FGD Phasing'!$C$98:$CU$98,'FGD Input'!P133,'FGD Phasing'!$C$106:$CU$106)</f>
        <v>11.23645152033839</v>
      </c>
      <c r="Q191" s="10">
        <f ca="1">SUMIF('FGD Phasing'!$D$84:$CH$84,'FGD Input'!Q133,'FGD Phasing'!$D$92:$CH$92)+SUMIF('FGD Phasing'!$C$98:$CU$98,'FGD Input'!Q133,'FGD Phasing'!$C$106:$CU$106)</f>
        <v>8.7180353267363486</v>
      </c>
      <c r="R191" s="10">
        <f ca="1">SUMIF('FGD Phasing'!$D$84:$CH$84,'FGD Input'!R133,'FGD Phasing'!$D$92:$CH$92)+SUMIF('FGD Phasing'!$C$98:$CU$98,'FGD Input'!R133,'FGD Phasing'!$C$106:$CU$106)</f>
        <v>5.3734589453331347</v>
      </c>
      <c r="S191" s="10">
        <f ca="1">SUMIF('FGD Phasing'!$D$84:$CH$84,'FGD Input'!S133,'FGD Phasing'!$D$92:$CH$92)+SUMIF('FGD Phasing'!$C$98:$CU$98,'FGD Input'!S133,'FGD Phasing'!$C$106:$CU$106)</f>
        <v>1.7058573178060803</v>
      </c>
      <c r="T191" s="10">
        <f ca="1">SUMIF('FGD Phasing'!$D$84:$CH$84,'FGD Input'!T133,'FGD Phasing'!$D$92:$CH$92)+SUMIF('FGD Phasing'!$C$98:$CU$98,'FGD Input'!T133,'FGD Phasing'!$C$106:$CU$106)</f>
        <v>3.8736971395328813E-2</v>
      </c>
      <c r="U191" s="10">
        <f ca="1">SUMIF('FGD Phasing'!$D$84:$CH$84,'FGD Input'!U133,'FGD Phasing'!$D$92:$CH$92)+SUMIF('FGD Phasing'!$C$98:$CU$98,'FGD Input'!U133,'FGD Phasing'!$C$106:$CU$106)</f>
        <v>1.2619238987099378E-14</v>
      </c>
      <c r="V191" s="10">
        <f ca="1">SUMIF('FGD Phasing'!$D$84:$CH$84,'FGD Input'!V133,'FGD Phasing'!$D$92:$CH$92)+SUMIF('FGD Phasing'!$C$98:$CU$98,'FGD Input'!V133,'FGD Phasing'!$C$106:$CU$106)</f>
        <v>1.2619238987099378E-14</v>
      </c>
      <c r="W191" s="10">
        <f ca="1">SUMIF('FGD Phasing'!$D$84:$CH$84,'FGD Input'!W133,'FGD Phasing'!$D$92:$CH$92)+SUMIF('FGD Phasing'!$C$98:$CU$98,'FGD Input'!W133,'FGD Phasing'!$C$106:$CU$106)</f>
        <v>1.2619238987099378E-14</v>
      </c>
      <c r="X191" s="10">
        <f ca="1">SUMIF('FGD Phasing'!$D$84:$CH$84,'FGD Input'!X133,'FGD Phasing'!$D$92:$CH$92)+SUMIF('FGD Phasing'!$C$98:$CU$98,'FGD Input'!X133,'FGD Phasing'!$C$106:$CU$106)</f>
        <v>3.1461664324001182E-15</v>
      </c>
      <c r="Y191" s="10">
        <f>SUMIF('FGD Phasing'!$D$84:$CH$84,'FGD Input'!Y133,'FGD Phasing'!$D$92:$CH$92)+SUMIF('FGD Phasing'!$C$98:$CU$98,'FGD Input'!Y133,'FGD Phasing'!$C$106:$CU$106)</f>
        <v>0</v>
      </c>
      <c r="Z191" s="10">
        <f>SUMIF('FGD Phasing'!$D$84:$CH$84,'FGD Input'!Z133,'FGD Phasing'!$D$92:$CH$92)+SUMIF('FGD Phasing'!$C$98:$CU$98,'FGD Input'!Z133,'FGD Phasing'!$C$106:$CU$106)</f>
        <v>0</v>
      </c>
      <c r="AA191" s="10">
        <f>SUMIF('FGD Phasing'!$D$84:$CH$84,'FGD Input'!AA133,'FGD Phasing'!$D$92:$CH$92)+SUMIF('FGD Phasing'!$C$98:$CU$98,'FGD Input'!AA133,'FGD Phasing'!$C$106:$CU$106)</f>
        <v>0</v>
      </c>
      <c r="AB191" s="10">
        <f>SUMIF('FGD Phasing'!$D$84:$CH$84,'FGD Input'!AB133,'FGD Phasing'!$D$92:$CH$92)+SUMIF('FGD Phasing'!$C$98:$CU$98,'FGD Input'!AB133,'FGD Phasing'!$C$106:$CU$106)</f>
        <v>0</v>
      </c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</row>
    <row r="192" spans="1:114">
      <c r="A192" s="62"/>
      <c r="B192" s="62"/>
      <c r="C192" s="62"/>
      <c r="D192" s="11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</row>
    <row r="193" spans="1:114">
      <c r="A193" s="62" t="s">
        <v>118</v>
      </c>
      <c r="B193" s="62"/>
      <c r="C193" s="62"/>
      <c r="D193" s="112"/>
      <c r="E193" s="62"/>
      <c r="F193" s="116">
        <f>SUMIF('FGD Phasing'!$D$84:$CH$84,'FGD Input'!F133,'FGD Phasing'!$D$89:$CH$89)+SUMIF('FGD Phasing'!$C$98:$CU$98,'FGD Input'!F133,'FGD Phasing'!$C$103:$CU$103)</f>
        <v>0</v>
      </c>
      <c r="G193" s="116">
        <f ca="1">SUMIF('FGD Phasing'!$D$84:$CH$84,'FGD Input'!G133,'FGD Phasing'!$D$89:$CH$89)+SUMIF('FGD Phasing'!$C$98:$CU$98,'FGD Input'!G133,'FGD Phasing'!$C$103:$CU$103)</f>
        <v>13.531945820729902</v>
      </c>
      <c r="H193" s="116">
        <f ca="1">SUMIF('FGD Phasing'!$D$84:$CH$84,'FGD Input'!H133,'FGD Phasing'!$D$89:$CH$89)+SUMIF('FGD Phasing'!$C$98:$CU$98,'FGD Input'!H133,'FGD Phasing'!$C$103:$CU$103)</f>
        <v>31.731593504813844</v>
      </c>
      <c r="I193" s="116">
        <f ca="1">SUMIF('FGD Phasing'!$D$84:$CH$84,'FGD Input'!I133,'FGD Phasing'!$D$89:$CH$89)+SUMIF('FGD Phasing'!$C$98:$CU$98,'FGD Input'!I133,'FGD Phasing'!$C$103:$CU$103)</f>
        <v>32.120568660093348</v>
      </c>
      <c r="J193" s="116">
        <f ca="1">SUMIF('FGD Phasing'!$D$84:$CH$84,'FGD Input'!J133,'FGD Phasing'!$D$89:$CH$89)+SUMIF('FGD Phasing'!$C$98:$CU$98,'FGD Input'!J133,'FGD Phasing'!$C$103:$CU$103)</f>
        <v>32.898518970652354</v>
      </c>
      <c r="K193" s="116">
        <f ca="1">SUMIF('FGD Phasing'!$D$84:$CH$84,'FGD Input'!K133,'FGD Phasing'!$D$89:$CH$89)+SUMIF('FGD Phasing'!$C$98:$CU$98,'FGD Input'!K133,'FGD Phasing'!$C$103:$CU$103)</f>
        <v>35.309067537636068</v>
      </c>
      <c r="L193" s="116">
        <f ca="1">SUMIF('FGD Phasing'!$D$84:$CH$84,'FGD Input'!L133,'FGD Phasing'!$D$89:$CH$89)+SUMIF('FGD Phasing'!$C$98:$CU$98,'FGD Input'!L133,'FGD Phasing'!$C$103:$CU$103)</f>
        <v>42.929688393866726</v>
      </c>
      <c r="M193" s="116">
        <f ca="1">SUMIF('FGD Phasing'!$D$84:$CH$84,'FGD Input'!M133,'FGD Phasing'!$D$89:$CH$89)+SUMIF('FGD Phasing'!$C$98:$CU$98,'FGD Input'!M133,'FGD Phasing'!$C$103:$CU$103)</f>
        <v>43.707638704425733</v>
      </c>
      <c r="N193" s="116">
        <f ca="1">SUMIF('FGD Phasing'!$D$84:$CH$84,'FGD Input'!N133,'FGD Phasing'!$D$89:$CH$89)+SUMIF('FGD Phasing'!$C$98:$CU$98,'FGD Input'!N133,'FGD Phasing'!$C$103:$CU$103)</f>
        <v>38.886541570458299</v>
      </c>
      <c r="O193" s="116">
        <f ca="1">SUMIF('FGD Phasing'!$D$84:$CH$84,'FGD Input'!O133,'FGD Phasing'!$D$89:$CH$89)+SUMIF('FGD Phasing'!$C$98:$CU$98,'FGD Input'!O133,'FGD Phasing'!$C$103:$CU$103)</f>
        <v>22.089399236878975</v>
      </c>
      <c r="P193" s="116">
        <f ca="1">SUMIF('FGD Phasing'!$D$84:$CH$84,'FGD Input'!P133,'FGD Phasing'!$D$89:$CH$89)+SUMIF('FGD Phasing'!$C$98:$CU$98,'FGD Input'!P133,'FGD Phasing'!$C$103:$CU$103)</f>
        <v>22.089399236878975</v>
      </c>
      <c r="Q193" s="116">
        <f ca="1">SUMIF('FGD Phasing'!$D$84:$CH$84,'FGD Input'!Q133,'FGD Phasing'!$D$89:$CH$89)+SUMIF('FGD Phasing'!$C$98:$CU$98,'FGD Input'!Q133,'FGD Phasing'!$C$103:$CU$103)</f>
        <v>24.888922959142196</v>
      </c>
      <c r="R193" s="116">
        <f ca="1">SUMIF('FGD Phasing'!$D$84:$CH$84,'FGD Input'!R133,'FGD Phasing'!$D$89:$CH$89)+SUMIF('FGD Phasing'!$C$98:$CU$98,'FGD Input'!R133,'FGD Phasing'!$C$103:$CU$103)</f>
        <v>33.287494125931858</v>
      </c>
      <c r="S193" s="116">
        <f ca="1">SUMIF('FGD Phasing'!$D$84:$CH$84,'FGD Input'!S133,'FGD Phasing'!$D$89:$CH$89)+SUMIF('FGD Phasing'!$C$98:$CU$98,'FGD Input'!S133,'FGD Phasing'!$C$103:$CU$103)</f>
        <v>28.932069782550624</v>
      </c>
      <c r="T193" s="116">
        <f ca="1">SUMIF('FGD Phasing'!$D$84:$CH$84,'FGD Input'!T133,'FGD Phasing'!$D$89:$CH$89)+SUMIF('FGD Phasing'!$C$98:$CU$98,'FGD Input'!T133,'FGD Phasing'!$C$103:$CU$103)</f>
        <v>2.7995237222632205</v>
      </c>
      <c r="U193" s="116">
        <f ca="1">SUMIF('FGD Phasing'!$D$84:$CH$84,'FGD Input'!U133,'FGD Phasing'!$D$89:$CH$89)+SUMIF('FGD Phasing'!$C$98:$CU$98,'FGD Input'!U133,'FGD Phasing'!$C$103:$CU$103)</f>
        <v>0</v>
      </c>
      <c r="V193" s="116">
        <f ca="1">SUMIF('FGD Phasing'!$D$84:$CH$84,'FGD Input'!V133,'FGD Phasing'!$D$89:$CH$89)+SUMIF('FGD Phasing'!$C$98:$CU$98,'FGD Input'!V133,'FGD Phasing'!$C$103:$CU$103)</f>
        <v>0</v>
      </c>
      <c r="W193" s="116">
        <f ca="1">SUMIF('FGD Phasing'!$D$84:$CH$84,'FGD Input'!W133,'FGD Phasing'!$D$89:$CH$89)+SUMIF('FGD Phasing'!$C$98:$CU$98,'FGD Input'!W133,'FGD Phasing'!$C$103:$CU$103)</f>
        <v>0</v>
      </c>
      <c r="X193" s="116">
        <f ca="1">SUMIF('FGD Phasing'!$D$84:$CH$84,'FGD Input'!X133,'FGD Phasing'!$D$89:$CH$89)+SUMIF('FGD Phasing'!$C$98:$CU$98,'FGD Input'!X133,'FGD Phasing'!$C$103:$CU$103)</f>
        <v>0</v>
      </c>
      <c r="Y193" s="116">
        <f>SUMIF('FGD Phasing'!$D$84:$CH$84,'FGD Input'!Y133,'FGD Phasing'!$D$89:$CH$89)+SUMIF('FGD Phasing'!$C$98:$CU$98,'FGD Input'!Y133,'FGD Phasing'!$C$103:$CU$103)</f>
        <v>0</v>
      </c>
      <c r="Z193" s="116">
        <f>SUMIF('FGD Phasing'!$D$84:$CH$84,'FGD Input'!Z133,'FGD Phasing'!$D$89:$CH$89)+SUMIF('FGD Phasing'!$C$98:$CU$98,'FGD Input'!Z133,'FGD Phasing'!$C$103:$CU$103)</f>
        <v>0</v>
      </c>
      <c r="AA193" s="116">
        <f>SUMIF('FGD Phasing'!$D$84:$CH$84,'FGD Input'!AA133,'FGD Phasing'!$D$89:$CH$89)+SUMIF('FGD Phasing'!$C$98:$CU$98,'FGD Input'!AA133,'FGD Phasing'!$C$103:$CU$103)</f>
        <v>0</v>
      </c>
      <c r="AB193" s="116">
        <f>SUMIF('FGD Phasing'!$D$84:$CH$84,'FGD Input'!AB133,'FGD Phasing'!$D$89:$CH$89)+SUMIF('FGD Phasing'!$C$98:$CU$98,'FGD Input'!AB133,'FGD Phasing'!$C$103:$CU$103)</f>
        <v>0</v>
      </c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</row>
    <row r="194" spans="1:114">
      <c r="A194" s="62"/>
      <c r="B194" s="62"/>
      <c r="C194" s="62"/>
      <c r="D194" s="112"/>
      <c r="E194" s="62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</row>
    <row r="195" spans="1:114">
      <c r="A195" s="62" t="s">
        <v>508</v>
      </c>
      <c r="B195" s="62"/>
      <c r="C195" s="62"/>
      <c r="D195" s="112"/>
      <c r="E195" s="62"/>
      <c r="F195" s="116">
        <f ca="1">(('FGD Phasing'!$C$40*15.5%)/2*F138/365+('FGD Phasing'!$C$40*15.5%)/2*F139/365)/(1-Tax!H34)</f>
        <v>0</v>
      </c>
      <c r="G195" s="116">
        <f ca="1">'FGD Phasing'!$C$40*15.5%/(1-Tax!I34)</f>
        <v>20.935455898359969</v>
      </c>
      <c r="H195" s="116">
        <f ca="1">'FGD Phasing'!$C$40*15.5%/(1-Tax!J34)</f>
        <v>20.935455898359969</v>
      </c>
      <c r="I195" s="116">
        <f ca="1">'FGD Phasing'!$C$40*15.5%/(1-Tax!K34)</f>
        <v>20.935455898359969</v>
      </c>
      <c r="J195" s="116">
        <f ca="1">'FGD Phasing'!$C$40*15.5%/(1-Tax!L34)</f>
        <v>20.935455898359969</v>
      </c>
      <c r="K195" s="116">
        <f ca="1">'FGD Phasing'!$C$40*15.5%/(1-Tax!M34)</f>
        <v>20.935455898359969</v>
      </c>
      <c r="L195" s="116">
        <f ca="1">'FGD Phasing'!$C$40*15.5%/(1-Tax!N34)</f>
        <v>20.935455898359969</v>
      </c>
      <c r="M195" s="116">
        <f ca="1">'FGD Phasing'!$C$40*15.5%/(1-Tax!O34)</f>
        <v>20.935455898359969</v>
      </c>
      <c r="N195" s="116">
        <f ca="1">'FGD Phasing'!$C$40*15.5%/(1-Tax!P34)</f>
        <v>20.935455898359969</v>
      </c>
      <c r="O195" s="116">
        <f ca="1">'FGD Phasing'!$C$40*15.5%/(1-Tax!Q34)</f>
        <v>20.935455898359969</v>
      </c>
      <c r="P195" s="116">
        <f ca="1">'FGD Phasing'!$C$40*15.5%/(1-Tax!R34)</f>
        <v>37.446216402332311</v>
      </c>
      <c r="Q195" s="116">
        <f ca="1">'FGD Phasing'!$C$40*15.5%/(1-Tax!S34)</f>
        <v>37.500322828510853</v>
      </c>
      <c r="R195" s="116">
        <f ca="1">'FGD Phasing'!$C$40*15.5%/(1-Tax!T34)</f>
        <v>36.889284357929135</v>
      </c>
      <c r="S195" s="116">
        <f ca="1">'FGD Phasing'!$C$40*15.5%/(1-Tax!U34)</f>
        <v>36.068314924627046</v>
      </c>
      <c r="T195" s="116">
        <f ca="1">'FGD Phasing'!$C$40*15.5%/(1-Tax!V34)</f>
        <v>27.977356539302377</v>
      </c>
      <c r="U195" s="116">
        <f ca="1">'FGD Phasing'!$C$40*15.5%/(1-Tax!W34)</f>
        <v>27.977356539302377</v>
      </c>
      <c r="V195" s="116">
        <f ca="1">'FGD Phasing'!$C$40*15.5%/(1-Tax!X34)</f>
        <v>27.977356539302377</v>
      </c>
      <c r="W195" s="116">
        <f ca="1">'FGD Phasing'!$C$40*15.5%/(1-Tax!Y34)</f>
        <v>27.977356539302377</v>
      </c>
      <c r="X195" s="116">
        <f ca="1">'FGD Phasing'!$C$40*15.5%/(1-Tax!Z34)</f>
        <v>27.977356539302377</v>
      </c>
      <c r="Y195" s="116">
        <f ca="1">'FGD Phasing'!$C$40*15.5%/(1-Tax!AA34)</f>
        <v>27.977356539302377</v>
      </c>
      <c r="Z195" s="116">
        <f ca="1">'FGD Phasing'!$C$40*15.5%/(1-Tax!AB34)</f>
        <v>27.977356539302377</v>
      </c>
      <c r="AA195" s="116"/>
      <c r="AB195" s="116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</row>
    <row r="196" spans="1:114">
      <c r="A196" s="62"/>
      <c r="B196" s="62"/>
      <c r="C196" s="62"/>
      <c r="D196" s="11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</row>
    <row r="197" spans="1:114" s="310" customFormat="1" ht="13.5" thickBot="1">
      <c r="A197" s="71"/>
      <c r="B197" s="72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</row>
    <row r="198" spans="1:114" ht="13.5" thickTop="1">
      <c r="A198" s="62"/>
      <c r="B198" s="62"/>
      <c r="C198" s="62"/>
      <c r="D198" s="11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</row>
    <row r="199" spans="1:114">
      <c r="A199" s="62"/>
      <c r="B199" s="62"/>
      <c r="C199" s="62"/>
      <c r="D199" s="11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</row>
    <row r="200" spans="1:114">
      <c r="A200" s="62" t="s">
        <v>194</v>
      </c>
      <c r="B200" s="62"/>
      <c r="C200" s="62"/>
      <c r="D200" s="112"/>
      <c r="E200" s="62"/>
      <c r="F200" s="115"/>
      <c r="G200" s="115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</row>
    <row r="201" spans="1:114">
      <c r="A201" s="62" t="s">
        <v>671</v>
      </c>
      <c r="B201" s="62"/>
      <c r="C201" s="62">
        <v>1</v>
      </c>
      <c r="D201" s="112" t="s">
        <v>249</v>
      </c>
      <c r="E201" s="62"/>
      <c r="F201" s="112">
        <f>G201/(1+D113)</f>
        <v>1.399783287</v>
      </c>
      <c r="G201" s="112">
        <f>((G167/12))*$C$201</f>
        <v>1.4417767856100001</v>
      </c>
      <c r="H201" s="112">
        <f>((H167/12))*$C$201</f>
        <v>2.5457658671628001</v>
      </c>
      <c r="I201" s="112">
        <f t="shared" ref="I201:AB201" si="38">((I167/12))*$C$201</f>
        <v>2.6149745293985105</v>
      </c>
      <c r="J201" s="112">
        <f t="shared" si="38"/>
        <v>2.6934237652804658</v>
      </c>
      <c r="K201" s="112">
        <f t="shared" si="38"/>
        <v>2.7742264782388797</v>
      </c>
      <c r="L201" s="112">
        <f t="shared" si="38"/>
        <v>2.865281911689022</v>
      </c>
      <c r="M201" s="112">
        <f t="shared" si="38"/>
        <v>2.9431768707636272</v>
      </c>
      <c r="N201" s="112">
        <f t="shared" si="38"/>
        <v>3.0314721768865365</v>
      </c>
      <c r="O201" s="112">
        <f t="shared" si="38"/>
        <v>3.1224163421931319</v>
      </c>
      <c r="P201" s="112">
        <f t="shared" si="38"/>
        <v>3.2249000347396355</v>
      </c>
      <c r="Q201" s="112">
        <f t="shared" si="38"/>
        <v>3.3125714974326943</v>
      </c>
      <c r="R201" s="112">
        <f t="shared" si="38"/>
        <v>3.4119486423556755</v>
      </c>
      <c r="S201" s="112">
        <f t="shared" si="38"/>
        <v>3.5143071016263456</v>
      </c>
      <c r="T201" s="112">
        <f t="shared" si="38"/>
        <v>3.6296534004687668</v>
      </c>
      <c r="U201" s="112">
        <f t="shared" si="38"/>
        <v>3.7283284041153908</v>
      </c>
      <c r="V201" s="112">
        <f t="shared" si="38"/>
        <v>3.8401782562388522</v>
      </c>
      <c r="W201" s="112">
        <f t="shared" si="38"/>
        <v>3.9553836039260184</v>
      </c>
      <c r="X201" s="112">
        <f t="shared" si="38"/>
        <v>4.0852068794740557</v>
      </c>
      <c r="Y201" s="112">
        <f t="shared" si="38"/>
        <v>4.1962664654051132</v>
      </c>
      <c r="Z201" s="112">
        <f t="shared" si="38"/>
        <v>0</v>
      </c>
      <c r="AA201" s="112">
        <f t="shared" si="38"/>
        <v>0</v>
      </c>
      <c r="AB201" s="112">
        <f t="shared" si="38"/>
        <v>0</v>
      </c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</row>
    <row r="202" spans="1:114">
      <c r="A202" s="62" t="s">
        <v>643</v>
      </c>
      <c r="B202" s="62"/>
      <c r="C202" s="62">
        <v>1.5</v>
      </c>
      <c r="D202" s="112" t="s">
        <v>249</v>
      </c>
      <c r="E202" s="62"/>
      <c r="F202" s="112">
        <f ca="1">G202</f>
        <v>11.443802129072704</v>
      </c>
      <c r="G202" s="112">
        <f t="shared" ref="G202:Z202" ca="1" si="39">((G233*G140)/10)/12*$C$202</f>
        <v>11.443802129072704</v>
      </c>
      <c r="H202" s="112">
        <f t="shared" ca="1" si="39"/>
        <v>18.183599676025505</v>
      </c>
      <c r="I202" s="112">
        <f t="shared" ca="1" si="39"/>
        <v>17.904056086447071</v>
      </c>
      <c r="J202" s="112">
        <f t="shared" ca="1" si="39"/>
        <v>17.621802825988077</v>
      </c>
      <c r="K202" s="112">
        <f t="shared" ca="1" si="39"/>
        <v>17.334198153782147</v>
      </c>
      <c r="L202" s="112">
        <f t="shared" ca="1" si="39"/>
        <v>16.998181063663402</v>
      </c>
      <c r="M202" s="112">
        <f t="shared" ca="1" si="39"/>
        <v>16.549740831928808</v>
      </c>
      <c r="N202" s="112">
        <f t="shared" ca="1" si="39"/>
        <v>16.138477837560515</v>
      </c>
      <c r="O202" s="112">
        <f t="shared" ca="1" si="39"/>
        <v>15.946590782555953</v>
      </c>
      <c r="P202" s="112">
        <f t="shared" ca="1" si="39"/>
        <v>17.959478174860696</v>
      </c>
      <c r="Q202" s="112">
        <f t="shared" ca="1" si="39"/>
        <v>17.849907411111321</v>
      </c>
      <c r="R202" s="112">
        <f t="shared" ca="1" si="39"/>
        <v>17.582051736673471</v>
      </c>
      <c r="S202" s="112">
        <f t="shared" ca="1" si="39"/>
        <v>17.255038436897756</v>
      </c>
      <c r="T202" s="112">
        <f t="shared" ca="1" si="39"/>
        <v>15.811056504172887</v>
      </c>
      <c r="U202" s="112">
        <f t="shared" ca="1" si="39"/>
        <v>15.066773501913254</v>
      </c>
      <c r="V202" s="112">
        <f t="shared" ca="1" si="39"/>
        <v>15.328596109729318</v>
      </c>
      <c r="W202" s="112">
        <f t="shared" ca="1" si="39"/>
        <v>15.605134149615733</v>
      </c>
      <c r="X202" s="112">
        <f t="shared" ca="1" si="39"/>
        <v>15.918352053543222</v>
      </c>
      <c r="Y202" s="112">
        <f t="shared" ca="1" si="39"/>
        <v>16.18983103090147</v>
      </c>
      <c r="Z202" s="112">
        <f t="shared" ca="1" si="39"/>
        <v>8.159281184982845</v>
      </c>
      <c r="AA202" s="112"/>
      <c r="AB202" s="11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</row>
    <row r="203" spans="1:114">
      <c r="A203" s="62" t="s">
        <v>672</v>
      </c>
      <c r="B203" s="62"/>
      <c r="C203" s="111">
        <v>0.2</v>
      </c>
      <c r="D203" s="112"/>
      <c r="E203" s="62"/>
      <c r="F203" s="112">
        <f>(F177+F157+F152+F187)*$C$203</f>
        <v>0</v>
      </c>
      <c r="G203" s="112">
        <f>(G177+G157+G152+G187)*$C$203</f>
        <v>1.0502796648000001</v>
      </c>
      <c r="H203" s="112">
        <f t="shared" ref="H203:Z203" si="40">(H177+H157+H152+H187)*$C$203</f>
        <v>1.5980033966400002</v>
      </c>
      <c r="I203" s="112">
        <f t="shared" si="40"/>
        <v>1.6744939255800002</v>
      </c>
      <c r="J203" s="112">
        <f t="shared" si="40"/>
        <v>1.7582186218590004</v>
      </c>
      <c r="K203" s="112">
        <f t="shared" si="40"/>
        <v>1.8461295529519504</v>
      </c>
      <c r="L203" s="112">
        <f t="shared" si="40"/>
        <v>1.9423831161371496</v>
      </c>
      <c r="M203" s="112">
        <f t="shared" si="40"/>
        <v>2.0353578321295251</v>
      </c>
      <c r="N203" s="112">
        <f t="shared" si="40"/>
        <v>2.137125723736002</v>
      </c>
      <c r="O203" s="112">
        <f t="shared" si="40"/>
        <v>2.2439820099228025</v>
      </c>
      <c r="P203" s="112">
        <f t="shared" si="40"/>
        <v>2.3609788175591819</v>
      </c>
      <c r="Q203" s="112">
        <f t="shared" si="40"/>
        <v>2.47399016593989</v>
      </c>
      <c r="R203" s="112">
        <f t="shared" si="40"/>
        <v>2.597689674236884</v>
      </c>
      <c r="S203" s="112">
        <f t="shared" si="40"/>
        <v>2.7275741579487289</v>
      </c>
      <c r="T203" s="112">
        <f t="shared" si="40"/>
        <v>2.8697845088607958</v>
      </c>
      <c r="U203" s="112">
        <f t="shared" si="40"/>
        <v>3.0071505091384738</v>
      </c>
      <c r="V203" s="112">
        <f t="shared" si="40"/>
        <v>3.1575080345953972</v>
      </c>
      <c r="W203" s="112">
        <f t="shared" si="40"/>
        <v>3.3153834363251677</v>
      </c>
      <c r="X203" s="112">
        <f t="shared" si="40"/>
        <v>3.4882410066734786</v>
      </c>
      <c r="Y203" s="112">
        <f t="shared" si="40"/>
        <v>3.6552102385484972</v>
      </c>
      <c r="Z203" s="112">
        <f t="shared" si="40"/>
        <v>0.98551057619649962</v>
      </c>
      <c r="AA203" s="112"/>
      <c r="AB203" s="11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</row>
    <row r="204" spans="1:114" s="310" customFormat="1">
      <c r="A204" s="37" t="s">
        <v>673</v>
      </c>
      <c r="B204" s="49"/>
      <c r="C204" s="10"/>
      <c r="D204" s="10"/>
      <c r="E204" s="10"/>
      <c r="F204" s="10">
        <f ca="1">SUM(F201:F203)</f>
        <v>12.843585416072704</v>
      </c>
      <c r="G204" s="10">
        <f t="shared" ref="G204:Z204" ca="1" si="41">SUM(G201:G203)</f>
        <v>13.935858579482703</v>
      </c>
      <c r="H204" s="10">
        <f t="shared" ca="1" si="41"/>
        <v>22.327368939828304</v>
      </c>
      <c r="I204" s="10">
        <f t="shared" ca="1" si="41"/>
        <v>22.193524541425582</v>
      </c>
      <c r="J204" s="10">
        <f t="shared" ca="1" si="41"/>
        <v>22.073445213127542</v>
      </c>
      <c r="K204" s="10">
        <f t="shared" ca="1" si="41"/>
        <v>21.954554184972977</v>
      </c>
      <c r="L204" s="10">
        <f t="shared" ca="1" si="41"/>
        <v>21.805846091489574</v>
      </c>
      <c r="M204" s="10">
        <f t="shared" ca="1" si="41"/>
        <v>21.528275534821958</v>
      </c>
      <c r="N204" s="10">
        <f t="shared" ca="1" si="41"/>
        <v>21.307075738183055</v>
      </c>
      <c r="O204" s="10">
        <f t="shared" ca="1" si="41"/>
        <v>21.312989134671888</v>
      </c>
      <c r="P204" s="10">
        <f t="shared" ca="1" si="41"/>
        <v>23.545357027159515</v>
      </c>
      <c r="Q204" s="10">
        <f t="shared" ca="1" si="41"/>
        <v>23.636469074483905</v>
      </c>
      <c r="R204" s="10">
        <f t="shared" ca="1" si="41"/>
        <v>23.591690053266028</v>
      </c>
      <c r="S204" s="10">
        <f t="shared" ca="1" si="41"/>
        <v>23.496919696472833</v>
      </c>
      <c r="T204" s="10">
        <f t="shared" ca="1" si="41"/>
        <v>22.31049441350245</v>
      </c>
      <c r="U204" s="10">
        <f t="shared" ca="1" si="41"/>
        <v>21.802252415167118</v>
      </c>
      <c r="V204" s="10">
        <f t="shared" ca="1" si="41"/>
        <v>22.326282400563567</v>
      </c>
      <c r="W204" s="10">
        <f t="shared" ca="1" si="41"/>
        <v>22.875901189866919</v>
      </c>
      <c r="X204" s="10">
        <f t="shared" ca="1" si="41"/>
        <v>23.491799939690758</v>
      </c>
      <c r="Y204" s="10">
        <f t="shared" ca="1" si="41"/>
        <v>24.041307734855081</v>
      </c>
      <c r="Z204" s="10">
        <f t="shared" ca="1" si="41"/>
        <v>9.144791761179345</v>
      </c>
      <c r="AA204" s="10"/>
      <c r="AB204" s="10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</row>
    <row r="205" spans="1:114">
      <c r="A205" s="62" t="s">
        <v>674</v>
      </c>
      <c r="B205" s="62"/>
      <c r="C205" s="111">
        <v>0.25</v>
      </c>
      <c r="D205" s="112"/>
      <c r="E205" s="62"/>
      <c r="F205" s="115">
        <f ca="1">F204*$C$205</f>
        <v>3.2108963540181761</v>
      </c>
      <c r="G205" s="115">
        <f t="shared" ref="G205:Z205" ca="1" si="42">G204*$C$205</f>
        <v>3.4839646448706758</v>
      </c>
      <c r="H205" s="115">
        <f t="shared" ca="1" si="42"/>
        <v>5.581842234957076</v>
      </c>
      <c r="I205" s="115">
        <f t="shared" ca="1" si="42"/>
        <v>5.5483811353563954</v>
      </c>
      <c r="J205" s="115">
        <f t="shared" ca="1" si="42"/>
        <v>5.5183613032818855</v>
      </c>
      <c r="K205" s="115">
        <f t="shared" ca="1" si="42"/>
        <v>5.4886385462432443</v>
      </c>
      <c r="L205" s="115">
        <f t="shared" ca="1" si="42"/>
        <v>5.4514615228723935</v>
      </c>
      <c r="M205" s="115">
        <f t="shared" ca="1" si="42"/>
        <v>5.3820688837054895</v>
      </c>
      <c r="N205" s="115">
        <f t="shared" ca="1" si="42"/>
        <v>5.3267689345457638</v>
      </c>
      <c r="O205" s="115">
        <f t="shared" ca="1" si="42"/>
        <v>5.328247283667972</v>
      </c>
      <c r="P205" s="115">
        <f t="shared" ca="1" si="42"/>
        <v>5.8863392567898787</v>
      </c>
      <c r="Q205" s="115">
        <f t="shared" ca="1" si="42"/>
        <v>5.9091172686209763</v>
      </c>
      <c r="R205" s="115">
        <f t="shared" ca="1" si="42"/>
        <v>5.897922513316507</v>
      </c>
      <c r="S205" s="115">
        <f t="shared" ca="1" si="42"/>
        <v>5.8742299241182083</v>
      </c>
      <c r="T205" s="115">
        <f t="shared" ca="1" si="42"/>
        <v>5.5776236033756126</v>
      </c>
      <c r="U205" s="115">
        <f t="shared" ca="1" si="42"/>
        <v>5.4505631037917794</v>
      </c>
      <c r="V205" s="115">
        <f t="shared" ca="1" si="42"/>
        <v>5.5815706001408918</v>
      </c>
      <c r="W205" s="115">
        <f t="shared" ca="1" si="42"/>
        <v>5.7189752974667298</v>
      </c>
      <c r="X205" s="115">
        <f t="shared" ca="1" si="42"/>
        <v>5.8729499849226894</v>
      </c>
      <c r="Y205" s="115">
        <f t="shared" ca="1" si="42"/>
        <v>6.0103269337137704</v>
      </c>
      <c r="Z205" s="115">
        <f t="shared" ca="1" si="42"/>
        <v>2.2861979402948363</v>
      </c>
      <c r="AA205" s="115"/>
      <c r="AB205" s="115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</row>
    <row r="206" spans="1:114" s="310" customFormat="1">
      <c r="A206" s="37" t="s">
        <v>675</v>
      </c>
      <c r="B206" s="49"/>
      <c r="C206" s="10"/>
      <c r="D206" s="10"/>
      <c r="E206" s="10"/>
      <c r="F206" s="10">
        <f ca="1">F204-F205</f>
        <v>9.6326890620545278</v>
      </c>
      <c r="G206" s="10">
        <f ca="1">G204-G205</f>
        <v>10.451893934612027</v>
      </c>
      <c r="H206" s="10">
        <f t="shared" ref="H206:Z206" ca="1" si="43">H204-H205</f>
        <v>16.745526704871228</v>
      </c>
      <c r="I206" s="10">
        <f t="shared" ca="1" si="43"/>
        <v>16.645143406069188</v>
      </c>
      <c r="J206" s="10">
        <f t="shared" ca="1" si="43"/>
        <v>16.555083909845656</v>
      </c>
      <c r="K206" s="10">
        <f t="shared" ca="1" si="43"/>
        <v>16.465915638729733</v>
      </c>
      <c r="L206" s="10">
        <f t="shared" ca="1" si="43"/>
        <v>16.354384568617181</v>
      </c>
      <c r="M206" s="10">
        <f t="shared" ca="1" si="43"/>
        <v>16.146206651116469</v>
      </c>
      <c r="N206" s="10">
        <f t="shared" ca="1" si="43"/>
        <v>15.980306803637291</v>
      </c>
      <c r="O206" s="10">
        <f t="shared" ca="1" si="43"/>
        <v>15.984741851003916</v>
      </c>
      <c r="P206" s="10">
        <f t="shared" ca="1" si="43"/>
        <v>17.659017770369637</v>
      </c>
      <c r="Q206" s="10">
        <f t="shared" ca="1" si="43"/>
        <v>17.727351805862931</v>
      </c>
      <c r="R206" s="10">
        <f t="shared" ca="1" si="43"/>
        <v>17.693767539949519</v>
      </c>
      <c r="S206" s="10">
        <f t="shared" ca="1" si="43"/>
        <v>17.622689772354626</v>
      </c>
      <c r="T206" s="10">
        <f t="shared" ca="1" si="43"/>
        <v>16.732870810126837</v>
      </c>
      <c r="U206" s="10">
        <f t="shared" ca="1" si="43"/>
        <v>16.351689311375338</v>
      </c>
      <c r="V206" s="10">
        <f t="shared" ca="1" si="43"/>
        <v>16.744711800422674</v>
      </c>
      <c r="W206" s="10">
        <f t="shared" ca="1" si="43"/>
        <v>17.156925892400189</v>
      </c>
      <c r="X206" s="10">
        <f t="shared" ca="1" si="43"/>
        <v>17.618849954768066</v>
      </c>
      <c r="Y206" s="10">
        <f t="shared" ca="1" si="43"/>
        <v>18.030980801141311</v>
      </c>
      <c r="Z206" s="10">
        <f t="shared" ca="1" si="43"/>
        <v>6.8585938208845088</v>
      </c>
      <c r="AA206" s="10"/>
      <c r="AB206" s="10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</row>
    <row r="207" spans="1:114">
      <c r="A207" s="62"/>
      <c r="B207" s="62"/>
      <c r="C207" s="62"/>
      <c r="D207" s="11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</row>
    <row r="208" spans="1:114" s="310" customFormat="1">
      <c r="A208" s="37" t="s">
        <v>670</v>
      </c>
      <c r="B208" s="49"/>
      <c r="C208" s="472">
        <v>0.10050000000000001</v>
      </c>
      <c r="D208" s="10"/>
      <c r="E208" s="10"/>
      <c r="F208" s="67">
        <f ca="1">AVERAGE(E206:F206)*$C$208*F141/365</f>
        <v>0</v>
      </c>
      <c r="G208" s="67">
        <f ca="1">AVERAGE(F206:G206)*$C$208</f>
        <v>1.0092502955824945</v>
      </c>
      <c r="H208" s="67">
        <f t="shared" ref="H208:Z208" ca="1" si="44">AVERAGE(G206:H206)*$C$208</f>
        <v>1.3666703871340335</v>
      </c>
      <c r="I208" s="67">
        <f t="shared" ca="1" si="44"/>
        <v>1.6778811730747563</v>
      </c>
      <c r="J208" s="67">
        <f t="shared" ca="1" si="44"/>
        <v>1.6683114226247211</v>
      </c>
      <c r="K208" s="67">
        <f t="shared" ca="1" si="44"/>
        <v>1.6593052273159135</v>
      </c>
      <c r="L208" s="67">
        <f t="shared" ca="1" si="44"/>
        <v>1.6492200854191827</v>
      </c>
      <c r="M208" s="67">
        <f t="shared" ca="1" si="44"/>
        <v>1.6331547087916161</v>
      </c>
      <c r="N208" s="67">
        <f t="shared" ca="1" si="44"/>
        <v>1.6143573011013768</v>
      </c>
      <c r="O208" s="67">
        <f t="shared" ca="1" si="44"/>
        <v>1.6062436948957208</v>
      </c>
      <c r="P208" s="67">
        <f t="shared" ca="1" si="44"/>
        <v>1.6905989209740213</v>
      </c>
      <c r="Q208" s="67">
        <f t="shared" ca="1" si="44"/>
        <v>1.7781650712056867</v>
      </c>
      <c r="R208" s="67">
        <f t="shared" ca="1" si="44"/>
        <v>1.7799112471270757</v>
      </c>
      <c r="S208" s="67">
        <f t="shared" ca="1" si="44"/>
        <v>1.7746519799432834</v>
      </c>
      <c r="T208" s="67">
        <f t="shared" ca="1" si="44"/>
        <v>1.7263669192696933</v>
      </c>
      <c r="U208" s="67">
        <f t="shared" ca="1" si="44"/>
        <v>1.6624991461054845</v>
      </c>
      <c r="V208" s="67">
        <f t="shared" ca="1" si="44"/>
        <v>1.6630941558678505</v>
      </c>
      <c r="W208" s="67">
        <f t="shared" ca="1" si="44"/>
        <v>1.7035572940643489</v>
      </c>
      <c r="X208" s="67">
        <f t="shared" ca="1" si="44"/>
        <v>1.747482736320205</v>
      </c>
      <c r="Y208" s="67">
        <f t="shared" ca="1" si="44"/>
        <v>1.7914039954844463</v>
      </c>
      <c r="Z208" s="67">
        <f t="shared" ca="1" si="44"/>
        <v>1.2507011247567974</v>
      </c>
      <c r="AA208" s="67"/>
      <c r="AB208" s="67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</row>
    <row r="209" spans="1:114">
      <c r="A209" s="62"/>
      <c r="B209" s="62"/>
      <c r="C209" s="62"/>
      <c r="D209" s="11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</row>
    <row r="210" spans="1:114">
      <c r="A210" s="62"/>
      <c r="B210" s="62"/>
      <c r="C210" s="62" t="s">
        <v>662</v>
      </c>
      <c r="D210" s="472">
        <v>5.28E-2</v>
      </c>
      <c r="E210" s="10">
        <f ca="1">F219*D210/2</f>
        <v>14.104723502366534</v>
      </c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</row>
    <row r="211" spans="1:114">
      <c r="A211" s="62"/>
      <c r="B211" s="62"/>
      <c r="C211" s="62"/>
      <c r="D211" s="112"/>
      <c r="E211" s="62"/>
      <c r="F211" s="62">
        <v>1</v>
      </c>
      <c r="G211" s="62">
        <v>2</v>
      </c>
      <c r="H211" s="62">
        <v>3</v>
      </c>
      <c r="I211" s="62">
        <v>4</v>
      </c>
      <c r="J211" s="62">
        <v>5</v>
      </c>
      <c r="K211" s="62">
        <v>6</v>
      </c>
      <c r="L211" s="62">
        <v>7</v>
      </c>
      <c r="M211" s="62">
        <v>8</v>
      </c>
      <c r="N211" s="62">
        <v>9</v>
      </c>
      <c r="O211" s="62">
        <v>10</v>
      </c>
      <c r="P211" s="62">
        <v>11</v>
      </c>
      <c r="Q211" s="62">
        <v>12</v>
      </c>
      <c r="R211" s="62">
        <v>13</v>
      </c>
      <c r="S211" s="62">
        <v>14</v>
      </c>
      <c r="T211" s="62">
        <v>15</v>
      </c>
      <c r="U211" s="62">
        <v>16</v>
      </c>
      <c r="V211" s="62">
        <v>17</v>
      </c>
      <c r="W211" s="62">
        <v>18</v>
      </c>
      <c r="X211" s="62">
        <v>19</v>
      </c>
      <c r="Y211" s="62">
        <v>20</v>
      </c>
      <c r="Z211" s="62">
        <v>21</v>
      </c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</row>
    <row r="212" spans="1:114">
      <c r="A212" s="62" t="s">
        <v>133</v>
      </c>
      <c r="B212" s="62"/>
      <c r="C212" s="62" t="s">
        <v>668</v>
      </c>
      <c r="D212" s="470" t="s">
        <v>424</v>
      </c>
      <c r="E212" s="110"/>
      <c r="F212" s="62">
        <f t="shared" ref="F212:Z212" ca="1" si="45">F220/$E$210*365</f>
        <v>0</v>
      </c>
      <c r="G212" s="62">
        <f t="shared" ca="1" si="45"/>
        <v>244</v>
      </c>
      <c r="H212" s="62">
        <f t="shared" ca="1" si="45"/>
        <v>366.00000000000006</v>
      </c>
      <c r="I212" s="62">
        <f t="shared" ca="1" si="45"/>
        <v>365.00000000000006</v>
      </c>
      <c r="J212" s="62">
        <f t="shared" ca="1" si="45"/>
        <v>365.00000000000006</v>
      </c>
      <c r="K212" s="62">
        <f t="shared" ca="1" si="45"/>
        <v>365.00000000000006</v>
      </c>
      <c r="L212" s="62">
        <f t="shared" ca="1" si="45"/>
        <v>366.00000000000006</v>
      </c>
      <c r="M212" s="62">
        <f t="shared" ca="1" si="45"/>
        <v>365.00000000000006</v>
      </c>
      <c r="N212" s="62">
        <f t="shared" ca="1" si="45"/>
        <v>365.00000000000006</v>
      </c>
      <c r="O212" s="62">
        <f t="shared" ca="1" si="45"/>
        <v>365.00000000000006</v>
      </c>
      <c r="P212" s="62">
        <f t="shared" ca="1" si="45"/>
        <v>366.00000000000006</v>
      </c>
      <c r="Q212" s="62">
        <f t="shared" ca="1" si="45"/>
        <v>365.00000000000006</v>
      </c>
      <c r="R212" s="62">
        <f t="shared" ca="1" si="45"/>
        <v>365.00000000000006</v>
      </c>
      <c r="S212" s="116">
        <f t="shared" ca="1" si="45"/>
        <v>365.00000000000006</v>
      </c>
      <c r="T212" s="62">
        <f t="shared" ca="1" si="45"/>
        <v>212.01515151515059</v>
      </c>
      <c r="U212" s="62">
        <f t="shared" ca="1" si="45"/>
        <v>0</v>
      </c>
      <c r="V212" s="62">
        <f t="shared" ca="1" si="45"/>
        <v>0</v>
      </c>
      <c r="W212" s="62">
        <f t="shared" ca="1" si="45"/>
        <v>0</v>
      </c>
      <c r="X212" s="62">
        <f t="shared" ca="1" si="45"/>
        <v>0</v>
      </c>
      <c r="Y212" s="62">
        <f t="shared" ca="1" si="45"/>
        <v>0</v>
      </c>
      <c r="Z212" s="62">
        <f t="shared" ca="1" si="45"/>
        <v>0</v>
      </c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/>
      <c r="CI212" s="62"/>
      <c r="CJ212" s="62"/>
      <c r="CK212" s="62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  <c r="DI212" s="62"/>
      <c r="DJ212" s="62"/>
    </row>
    <row r="213" spans="1:114">
      <c r="A213" s="62"/>
      <c r="B213" s="62"/>
      <c r="C213" s="62" t="s">
        <v>668</v>
      </c>
      <c r="D213" s="470" t="s">
        <v>424</v>
      </c>
      <c r="E213" s="110"/>
      <c r="F213" s="62">
        <f t="shared" ref="F213:Z213" ca="1" si="46">F221/$E$210*365</f>
        <v>0</v>
      </c>
      <c r="G213" s="62">
        <f t="shared" ca="1" si="46"/>
        <v>183.00000000000003</v>
      </c>
      <c r="H213" s="62">
        <f t="shared" ca="1" si="46"/>
        <v>366.00000000000006</v>
      </c>
      <c r="I213" s="62">
        <f t="shared" ca="1" si="46"/>
        <v>365.00000000000006</v>
      </c>
      <c r="J213" s="62">
        <f t="shared" ca="1" si="46"/>
        <v>365.00000000000006</v>
      </c>
      <c r="K213" s="62">
        <f t="shared" ca="1" si="46"/>
        <v>365.00000000000006</v>
      </c>
      <c r="L213" s="62">
        <f t="shared" ca="1" si="46"/>
        <v>366.00000000000006</v>
      </c>
      <c r="M213" s="62">
        <f t="shared" ca="1" si="46"/>
        <v>365.00000000000006</v>
      </c>
      <c r="N213" s="62">
        <f t="shared" ca="1" si="46"/>
        <v>365.00000000000006</v>
      </c>
      <c r="O213" s="62">
        <f t="shared" ca="1" si="46"/>
        <v>365.00000000000006</v>
      </c>
      <c r="P213" s="62">
        <f t="shared" ca="1" si="46"/>
        <v>366.00000000000006</v>
      </c>
      <c r="Q213" s="62">
        <f t="shared" ca="1" si="46"/>
        <v>365.00000000000006</v>
      </c>
      <c r="R213" s="62">
        <f t="shared" ca="1" si="46"/>
        <v>365.00000000000006</v>
      </c>
      <c r="S213" s="116">
        <f t="shared" ca="1" si="46"/>
        <v>365.00000000000006</v>
      </c>
      <c r="T213" s="62">
        <f t="shared" ca="1" si="46"/>
        <v>273.01515151515088</v>
      </c>
      <c r="U213" s="62">
        <f t="shared" ca="1" si="46"/>
        <v>0</v>
      </c>
      <c r="V213" s="62">
        <f t="shared" ca="1" si="46"/>
        <v>0</v>
      </c>
      <c r="W213" s="62">
        <f t="shared" ca="1" si="46"/>
        <v>0</v>
      </c>
      <c r="X213" s="62">
        <f t="shared" ca="1" si="46"/>
        <v>0</v>
      </c>
      <c r="Y213" s="62">
        <f t="shared" ca="1" si="46"/>
        <v>0</v>
      </c>
      <c r="Z213" s="62">
        <f t="shared" ca="1" si="46"/>
        <v>0</v>
      </c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</row>
    <row r="214" spans="1:114">
      <c r="A214" s="62"/>
      <c r="B214" s="62"/>
      <c r="C214" s="62"/>
      <c r="D214" s="470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</row>
    <row r="215" spans="1:114">
      <c r="A215" s="62"/>
      <c r="B215" s="62"/>
      <c r="C215" s="62" t="s">
        <v>669</v>
      </c>
      <c r="D215" s="470" t="s">
        <v>424</v>
      </c>
      <c r="E215" s="62"/>
      <c r="F215" s="62">
        <v>0</v>
      </c>
      <c r="G215" s="62">
        <v>0</v>
      </c>
      <c r="H215" s="62">
        <v>0</v>
      </c>
      <c r="I215" s="62">
        <v>0</v>
      </c>
      <c r="J215" s="62">
        <v>0</v>
      </c>
      <c r="K215" s="62">
        <v>0</v>
      </c>
      <c r="L215" s="62">
        <v>0</v>
      </c>
      <c r="M215" s="62">
        <v>0</v>
      </c>
      <c r="N215" s="62">
        <v>0</v>
      </c>
      <c r="O215" s="62">
        <v>0</v>
      </c>
      <c r="P215" s="62">
        <v>0</v>
      </c>
      <c r="Q215" s="62">
        <v>0</v>
      </c>
      <c r="R215" s="62">
        <v>0</v>
      </c>
      <c r="S215" s="140">
        <f ca="1">365-S212</f>
        <v>0</v>
      </c>
      <c r="T215" s="140">
        <f t="shared" ref="T215:Z215" ca="1" si="47">365-T212</f>
        <v>152.98484848484941</v>
      </c>
      <c r="U215" s="140">
        <f t="shared" ca="1" si="47"/>
        <v>365</v>
      </c>
      <c r="V215" s="140">
        <f t="shared" ca="1" si="47"/>
        <v>365</v>
      </c>
      <c r="W215" s="140">
        <f t="shared" ca="1" si="47"/>
        <v>365</v>
      </c>
      <c r="X215" s="140">
        <f t="shared" ca="1" si="47"/>
        <v>365</v>
      </c>
      <c r="Y215" s="140">
        <f t="shared" ca="1" si="47"/>
        <v>365</v>
      </c>
      <c r="Z215" s="140">
        <f t="shared" ca="1" si="47"/>
        <v>365</v>
      </c>
      <c r="AA215" s="140"/>
      <c r="AB215" s="140"/>
      <c r="AC215" s="140"/>
      <c r="AD215" s="140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</row>
    <row r="216" spans="1:114">
      <c r="A216" s="62"/>
      <c r="B216" s="62"/>
      <c r="C216" s="62" t="s">
        <v>669</v>
      </c>
      <c r="D216" s="470" t="s">
        <v>424</v>
      </c>
      <c r="E216" s="62"/>
      <c r="F216" s="62">
        <v>0</v>
      </c>
      <c r="G216" s="62">
        <v>0</v>
      </c>
      <c r="H216" s="62">
        <v>0</v>
      </c>
      <c r="I216" s="62">
        <v>0</v>
      </c>
      <c r="J216" s="62">
        <v>0</v>
      </c>
      <c r="K216" s="62">
        <v>0</v>
      </c>
      <c r="L216" s="62">
        <v>0</v>
      </c>
      <c r="M216" s="62">
        <v>0</v>
      </c>
      <c r="N216" s="62">
        <v>0</v>
      </c>
      <c r="O216" s="62">
        <v>0</v>
      </c>
      <c r="P216" s="62">
        <v>0</v>
      </c>
      <c r="Q216" s="62">
        <v>0</v>
      </c>
      <c r="R216" s="62">
        <v>0</v>
      </c>
      <c r="S216" s="140">
        <f ca="1">365-S213</f>
        <v>0</v>
      </c>
      <c r="T216" s="140">
        <f t="shared" ref="T216:Z216" ca="1" si="48">365-T213</f>
        <v>91.984848484849124</v>
      </c>
      <c r="U216" s="140">
        <f t="shared" ca="1" si="48"/>
        <v>365</v>
      </c>
      <c r="V216" s="140">
        <f t="shared" ca="1" si="48"/>
        <v>365</v>
      </c>
      <c r="W216" s="140">
        <f t="shared" ca="1" si="48"/>
        <v>365</v>
      </c>
      <c r="X216" s="140">
        <f t="shared" ca="1" si="48"/>
        <v>365</v>
      </c>
      <c r="Y216" s="140">
        <f t="shared" ca="1" si="48"/>
        <v>365</v>
      </c>
      <c r="Z216" s="140">
        <f t="shared" ca="1" si="48"/>
        <v>365</v>
      </c>
      <c r="AA216" s="140"/>
      <c r="AB216" s="140"/>
      <c r="AC216" s="140"/>
      <c r="AD216" s="140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</row>
    <row r="217" spans="1:114">
      <c r="A217" s="62"/>
      <c r="B217" s="62"/>
      <c r="C217" s="62"/>
      <c r="D217" s="470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</row>
    <row r="218" spans="1:114">
      <c r="A218" s="62" t="s">
        <v>116</v>
      </c>
      <c r="B218" s="62"/>
      <c r="C218" s="62"/>
      <c r="D218" s="112"/>
      <c r="E218" s="62"/>
      <c r="F218" s="62">
        <v>0</v>
      </c>
      <c r="G218" s="140">
        <f ca="1">F225</f>
        <v>534.26982963509602</v>
      </c>
      <c r="H218" s="140">
        <f t="shared" ref="H218:Z218" ca="1" si="49">G225</f>
        <v>517.76923529123155</v>
      </c>
      <c r="I218" s="140">
        <f t="shared" ca="1" si="49"/>
        <v>489.48250213032111</v>
      </c>
      <c r="J218" s="140">
        <f t="shared" ca="1" si="49"/>
        <v>461.27305512558803</v>
      </c>
      <c r="K218" s="140">
        <f t="shared" ca="1" si="49"/>
        <v>433.06360812085495</v>
      </c>
      <c r="L218" s="140">
        <f t="shared" ca="1" si="49"/>
        <v>404.85416111612187</v>
      </c>
      <c r="M218" s="140">
        <f t="shared" ca="1" si="49"/>
        <v>376.56742795521143</v>
      </c>
      <c r="N218" s="140">
        <f t="shared" ca="1" si="49"/>
        <v>348.35798095047835</v>
      </c>
      <c r="O218" s="140">
        <f t="shared" ca="1" si="49"/>
        <v>320.14853394574527</v>
      </c>
      <c r="P218" s="140">
        <f t="shared" ca="1" si="49"/>
        <v>291.93908694101219</v>
      </c>
      <c r="Q218" s="140">
        <f t="shared" ca="1" si="49"/>
        <v>263.65235378010175</v>
      </c>
      <c r="R218" s="140">
        <f t="shared" ca="1" si="49"/>
        <v>235.44290677536867</v>
      </c>
      <c r="S218" s="140">
        <f t="shared" ca="1" si="49"/>
        <v>207.23345977063559</v>
      </c>
      <c r="T218" s="140">
        <f t="shared" ca="1" si="49"/>
        <v>179.02401276590251</v>
      </c>
      <c r="U218" s="140">
        <f t="shared" ca="1" si="49"/>
        <v>154.69491540207488</v>
      </c>
      <c r="V218" s="140">
        <f t="shared" ca="1" si="49"/>
        <v>138.04875672606661</v>
      </c>
      <c r="W218" s="140">
        <f t="shared" ca="1" si="49"/>
        <v>121.40259805005834</v>
      </c>
      <c r="X218" s="140">
        <f t="shared" ca="1" si="49"/>
        <v>104.75643937405007</v>
      </c>
      <c r="Y218" s="140">
        <f t="shared" ca="1" si="49"/>
        <v>88.110280698041805</v>
      </c>
      <c r="Z218" s="140">
        <f t="shared" ca="1" si="49"/>
        <v>71.464122022033536</v>
      </c>
      <c r="AA218" s="140"/>
      <c r="AB218" s="140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</row>
    <row r="219" spans="1:114">
      <c r="A219" s="62" t="s">
        <v>216</v>
      </c>
      <c r="B219" s="62"/>
      <c r="C219" s="62"/>
      <c r="D219" s="112"/>
      <c r="E219" s="62"/>
      <c r="F219" s="116">
        <f ca="1">'FGD Phasing'!D37-'FGD Phasing'!D32</f>
        <v>534.26982963509602</v>
      </c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</row>
    <row r="220" spans="1:114">
      <c r="A220" s="62" t="s">
        <v>663</v>
      </c>
      <c r="B220" s="62"/>
      <c r="C220" s="62"/>
      <c r="D220" s="112"/>
      <c r="E220" s="402">
        <v>5.28E-2</v>
      </c>
      <c r="F220" s="116">
        <f t="shared" ref="F220:Z220" ca="1" si="50">IF(E227+$E$210&lt;($F$219/2*70%),(($F$219/2*$D$210*F138/365)),IF(AND(E227&lt;($F$219/2*70%),(E227+$E$210)&gt;($F$219/2*70%)),$F$219/2*70%-E227,0))</f>
        <v>0</v>
      </c>
      <c r="G220" s="116">
        <f t="shared" ca="1" si="50"/>
        <v>9.4289110536368064</v>
      </c>
      <c r="H220" s="116">
        <f t="shared" ca="1" si="50"/>
        <v>14.14336658045521</v>
      </c>
      <c r="I220" s="116">
        <f t="shared" ca="1" si="50"/>
        <v>14.104723502366536</v>
      </c>
      <c r="J220" s="116">
        <f t="shared" ca="1" si="50"/>
        <v>14.104723502366536</v>
      </c>
      <c r="K220" s="116">
        <f t="shared" ca="1" si="50"/>
        <v>14.104723502366536</v>
      </c>
      <c r="L220" s="116">
        <f t="shared" ca="1" si="50"/>
        <v>14.14336658045521</v>
      </c>
      <c r="M220" s="116">
        <f t="shared" ca="1" si="50"/>
        <v>14.104723502366536</v>
      </c>
      <c r="N220" s="116">
        <f t="shared" ca="1" si="50"/>
        <v>14.104723502366536</v>
      </c>
      <c r="O220" s="116">
        <f t="shared" ca="1" si="50"/>
        <v>14.104723502366536</v>
      </c>
      <c r="P220" s="116">
        <f t="shared" ca="1" si="50"/>
        <v>14.14336658045521</v>
      </c>
      <c r="Q220" s="116">
        <f t="shared" ca="1" si="50"/>
        <v>14.104723502366536</v>
      </c>
      <c r="R220" s="116">
        <f t="shared" ca="1" si="50"/>
        <v>14.104723502366536</v>
      </c>
      <c r="S220" s="116">
        <f t="shared" ca="1" si="50"/>
        <v>14.104723502366536</v>
      </c>
      <c r="T220" s="116">
        <f t="shared" ca="1" si="50"/>
        <v>8.192918055982318</v>
      </c>
      <c r="U220" s="116">
        <f t="shared" ca="1" si="50"/>
        <v>0</v>
      </c>
      <c r="V220" s="116">
        <f t="shared" ca="1" si="50"/>
        <v>0</v>
      </c>
      <c r="W220" s="116">
        <f t="shared" ca="1" si="50"/>
        <v>0</v>
      </c>
      <c r="X220" s="116">
        <f t="shared" ca="1" si="50"/>
        <v>0</v>
      </c>
      <c r="Y220" s="116">
        <f t="shared" ca="1" si="50"/>
        <v>0</v>
      </c>
      <c r="Z220" s="116">
        <f t="shared" ca="1" si="50"/>
        <v>0</v>
      </c>
      <c r="AA220" s="116"/>
      <c r="AB220" s="116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</row>
    <row r="221" spans="1:114">
      <c r="A221" s="62" t="s">
        <v>664</v>
      </c>
      <c r="B221" s="62"/>
      <c r="C221" s="62"/>
      <c r="D221" s="112"/>
      <c r="E221" s="402">
        <v>5.28E-2</v>
      </c>
      <c r="F221" s="116">
        <f t="shared" ref="F221:Z221" ca="1" si="51">IF(E228+$E$210&lt;($F$219/2*70%),(($F$219/2*$D$210*F139/365)),IF(AND(E228&lt;($F$219/2*70%),(E228+$E$210)&gt;($F$219/2*70%)),$F$219/2*70%-E228,0))</f>
        <v>0</v>
      </c>
      <c r="G221" s="116">
        <f t="shared" ca="1" si="51"/>
        <v>7.0716832902276048</v>
      </c>
      <c r="H221" s="116">
        <f t="shared" ca="1" si="51"/>
        <v>14.14336658045521</v>
      </c>
      <c r="I221" s="116">
        <f t="shared" ca="1" si="51"/>
        <v>14.104723502366536</v>
      </c>
      <c r="J221" s="116">
        <f t="shared" ca="1" si="51"/>
        <v>14.104723502366536</v>
      </c>
      <c r="K221" s="116">
        <f t="shared" ca="1" si="51"/>
        <v>14.104723502366536</v>
      </c>
      <c r="L221" s="116">
        <f t="shared" ca="1" si="51"/>
        <v>14.14336658045521</v>
      </c>
      <c r="M221" s="116">
        <f t="shared" ca="1" si="51"/>
        <v>14.104723502366536</v>
      </c>
      <c r="N221" s="116">
        <f t="shared" ca="1" si="51"/>
        <v>14.104723502366536</v>
      </c>
      <c r="O221" s="116">
        <f t="shared" ca="1" si="51"/>
        <v>14.104723502366536</v>
      </c>
      <c r="P221" s="116">
        <f t="shared" ca="1" si="51"/>
        <v>14.14336658045521</v>
      </c>
      <c r="Q221" s="116">
        <f t="shared" ca="1" si="51"/>
        <v>14.104723502366536</v>
      </c>
      <c r="R221" s="116">
        <f t="shared" ca="1" si="51"/>
        <v>14.104723502366536</v>
      </c>
      <c r="S221" s="116">
        <f t="shared" ca="1" si="51"/>
        <v>14.104723502366536</v>
      </c>
      <c r="T221" s="116">
        <f t="shared" ca="1" si="51"/>
        <v>10.550145819391531</v>
      </c>
      <c r="U221" s="116">
        <f t="shared" ca="1" si="51"/>
        <v>0</v>
      </c>
      <c r="V221" s="116">
        <f t="shared" ca="1" si="51"/>
        <v>0</v>
      </c>
      <c r="W221" s="116">
        <f t="shared" ca="1" si="51"/>
        <v>0</v>
      </c>
      <c r="X221" s="116">
        <f t="shared" ca="1" si="51"/>
        <v>0</v>
      </c>
      <c r="Y221" s="116">
        <f t="shared" ca="1" si="51"/>
        <v>0</v>
      </c>
      <c r="Z221" s="116">
        <f t="shared" ca="1" si="51"/>
        <v>0</v>
      </c>
      <c r="AA221" s="116"/>
      <c r="AB221" s="116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</row>
    <row r="222" spans="1:114">
      <c r="A222" s="62" t="s">
        <v>665</v>
      </c>
      <c r="B222" s="62"/>
      <c r="C222" s="62"/>
      <c r="D222" s="112"/>
      <c r="E222" s="120">
        <f ca="1">(F219/2*20%)</f>
        <v>53.426982963509602</v>
      </c>
      <c r="F222" s="116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15">
        <f ca="1">$E$222*S215/(SUM($S$215:$AE$215))</f>
        <v>0</v>
      </c>
      <c r="T222" s="115">
        <f t="shared" ref="T222:Z222" ca="1" si="52">$E$222*T215/(SUM($S$215:$AE$215))</f>
        <v>3.4885069354847773</v>
      </c>
      <c r="U222" s="115">
        <f t="shared" ca="1" si="52"/>
        <v>8.3230793380041384</v>
      </c>
      <c r="V222" s="115">
        <f t="shared" ca="1" si="52"/>
        <v>8.3230793380041384</v>
      </c>
      <c r="W222" s="115">
        <f t="shared" ca="1" si="52"/>
        <v>8.3230793380041384</v>
      </c>
      <c r="X222" s="115">
        <f t="shared" ca="1" si="52"/>
        <v>8.3230793380041384</v>
      </c>
      <c r="Y222" s="115">
        <f t="shared" ca="1" si="52"/>
        <v>8.3230793380041384</v>
      </c>
      <c r="Z222" s="115">
        <f t="shared" ca="1" si="52"/>
        <v>8.3230793380041384</v>
      </c>
      <c r="AA222" s="115"/>
      <c r="AB222" s="115"/>
      <c r="AC222" s="115"/>
      <c r="AD222" s="115"/>
      <c r="AE222" s="115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</row>
    <row r="223" spans="1:114">
      <c r="A223" s="62" t="s">
        <v>665</v>
      </c>
      <c r="B223" s="62"/>
      <c r="C223" s="62"/>
      <c r="D223" s="112"/>
      <c r="E223" s="120">
        <f ca="1">(F219/2*20%)</f>
        <v>53.426982963509602</v>
      </c>
      <c r="F223" s="116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15">
        <f ca="1">$E$223*S216/(SUM($S$215:$AE$215))</f>
        <v>0</v>
      </c>
      <c r="T223" s="115">
        <f t="shared" ref="T223:Z223" ca="1" si="53">$E$223*T216/(SUM($S$215:$AE$215))</f>
        <v>2.0975265529690108</v>
      </c>
      <c r="U223" s="115">
        <f t="shared" ca="1" si="53"/>
        <v>8.3230793380041384</v>
      </c>
      <c r="V223" s="115">
        <f t="shared" ca="1" si="53"/>
        <v>8.3230793380041384</v>
      </c>
      <c r="W223" s="115">
        <f t="shared" ca="1" si="53"/>
        <v>8.3230793380041384</v>
      </c>
      <c r="X223" s="115">
        <f t="shared" ca="1" si="53"/>
        <v>8.3230793380041384</v>
      </c>
      <c r="Y223" s="115">
        <f t="shared" ca="1" si="53"/>
        <v>8.3230793380041384</v>
      </c>
      <c r="Z223" s="115">
        <f t="shared" ca="1" si="53"/>
        <v>8.3230793380041384</v>
      </c>
      <c r="AA223" s="115"/>
      <c r="AB223" s="115"/>
      <c r="AC223" s="115"/>
      <c r="AD223" s="115"/>
      <c r="AE223" s="115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</row>
    <row r="224" spans="1:114">
      <c r="A224" s="62"/>
      <c r="B224" s="62"/>
      <c r="C224" s="62"/>
      <c r="D224" s="112"/>
      <c r="E224" s="62"/>
      <c r="F224" s="116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</row>
    <row r="225" spans="1:114" s="310" customFormat="1">
      <c r="A225" s="37" t="s">
        <v>119</v>
      </c>
      <c r="B225" s="49"/>
      <c r="C225" s="10"/>
      <c r="D225" s="10"/>
      <c r="E225" s="10"/>
      <c r="F225" s="10">
        <f t="shared" ref="F225:Z225" ca="1" si="54">F218+F219-SUM(F220:F223)</f>
        <v>534.26982963509602</v>
      </c>
      <c r="G225" s="10">
        <f t="shared" ca="1" si="54"/>
        <v>517.76923529123155</v>
      </c>
      <c r="H225" s="10">
        <f t="shared" ca="1" si="54"/>
        <v>489.48250213032111</v>
      </c>
      <c r="I225" s="10">
        <f t="shared" ca="1" si="54"/>
        <v>461.27305512558803</v>
      </c>
      <c r="J225" s="10">
        <f t="shared" ca="1" si="54"/>
        <v>433.06360812085495</v>
      </c>
      <c r="K225" s="10">
        <f t="shared" ca="1" si="54"/>
        <v>404.85416111612187</v>
      </c>
      <c r="L225" s="10">
        <f t="shared" ca="1" si="54"/>
        <v>376.56742795521143</v>
      </c>
      <c r="M225" s="10">
        <f t="shared" ca="1" si="54"/>
        <v>348.35798095047835</v>
      </c>
      <c r="N225" s="10">
        <f t="shared" ca="1" si="54"/>
        <v>320.14853394574527</v>
      </c>
      <c r="O225" s="10">
        <f t="shared" ca="1" si="54"/>
        <v>291.93908694101219</v>
      </c>
      <c r="P225" s="10">
        <f t="shared" ca="1" si="54"/>
        <v>263.65235378010175</v>
      </c>
      <c r="Q225" s="10">
        <f t="shared" ca="1" si="54"/>
        <v>235.44290677536867</v>
      </c>
      <c r="R225" s="10">
        <f t="shared" ca="1" si="54"/>
        <v>207.23345977063559</v>
      </c>
      <c r="S225" s="10">
        <f t="shared" ca="1" si="54"/>
        <v>179.02401276590251</v>
      </c>
      <c r="T225" s="10">
        <f t="shared" ca="1" si="54"/>
        <v>154.69491540207488</v>
      </c>
      <c r="U225" s="10">
        <f t="shared" ca="1" si="54"/>
        <v>138.04875672606661</v>
      </c>
      <c r="V225" s="10">
        <f t="shared" ca="1" si="54"/>
        <v>121.40259805005834</v>
      </c>
      <c r="W225" s="10">
        <f t="shared" ca="1" si="54"/>
        <v>104.75643937405007</v>
      </c>
      <c r="X225" s="10">
        <f t="shared" ca="1" si="54"/>
        <v>88.110280698041805</v>
      </c>
      <c r="Y225" s="10">
        <f t="shared" ca="1" si="54"/>
        <v>71.464122022033536</v>
      </c>
      <c r="Z225" s="10">
        <f t="shared" ca="1" si="54"/>
        <v>54.817963346025259</v>
      </c>
      <c r="AA225" s="10"/>
      <c r="AB225" s="10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</row>
    <row r="226" spans="1:114">
      <c r="A226" s="62"/>
      <c r="B226" s="62"/>
      <c r="C226" s="62"/>
      <c r="D226" s="112"/>
      <c r="E226" s="62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</row>
    <row r="227" spans="1:114">
      <c r="A227" s="62" t="s">
        <v>666</v>
      </c>
      <c r="B227" s="62"/>
      <c r="C227" s="62"/>
      <c r="D227" s="112"/>
      <c r="E227" s="62"/>
      <c r="F227" s="140">
        <f t="shared" ref="F227:Z227" ca="1" si="55">E227+F220</f>
        <v>0</v>
      </c>
      <c r="G227" s="140">
        <f t="shared" ca="1" si="55"/>
        <v>9.4289110536368064</v>
      </c>
      <c r="H227" s="140">
        <f t="shared" ca="1" si="55"/>
        <v>23.572277634092018</v>
      </c>
      <c r="I227" s="140">
        <f t="shared" ca="1" si="55"/>
        <v>37.677001136458557</v>
      </c>
      <c r="J227" s="140">
        <f t="shared" ca="1" si="55"/>
        <v>51.781724638825096</v>
      </c>
      <c r="K227" s="140">
        <f t="shared" ca="1" si="55"/>
        <v>65.886448141191636</v>
      </c>
      <c r="L227" s="140">
        <f t="shared" ca="1" si="55"/>
        <v>80.029814721646844</v>
      </c>
      <c r="M227" s="140">
        <f t="shared" ca="1" si="55"/>
        <v>94.134538224013383</v>
      </c>
      <c r="N227" s="140">
        <f t="shared" ca="1" si="55"/>
        <v>108.23926172637992</v>
      </c>
      <c r="O227" s="140">
        <f t="shared" ca="1" si="55"/>
        <v>122.34398522874646</v>
      </c>
      <c r="P227" s="140">
        <f t="shared" ca="1" si="55"/>
        <v>136.48735180920167</v>
      </c>
      <c r="Q227" s="140">
        <f t="shared" ca="1" si="55"/>
        <v>150.59207531156821</v>
      </c>
      <c r="R227" s="140">
        <f t="shared" ca="1" si="55"/>
        <v>164.69679881393475</v>
      </c>
      <c r="S227" s="140">
        <f t="shared" ca="1" si="55"/>
        <v>178.80152231630129</v>
      </c>
      <c r="T227" s="140">
        <f t="shared" ca="1" si="55"/>
        <v>186.99444037228361</v>
      </c>
      <c r="U227" s="140">
        <f t="shared" ca="1" si="55"/>
        <v>186.99444037228361</v>
      </c>
      <c r="V227" s="140">
        <f t="shared" ca="1" si="55"/>
        <v>186.99444037228361</v>
      </c>
      <c r="W227" s="140">
        <f t="shared" ca="1" si="55"/>
        <v>186.99444037228361</v>
      </c>
      <c r="X227" s="140">
        <f t="shared" ca="1" si="55"/>
        <v>186.99444037228361</v>
      </c>
      <c r="Y227" s="140">
        <f t="shared" ca="1" si="55"/>
        <v>186.99444037228361</v>
      </c>
      <c r="Z227" s="140">
        <f t="shared" ca="1" si="55"/>
        <v>186.99444037228361</v>
      </c>
      <c r="AA227" s="140"/>
      <c r="AB227" s="140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</row>
    <row r="228" spans="1:114">
      <c r="A228" s="62" t="s">
        <v>667</v>
      </c>
      <c r="B228" s="62"/>
      <c r="C228" s="62"/>
      <c r="D228" s="112"/>
      <c r="E228" s="62"/>
      <c r="F228" s="140">
        <f t="shared" ref="F228:Z228" ca="1" si="56">E228+F221</f>
        <v>0</v>
      </c>
      <c r="G228" s="140">
        <f t="shared" ca="1" si="56"/>
        <v>7.0716832902276048</v>
      </c>
      <c r="H228" s="140">
        <f t="shared" ca="1" si="56"/>
        <v>21.215049870682815</v>
      </c>
      <c r="I228" s="140">
        <f t="shared" ca="1" si="56"/>
        <v>35.319773373049351</v>
      </c>
      <c r="J228" s="140">
        <f t="shared" ca="1" si="56"/>
        <v>49.424496875415883</v>
      </c>
      <c r="K228" s="140">
        <f t="shared" ca="1" si="56"/>
        <v>63.529220377782423</v>
      </c>
      <c r="L228" s="140">
        <f t="shared" ca="1" si="56"/>
        <v>77.67258695823763</v>
      </c>
      <c r="M228" s="140">
        <f t="shared" ca="1" si="56"/>
        <v>91.77731046060417</v>
      </c>
      <c r="N228" s="140">
        <f t="shared" ca="1" si="56"/>
        <v>105.88203396297071</v>
      </c>
      <c r="O228" s="140">
        <f t="shared" ca="1" si="56"/>
        <v>119.98675746533725</v>
      </c>
      <c r="P228" s="140">
        <f t="shared" ca="1" si="56"/>
        <v>134.13012404579246</v>
      </c>
      <c r="Q228" s="140">
        <f t="shared" ca="1" si="56"/>
        <v>148.234847548159</v>
      </c>
      <c r="R228" s="140">
        <f t="shared" ca="1" si="56"/>
        <v>162.33957105052554</v>
      </c>
      <c r="S228" s="140">
        <f t="shared" ca="1" si="56"/>
        <v>176.44429455289207</v>
      </c>
      <c r="T228" s="140">
        <f t="shared" ca="1" si="56"/>
        <v>186.99444037228361</v>
      </c>
      <c r="U228" s="140">
        <f t="shared" ca="1" si="56"/>
        <v>186.99444037228361</v>
      </c>
      <c r="V228" s="140">
        <f t="shared" ca="1" si="56"/>
        <v>186.99444037228361</v>
      </c>
      <c r="W228" s="140">
        <f t="shared" ca="1" si="56"/>
        <v>186.99444037228361</v>
      </c>
      <c r="X228" s="140">
        <f t="shared" ca="1" si="56"/>
        <v>186.99444037228361</v>
      </c>
      <c r="Y228" s="140">
        <f t="shared" ca="1" si="56"/>
        <v>186.99444037228361</v>
      </c>
      <c r="Z228" s="140">
        <f t="shared" ca="1" si="56"/>
        <v>186.99444037228361</v>
      </c>
      <c r="AA228" s="140"/>
      <c r="AB228" s="140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</row>
    <row r="229" spans="1:114" s="310" customFormat="1" ht="13.5" thickBot="1">
      <c r="A229" s="71" t="s">
        <v>509</v>
      </c>
      <c r="B229" s="72"/>
      <c r="C229" s="139"/>
      <c r="D229" s="139"/>
      <c r="E229" s="139"/>
      <c r="F229" s="139">
        <f ca="1">IF($C$231="Repayment",(F208+F195+F193+F191+F187+F177+F167+F157+F152+F147),(F189+F191+F195+F208+SUM(F220:F223)))</f>
        <v>0</v>
      </c>
      <c r="G229" s="139">
        <f ca="1">IF($C$231="Repayment",(G208+G195+G193+G191+G187+G177+G167+G157+G152+G147),(G189+G191+G195+G208+SUM(G220:G223)))</f>
        <v>91.550417032581635</v>
      </c>
      <c r="H229" s="139">
        <f t="shared" ref="H229:Z229" ca="1" si="57">IF($C$231="Repayment",(H208+H195+H193+H191+H187+H177+H167+H157+H152+H147),(H189+H191+H195+H208+SUM(H220:H223)))</f>
        <v>145.46879740820404</v>
      </c>
      <c r="I229" s="139">
        <f t="shared" ca="1" si="57"/>
        <v>143.23244869157656</v>
      </c>
      <c r="J229" s="139">
        <f t="shared" ca="1" si="57"/>
        <v>140.97442260790459</v>
      </c>
      <c r="K229" s="139">
        <f t="shared" ca="1" si="57"/>
        <v>138.67358523025717</v>
      </c>
      <c r="L229" s="139">
        <f t="shared" ca="1" si="57"/>
        <v>135.98544850930722</v>
      </c>
      <c r="M229" s="139">
        <f t="shared" ca="1" si="57"/>
        <v>132.39792665543044</v>
      </c>
      <c r="N229" s="139">
        <f t="shared" ca="1" si="57"/>
        <v>129.10782270048412</v>
      </c>
      <c r="O229" s="139">
        <f t="shared" ca="1" si="57"/>
        <v>127.57272626044761</v>
      </c>
      <c r="P229" s="139">
        <f t="shared" ca="1" si="57"/>
        <v>143.67582539888556</v>
      </c>
      <c r="Q229" s="139">
        <f t="shared" ca="1" si="57"/>
        <v>142.79925928889057</v>
      </c>
      <c r="R229" s="139">
        <f t="shared" ca="1" si="57"/>
        <v>140.65641389338776</v>
      </c>
      <c r="S229" s="139">
        <f t="shared" ca="1" si="57"/>
        <v>138.04030749518208</v>
      </c>
      <c r="T229" s="139">
        <f t="shared" ca="1" si="57"/>
        <v>126.4884520333831</v>
      </c>
      <c r="U229" s="139">
        <f t="shared" ca="1" si="57"/>
        <v>120.53418801530603</v>
      </c>
      <c r="V229" s="139">
        <f t="shared" ca="1" si="57"/>
        <v>122.62876887783455</v>
      </c>
      <c r="W229" s="139">
        <f t="shared" ca="1" si="57"/>
        <v>124.84107319692589</v>
      </c>
      <c r="X229" s="139">
        <f t="shared" ca="1" si="57"/>
        <v>127.34681642834579</v>
      </c>
      <c r="Y229" s="139">
        <f t="shared" ca="1" si="57"/>
        <v>129.51864824721176</v>
      </c>
      <c r="Z229" s="139">
        <f t="shared" ca="1" si="57"/>
        <v>65.27424947986276</v>
      </c>
      <c r="AA229" s="139"/>
      <c r="AB229" s="139"/>
      <c r="AC229" s="139"/>
      <c r="AD229" s="139"/>
      <c r="AE229" s="139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</row>
    <row r="230" spans="1:114" s="160" customFormat="1" ht="13.5" thickTop="1">
      <c r="A230" s="102"/>
      <c r="B230" s="103"/>
      <c r="C230" s="471"/>
      <c r="D230" s="471"/>
      <c r="E230" s="471"/>
      <c r="F230" s="471"/>
      <c r="G230" s="471"/>
      <c r="H230" s="471"/>
      <c r="I230" s="471"/>
      <c r="J230" s="471"/>
      <c r="K230" s="471"/>
      <c r="L230" s="471"/>
      <c r="M230" s="471"/>
      <c r="N230" s="471"/>
      <c r="O230" s="471"/>
      <c r="P230" s="471"/>
      <c r="Q230" s="471"/>
      <c r="R230" s="471"/>
      <c r="S230" s="471"/>
      <c r="T230" s="471"/>
      <c r="U230" s="471"/>
      <c r="V230" s="471"/>
      <c r="W230" s="471"/>
      <c r="X230" s="471"/>
      <c r="Y230" s="471"/>
      <c r="Z230" s="471"/>
      <c r="AA230" s="471"/>
      <c r="AB230" s="471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</row>
    <row r="231" spans="1:114" s="160" customFormat="1">
      <c r="A231" s="102"/>
      <c r="B231" s="103" t="s">
        <v>57</v>
      </c>
      <c r="C231" s="471" t="s">
        <v>133</v>
      </c>
      <c r="D231" s="471"/>
      <c r="E231" s="471"/>
      <c r="F231" s="471"/>
      <c r="G231" s="471"/>
      <c r="H231" s="471"/>
      <c r="I231" s="471"/>
      <c r="J231" s="471"/>
      <c r="K231" s="471"/>
      <c r="L231" s="471"/>
      <c r="M231" s="471"/>
      <c r="N231" s="471"/>
      <c r="O231" s="471"/>
      <c r="P231" s="471"/>
      <c r="Q231" s="471"/>
      <c r="R231" s="471"/>
      <c r="S231" s="471"/>
      <c r="T231" s="473"/>
      <c r="U231" s="471"/>
      <c r="V231" s="471"/>
      <c r="W231" s="471"/>
      <c r="X231" s="471"/>
      <c r="Y231" s="471"/>
      <c r="Z231" s="471"/>
      <c r="AA231" s="471"/>
      <c r="AB231" s="471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</row>
    <row r="232" spans="1:114">
      <c r="A232" s="62"/>
      <c r="B232" s="62"/>
      <c r="C232" s="62"/>
      <c r="D232" s="112"/>
      <c r="E232" s="62"/>
      <c r="F232" s="468"/>
      <c r="G232" s="468"/>
      <c r="H232" s="468"/>
      <c r="I232" s="468"/>
      <c r="J232" s="468"/>
      <c r="K232" s="468"/>
      <c r="L232" s="468"/>
      <c r="M232" s="468"/>
      <c r="N232" s="468"/>
      <c r="O232" s="468"/>
      <c r="P232" s="468"/>
      <c r="Q232" s="468"/>
      <c r="R232" s="468"/>
      <c r="S232" s="468"/>
      <c r="T232" s="468"/>
      <c r="U232" s="468"/>
      <c r="V232" s="468"/>
      <c r="W232" s="468"/>
      <c r="X232" s="468"/>
      <c r="Y232" s="468"/>
      <c r="Z232" s="468"/>
      <c r="AA232" s="468"/>
      <c r="AB232" s="468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</row>
    <row r="233" spans="1:114">
      <c r="A233" s="62" t="s">
        <v>510</v>
      </c>
      <c r="B233" s="62"/>
      <c r="C233" s="62"/>
      <c r="D233" s="112"/>
      <c r="E233" s="62"/>
      <c r="F233" s="468" t="e">
        <f t="shared" ref="F233:Z233" ca="1" si="58">(F229/F140*10)</f>
        <v>#DIV/0!</v>
      </c>
      <c r="G233" s="468">
        <f t="shared" ca="1" si="58"/>
        <v>0.18804776448271068</v>
      </c>
      <c r="H233" s="468">
        <f t="shared" ca="1" si="58"/>
        <v>0.17429883745009822</v>
      </c>
      <c r="I233" s="468">
        <f t="shared" ca="1" si="58"/>
        <v>0.17208946304196748</v>
      </c>
      <c r="J233" s="468">
        <f t="shared" ca="1" si="58"/>
        <v>0.16937651287024624</v>
      </c>
      <c r="K233" s="468">
        <f t="shared" ca="1" si="58"/>
        <v>0.1666121262212486</v>
      </c>
      <c r="L233" s="468">
        <f t="shared" ca="1" si="58"/>
        <v>0.16293601107316025</v>
      </c>
      <c r="M233" s="468">
        <f t="shared" ca="1" si="58"/>
        <v>0.15907211190017695</v>
      </c>
      <c r="N233" s="468">
        <f t="shared" ca="1" si="58"/>
        <v>0.15511915132363779</v>
      </c>
      <c r="O233" s="468">
        <f t="shared" ca="1" si="58"/>
        <v>0.15327477929413794</v>
      </c>
      <c r="P233" s="468">
        <f t="shared" ca="1" si="58"/>
        <v>0.17215052150624788</v>
      </c>
      <c r="Q233" s="468">
        <f t="shared" ca="1" si="58"/>
        <v>0.17156899905224524</v>
      </c>
      <c r="R233" s="468">
        <f t="shared" ca="1" si="58"/>
        <v>0.16899443500015612</v>
      </c>
      <c r="S233" s="468">
        <f t="shared" ca="1" si="58"/>
        <v>0.16585126214065066</v>
      </c>
      <c r="T233" s="468">
        <f t="shared" ca="1" si="58"/>
        <v>0.15155683234539344</v>
      </c>
      <c r="U233" s="468">
        <f t="shared" ca="1" si="58"/>
        <v>0.14481818807984559</v>
      </c>
      <c r="V233" s="468">
        <f t="shared" ca="1" si="58"/>
        <v>0.14733476375262963</v>
      </c>
      <c r="W233" s="468">
        <f t="shared" ca="1" si="58"/>
        <v>0.14999278060450688</v>
      </c>
      <c r="X233" s="468">
        <f t="shared" ca="1" si="58"/>
        <v>0.15258531349610183</v>
      </c>
      <c r="Y233" s="468">
        <f t="shared" ca="1" si="58"/>
        <v>0.15561274581557111</v>
      </c>
      <c r="Z233" s="468">
        <f t="shared" ca="1" si="58"/>
        <v>7.842504017818705E-2</v>
      </c>
      <c r="AA233" s="468"/>
      <c r="AB233" s="468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</row>
    <row r="234" spans="1:114">
      <c r="A234" s="62"/>
      <c r="B234" s="62"/>
      <c r="C234" s="62"/>
      <c r="D234" s="11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</row>
    <row r="235" spans="1:114">
      <c r="A235" s="62" t="s">
        <v>661</v>
      </c>
      <c r="B235" s="62"/>
      <c r="C235" s="62"/>
      <c r="D235" s="112"/>
      <c r="E235" s="62"/>
      <c r="F235" s="468" t="e">
        <f t="shared" ref="F235:Z235" si="59">(F167+F147)/F140*10</f>
        <v>#DIV/0!</v>
      </c>
      <c r="G235" s="468">
        <f t="shared" si="59"/>
        <v>5.2925768564153729E-2</v>
      </c>
      <c r="H235" s="468">
        <f t="shared" si="59"/>
        <v>5.3991894177490854E-2</v>
      </c>
      <c r="I235" s="468">
        <f t="shared" si="59"/>
        <v>5.5090003559228079E-2</v>
      </c>
      <c r="J235" s="468">
        <f t="shared" si="59"/>
        <v>5.6221056222417437E-2</v>
      </c>
      <c r="K235" s="468">
        <f t="shared" si="59"/>
        <v>5.7386040465502469E-2</v>
      </c>
      <c r="L235" s="468">
        <f t="shared" si="59"/>
        <v>5.8585974235880064E-2</v>
      </c>
      <c r="M235" s="468">
        <f t="shared" si="59"/>
        <v>5.9821906019368952E-2</v>
      </c>
      <c r="N235" s="468">
        <f t="shared" si="59"/>
        <v>6.1094915756362549E-2</v>
      </c>
      <c r="O235" s="468">
        <f t="shared" si="59"/>
        <v>6.2406115785465927E-2</v>
      </c>
      <c r="P235" s="468">
        <f t="shared" si="59"/>
        <v>6.3756651815442433E-2</v>
      </c>
      <c r="Q235" s="468">
        <f t="shared" si="59"/>
        <v>6.5147703926318204E-2</v>
      </c>
      <c r="R235" s="468">
        <f t="shared" si="59"/>
        <v>6.6580487600520266E-2</v>
      </c>
      <c r="S235" s="468">
        <f t="shared" si="59"/>
        <v>6.8056254784948381E-2</v>
      </c>
      <c r="T235" s="468">
        <f t="shared" si="59"/>
        <v>6.9576294984909373E-2</v>
      </c>
      <c r="U235" s="468">
        <f t="shared" si="59"/>
        <v>7.1141936390869145E-2</v>
      </c>
      <c r="V235" s="468">
        <f t="shared" si="59"/>
        <v>7.275454703900773E-2</v>
      </c>
      <c r="W235" s="468">
        <f t="shared" si="59"/>
        <v>7.4415536006590483E-2</v>
      </c>
      <c r="X235" s="468">
        <f t="shared" si="59"/>
        <v>7.6126354643200722E-2</v>
      </c>
      <c r="Y235" s="468">
        <f t="shared" si="59"/>
        <v>7.7888497838909235E-2</v>
      </c>
      <c r="Z235" s="468">
        <f t="shared" si="59"/>
        <v>1.7388248119582977E-2</v>
      </c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</row>
    <row r="236" spans="1:114">
      <c r="A236" s="62"/>
      <c r="B236" s="62"/>
      <c r="C236" s="62"/>
      <c r="D236" s="11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</row>
    <row r="237" spans="1:114">
      <c r="A237" s="62" t="s">
        <v>57</v>
      </c>
      <c r="B237" s="62"/>
      <c r="C237" s="62"/>
      <c r="D237" s="112"/>
      <c r="E237" s="62"/>
      <c r="F237" s="468"/>
      <c r="G237" s="468"/>
      <c r="H237" s="468"/>
      <c r="I237" s="468"/>
      <c r="J237" s="468"/>
      <c r="K237" s="468"/>
      <c r="L237" s="468"/>
      <c r="M237" s="468"/>
      <c r="N237" s="468"/>
      <c r="O237" s="468"/>
      <c r="P237" s="468"/>
      <c r="Q237" s="468"/>
      <c r="R237" s="468"/>
      <c r="S237" s="468"/>
      <c r="T237" s="468"/>
      <c r="U237" s="468"/>
      <c r="V237" s="468"/>
      <c r="W237" s="468"/>
      <c r="X237" s="468"/>
      <c r="Y237" s="468"/>
      <c r="Z237" s="468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</row>
    <row r="238" spans="1:114">
      <c r="A238" s="474" t="s">
        <v>676</v>
      </c>
      <c r="B238" s="62"/>
      <c r="C238" s="62"/>
      <c r="D238" s="112"/>
      <c r="E238" s="62"/>
      <c r="F238" s="468" t="e">
        <f>(F177+F187+F157+F152)/F140*10</f>
        <v>#DIV/0!</v>
      </c>
      <c r="G238" s="468">
        <f t="shared" ref="G238:Z238" si="60">(G177+G187+G157+G152)/G140*10</f>
        <v>1.0786556164839863E-2</v>
      </c>
      <c r="H238" s="468">
        <f t="shared" si="60"/>
        <v>9.573535329850464E-3</v>
      </c>
      <c r="I238" s="468">
        <f t="shared" si="60"/>
        <v>1.0059269500467781E-2</v>
      </c>
      <c r="J238" s="468">
        <f t="shared" si="60"/>
        <v>1.0562232975491172E-2</v>
      </c>
      <c r="K238" s="468">
        <f t="shared" si="60"/>
        <v>1.109034462426573E-2</v>
      </c>
      <c r="L238" s="468">
        <f t="shared" si="60"/>
        <v>1.1636692028029054E-2</v>
      </c>
      <c r="M238" s="468">
        <f t="shared" si="60"/>
        <v>1.2227104948252968E-2</v>
      </c>
      <c r="N238" s="468">
        <f t="shared" si="60"/>
        <v>1.2838460195665617E-2</v>
      </c>
      <c r="O238" s="468">
        <f t="shared" si="60"/>
        <v>1.34803832054489E-2</v>
      </c>
      <c r="P238" s="468">
        <f t="shared" si="60"/>
        <v>1.4144471889394493E-2</v>
      </c>
      <c r="Q238" s="468">
        <f t="shared" si="60"/>
        <v>1.4862122484007412E-2</v>
      </c>
      <c r="R238" s="468">
        <f t="shared" si="60"/>
        <v>1.5605228608207785E-2</v>
      </c>
      <c r="S238" s="468">
        <f t="shared" si="60"/>
        <v>1.6385490038618174E-2</v>
      </c>
      <c r="T238" s="468">
        <f t="shared" si="60"/>
        <v>1.7192693984508317E-2</v>
      </c>
      <c r="U238" s="468">
        <f t="shared" si="60"/>
        <v>1.8065002767576541E-2</v>
      </c>
      <c r="V238" s="468">
        <f t="shared" si="60"/>
        <v>1.8968252905955368E-2</v>
      </c>
      <c r="W238" s="468">
        <f t="shared" si="60"/>
        <v>1.9916665551253137E-2</v>
      </c>
      <c r="X238" s="468">
        <f t="shared" si="60"/>
        <v>2.0897826992507269E-2</v>
      </c>
      <c r="Y238" s="468">
        <f t="shared" si="60"/>
        <v>2.1958123770256584E-2</v>
      </c>
      <c r="Z238" s="468">
        <f t="shared" si="60"/>
        <v>5.9203060280365594E-3</v>
      </c>
      <c r="AA238" s="468"/>
      <c r="AB238" s="468"/>
      <c r="AC238" s="468"/>
      <c r="AD238" s="468"/>
      <c r="AE238" s="468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</row>
    <row r="239" spans="1:114">
      <c r="A239" s="474" t="s">
        <v>507</v>
      </c>
      <c r="B239" s="62"/>
      <c r="C239" s="62"/>
      <c r="D239" s="112"/>
      <c r="E239" s="62"/>
      <c r="F239" s="468">
        <f t="shared" ref="F239:Z239" si="61">IFERROR(F191/F140*10,0)</f>
        <v>0</v>
      </c>
      <c r="G239" s="468">
        <f t="shared" ca="1" si="61"/>
        <v>4.5367445337835509E-2</v>
      </c>
      <c r="H239" s="468">
        <f t="shared" ca="1" si="61"/>
        <v>5.0118488822394225E-2</v>
      </c>
      <c r="I239" s="468">
        <f t="shared" ca="1" si="61"/>
        <v>4.5878149209663328E-2</v>
      </c>
      <c r="J239" s="468">
        <f t="shared" ca="1" si="61"/>
        <v>4.1542680665992746E-2</v>
      </c>
      <c r="K239" s="468">
        <f t="shared" ca="1" si="61"/>
        <v>3.7096018796909991E-2</v>
      </c>
      <c r="L239" s="468">
        <f t="shared" ca="1" si="61"/>
        <v>3.1759878283462516E-2</v>
      </c>
      <c r="M239" s="468">
        <f t="shared" ca="1" si="61"/>
        <v>2.6014797656530499E-2</v>
      </c>
      <c r="N239" s="468">
        <f t="shared" ca="1" si="61"/>
        <v>2.020005661344787E-2</v>
      </c>
      <c r="O239" s="468">
        <f t="shared" ca="1" si="61"/>
        <v>1.6412309797974832E-2</v>
      </c>
      <c r="P239" s="468">
        <f t="shared" ca="1" si="61"/>
        <v>1.3463371334290798E-2</v>
      </c>
      <c r="Q239" s="468">
        <f t="shared" ca="1" si="61"/>
        <v>1.0474456255296796E-2</v>
      </c>
      <c r="R239" s="468">
        <f t="shared" ca="1" si="61"/>
        <v>6.4560487028440935E-3</v>
      </c>
      <c r="S239" s="468">
        <f t="shared" ca="1" si="61"/>
        <v>2.0495360690201154E-3</v>
      </c>
      <c r="T239" s="468">
        <f t="shared" ca="1" si="61"/>
        <v>4.6414139670083895E-5</v>
      </c>
      <c r="U239" s="468">
        <f t="shared" ca="1" si="61"/>
        <v>1.5161634679334409E-17</v>
      </c>
      <c r="V239" s="468">
        <f t="shared" ca="1" si="61"/>
        <v>1.5161634679334409E-17</v>
      </c>
      <c r="W239" s="468">
        <f t="shared" ca="1" si="61"/>
        <v>1.5161634679334409E-17</v>
      </c>
      <c r="X239" s="468">
        <f t="shared" ca="1" si="61"/>
        <v>3.7696960541514513E-18</v>
      </c>
      <c r="Y239" s="468">
        <f t="shared" si="61"/>
        <v>0</v>
      </c>
      <c r="Z239" s="468">
        <f t="shared" si="61"/>
        <v>0</v>
      </c>
      <c r="AA239" s="468"/>
      <c r="AB239" s="468"/>
      <c r="AC239" s="468"/>
      <c r="AD239" s="468"/>
      <c r="AE239" s="468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</row>
    <row r="240" spans="1:114">
      <c r="A240" s="474" t="s">
        <v>508</v>
      </c>
      <c r="B240" s="62"/>
      <c r="C240" s="62"/>
      <c r="D240" s="112"/>
      <c r="E240" s="62"/>
      <c r="F240" s="468">
        <f t="shared" ref="F240:Z240" ca="1" si="62">IFERROR(F195/F140*10,0)</f>
        <v>0</v>
      </c>
      <c r="G240" s="468">
        <f t="shared" ca="1" si="62"/>
        <v>4.3002159987014496E-2</v>
      </c>
      <c r="H240" s="468">
        <f t="shared" ca="1" si="62"/>
        <v>2.5084593325758457E-2</v>
      </c>
      <c r="I240" s="468">
        <f t="shared" ca="1" si="62"/>
        <v>2.5153318238979705E-2</v>
      </c>
      <c r="J240" s="468">
        <f t="shared" ca="1" si="62"/>
        <v>2.5153318238979705E-2</v>
      </c>
      <c r="K240" s="468">
        <f t="shared" ca="1" si="62"/>
        <v>2.5153318238979705E-2</v>
      </c>
      <c r="L240" s="468">
        <f t="shared" ca="1" si="62"/>
        <v>2.5084593325758457E-2</v>
      </c>
      <c r="M240" s="468">
        <f t="shared" ca="1" si="62"/>
        <v>2.5153318238979705E-2</v>
      </c>
      <c r="N240" s="468">
        <f t="shared" ca="1" si="62"/>
        <v>2.5153318238979705E-2</v>
      </c>
      <c r="O240" s="468">
        <f t="shared" ca="1" si="62"/>
        <v>2.5153318238979705E-2</v>
      </c>
      <c r="P240" s="468">
        <f t="shared" ca="1" si="62"/>
        <v>4.486757367984693E-2</v>
      </c>
      <c r="Q240" s="468">
        <f t="shared" ca="1" si="62"/>
        <v>4.5055505776872118E-2</v>
      </c>
      <c r="R240" s="468">
        <f t="shared" ca="1" si="62"/>
        <v>4.4321361501179254E-2</v>
      </c>
      <c r="S240" s="468">
        <f t="shared" ca="1" si="62"/>
        <v>4.3334991511407982E-2</v>
      </c>
      <c r="T240" s="468">
        <f t="shared" ca="1" si="62"/>
        <v>3.3522107878870049E-2</v>
      </c>
      <c r="U240" s="468">
        <f t="shared" ca="1" si="62"/>
        <v>3.3613949270319E-2</v>
      </c>
      <c r="V240" s="468">
        <f t="shared" ca="1" si="62"/>
        <v>3.3613949270319E-2</v>
      </c>
      <c r="W240" s="468">
        <f t="shared" ca="1" si="62"/>
        <v>3.3613949270319E-2</v>
      </c>
      <c r="X240" s="468">
        <f t="shared" ca="1" si="62"/>
        <v>3.3522107878870049E-2</v>
      </c>
      <c r="Y240" s="468">
        <f t="shared" ca="1" si="62"/>
        <v>3.3613949270319E-2</v>
      </c>
      <c r="Z240" s="468">
        <f t="shared" ca="1" si="62"/>
        <v>3.3613949270319E-2</v>
      </c>
      <c r="AA240" s="468"/>
      <c r="AB240" s="468"/>
      <c r="AC240" s="468"/>
      <c r="AD240" s="468"/>
      <c r="AE240" s="468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</row>
    <row r="241" spans="1:114">
      <c r="A241" s="474" t="s">
        <v>118</v>
      </c>
      <c r="B241" s="62"/>
      <c r="C241" s="62"/>
      <c r="D241" s="112"/>
      <c r="E241" s="62"/>
      <c r="F241" s="468">
        <f t="shared" ref="F241:Z241" si="63">IF($C$231="Repayment",IFERROR(F193/F140*10,0),0)</f>
        <v>0</v>
      </c>
      <c r="G241" s="468">
        <f t="shared" si="63"/>
        <v>0</v>
      </c>
      <c r="H241" s="468">
        <f t="shared" si="63"/>
        <v>0</v>
      </c>
      <c r="I241" s="468">
        <f t="shared" si="63"/>
        <v>0</v>
      </c>
      <c r="J241" s="468">
        <f t="shared" si="63"/>
        <v>0</v>
      </c>
      <c r="K241" s="468">
        <f t="shared" si="63"/>
        <v>0</v>
      </c>
      <c r="L241" s="468">
        <f t="shared" si="63"/>
        <v>0</v>
      </c>
      <c r="M241" s="468">
        <f t="shared" si="63"/>
        <v>0</v>
      </c>
      <c r="N241" s="468">
        <f t="shared" si="63"/>
        <v>0</v>
      </c>
      <c r="O241" s="468">
        <f t="shared" si="63"/>
        <v>0</v>
      </c>
      <c r="P241" s="468">
        <f t="shared" si="63"/>
        <v>0</v>
      </c>
      <c r="Q241" s="468">
        <f t="shared" si="63"/>
        <v>0</v>
      </c>
      <c r="R241" s="468">
        <f t="shared" si="63"/>
        <v>0</v>
      </c>
      <c r="S241" s="468">
        <f t="shared" si="63"/>
        <v>0</v>
      </c>
      <c r="T241" s="468">
        <f t="shared" si="63"/>
        <v>0</v>
      </c>
      <c r="U241" s="468">
        <f t="shared" si="63"/>
        <v>0</v>
      </c>
      <c r="V241" s="468">
        <f t="shared" si="63"/>
        <v>0</v>
      </c>
      <c r="W241" s="468">
        <f t="shared" si="63"/>
        <v>0</v>
      </c>
      <c r="X241" s="468">
        <f t="shared" si="63"/>
        <v>0</v>
      </c>
      <c r="Y241" s="468">
        <f t="shared" si="63"/>
        <v>0</v>
      </c>
      <c r="Z241" s="468">
        <f t="shared" si="63"/>
        <v>0</v>
      </c>
      <c r="AA241" s="468"/>
      <c r="AB241" s="468"/>
      <c r="AC241" s="468"/>
      <c r="AD241" s="468"/>
      <c r="AE241" s="468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</row>
    <row r="242" spans="1:114">
      <c r="A242" s="474" t="s">
        <v>133</v>
      </c>
      <c r="B242" s="62"/>
      <c r="C242" s="62"/>
      <c r="D242" s="112"/>
      <c r="E242" s="62"/>
      <c r="F242" s="468">
        <f t="shared" ref="F242:Z242" ca="1" si="64">IF($C$231="Depreciation",IFERROR(SUM(F220:F223)/F140*10,0),0)</f>
        <v>0</v>
      </c>
      <c r="G242" s="468">
        <f t="shared" ca="1" si="64"/>
        <v>3.3892798957928072E-2</v>
      </c>
      <c r="H242" s="468">
        <f t="shared" ca="1" si="64"/>
        <v>3.3892798957928072E-2</v>
      </c>
      <c r="I242" s="468">
        <f t="shared" ca="1" si="64"/>
        <v>3.3892798957928072E-2</v>
      </c>
      <c r="J242" s="468">
        <f t="shared" ca="1" si="64"/>
        <v>3.3892798957928072E-2</v>
      </c>
      <c r="K242" s="468">
        <f t="shared" ca="1" si="64"/>
        <v>3.3892798957928072E-2</v>
      </c>
      <c r="L242" s="468">
        <f t="shared" ca="1" si="64"/>
        <v>3.3892798957928072E-2</v>
      </c>
      <c r="M242" s="468">
        <f t="shared" ca="1" si="64"/>
        <v>3.3892798957928072E-2</v>
      </c>
      <c r="N242" s="468">
        <f t="shared" ca="1" si="64"/>
        <v>3.3892798957928072E-2</v>
      </c>
      <c r="O242" s="468">
        <f t="shared" ca="1" si="64"/>
        <v>3.3892798957928072E-2</v>
      </c>
      <c r="P242" s="468">
        <f t="shared" ca="1" si="64"/>
        <v>3.3892798957928072E-2</v>
      </c>
      <c r="Q242" s="468">
        <f t="shared" ca="1" si="64"/>
        <v>3.3892798957928072E-2</v>
      </c>
      <c r="R242" s="468">
        <f t="shared" ca="1" si="64"/>
        <v>3.3892798957928072E-2</v>
      </c>
      <c r="S242" s="468">
        <f t="shared" ca="1" si="64"/>
        <v>3.3892798957928072E-2</v>
      </c>
      <c r="T242" s="468">
        <f t="shared" ca="1" si="64"/>
        <v>2.9150810773707903E-2</v>
      </c>
      <c r="U242" s="468">
        <f t="shared" ca="1" si="64"/>
        <v>1.9999857116414152E-2</v>
      </c>
      <c r="V242" s="468">
        <f t="shared" ca="1" si="64"/>
        <v>1.9999857116414152E-2</v>
      </c>
      <c r="W242" s="468">
        <f t="shared" ca="1" si="64"/>
        <v>1.9999857116414152E-2</v>
      </c>
      <c r="X242" s="468">
        <f t="shared" ca="1" si="64"/>
        <v>1.9945212698063295E-2</v>
      </c>
      <c r="Y242" s="468">
        <f t="shared" ca="1" si="64"/>
        <v>1.9999857116414152E-2</v>
      </c>
      <c r="Z242" s="468">
        <f t="shared" ca="1" si="64"/>
        <v>1.9999857116414152E-2</v>
      </c>
      <c r="AA242" s="468"/>
      <c r="AB242" s="468"/>
      <c r="AC242" s="468"/>
      <c r="AD242" s="468"/>
      <c r="AE242" s="468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</row>
    <row r="243" spans="1:114">
      <c r="A243" s="474" t="s">
        <v>670</v>
      </c>
      <c r="B243" s="62"/>
      <c r="C243" s="62"/>
      <c r="D243" s="112"/>
      <c r="E243" s="62"/>
      <c r="F243" s="468" t="e">
        <f ca="1">F208/F140*10</f>
        <v>#DIV/0!</v>
      </c>
      <c r="G243" s="468">
        <f ca="1">G208/G140*10</f>
        <v>2.0730354709390369E-3</v>
      </c>
      <c r="H243" s="468">
        <f ca="1">H208/H140*10</f>
        <v>1.6375268366761336E-3</v>
      </c>
      <c r="I243" s="468">
        <f t="shared" ref="I243:Z243" ca="1" si="65">I208/I140*10</f>
        <v>2.0159235757004992E-3</v>
      </c>
      <c r="J243" s="468">
        <f t="shared" ca="1" si="65"/>
        <v>2.0044258094370849E-3</v>
      </c>
      <c r="K243" s="468">
        <f t="shared" ca="1" si="65"/>
        <v>1.9936051376626251E-3</v>
      </c>
      <c r="L243" s="468">
        <f t="shared" ca="1" si="65"/>
        <v>1.9760742421020619E-3</v>
      </c>
      <c r="M243" s="468">
        <f t="shared" ca="1" si="65"/>
        <v>1.96218607911671E-3</v>
      </c>
      <c r="N243" s="468">
        <f t="shared" ca="1" si="65"/>
        <v>1.9396015612540029E-3</v>
      </c>
      <c r="O243" s="468">
        <f t="shared" ca="1" si="65"/>
        <v>1.9298533083405033E-3</v>
      </c>
      <c r="P243" s="468">
        <f t="shared" ca="1" si="65"/>
        <v>2.0256538293451499E-3</v>
      </c>
      <c r="Q243" s="468">
        <f t="shared" ca="1" si="65"/>
        <v>2.136411651822611E-3</v>
      </c>
      <c r="R243" s="468">
        <f t="shared" ca="1" si="65"/>
        <v>2.1385096294766533E-3</v>
      </c>
      <c r="S243" s="468">
        <f t="shared" ca="1" si="65"/>
        <v>2.1321907787279523E-3</v>
      </c>
      <c r="T243" s="468">
        <f t="shared" ca="1" si="65"/>
        <v>2.0685105837277302E-3</v>
      </c>
      <c r="U243" s="468">
        <f t="shared" ca="1" si="65"/>
        <v>1.9974425346667105E-3</v>
      </c>
      <c r="V243" s="468">
        <f t="shared" ca="1" si="65"/>
        <v>1.9981574209333745E-3</v>
      </c>
      <c r="W243" s="468">
        <f t="shared" ca="1" si="65"/>
        <v>2.046772659930108E-3</v>
      </c>
      <c r="X243" s="468">
        <f t="shared" ca="1" si="65"/>
        <v>2.0938112834605073E-3</v>
      </c>
      <c r="Y243" s="468">
        <f t="shared" ca="1" si="65"/>
        <v>2.1523178196721244E-3</v>
      </c>
      <c r="Z243" s="468">
        <f t="shared" ca="1" si="65"/>
        <v>1.5026796438343637E-3</v>
      </c>
      <c r="AA243" s="468"/>
      <c r="AB243" s="468"/>
      <c r="AC243" s="468"/>
      <c r="AD243" s="468"/>
      <c r="AE243" s="468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</row>
    <row r="244" spans="1:114" s="310" customFormat="1">
      <c r="A244" s="37" t="s">
        <v>509</v>
      </c>
      <c r="B244" s="49"/>
      <c r="C244" s="469">
        <f>SUM(C238:C243)</f>
        <v>0</v>
      </c>
      <c r="D244" s="469">
        <f t="shared" ref="D244:Z244" si="66">SUM(D238:D243)</f>
        <v>0</v>
      </c>
      <c r="E244" s="469">
        <f t="shared" si="66"/>
        <v>0</v>
      </c>
      <c r="F244" s="469" t="e">
        <f t="shared" si="66"/>
        <v>#DIV/0!</v>
      </c>
      <c r="G244" s="469">
        <f t="shared" ca="1" si="66"/>
        <v>0.13512199591855698</v>
      </c>
      <c r="H244" s="469">
        <f t="shared" ca="1" si="66"/>
        <v>0.12030694327260734</v>
      </c>
      <c r="I244" s="469">
        <f t="shared" ca="1" si="66"/>
        <v>0.11699945948273939</v>
      </c>
      <c r="J244" s="469">
        <f t="shared" ca="1" si="66"/>
        <v>0.11315545664782879</v>
      </c>
      <c r="K244" s="469">
        <f t="shared" ca="1" si="66"/>
        <v>0.10922608575574612</v>
      </c>
      <c r="L244" s="469">
        <f t="shared" ca="1" si="66"/>
        <v>0.10435003683728017</v>
      </c>
      <c r="M244" s="469">
        <f t="shared" ca="1" si="66"/>
        <v>9.9250205880807948E-2</v>
      </c>
      <c r="N244" s="469">
        <f t="shared" ca="1" si="66"/>
        <v>9.4024235567275266E-2</v>
      </c>
      <c r="O244" s="469">
        <f t="shared" ca="1" si="66"/>
        <v>9.086866350867201E-2</v>
      </c>
      <c r="P244" s="469">
        <f t="shared" ca="1" si="66"/>
        <v>0.10839386969080544</v>
      </c>
      <c r="Q244" s="469">
        <f t="shared" ca="1" si="66"/>
        <v>0.106421295125927</v>
      </c>
      <c r="R244" s="469">
        <f t="shared" ca="1" si="66"/>
        <v>0.10241394739963586</v>
      </c>
      <c r="S244" s="469">
        <f t="shared" ca="1" si="66"/>
        <v>9.779500735570229E-2</v>
      </c>
      <c r="T244" s="469">
        <f t="shared" ca="1" si="66"/>
        <v>8.1980537360484079E-2</v>
      </c>
      <c r="U244" s="469">
        <f t="shared" ca="1" si="66"/>
        <v>7.367625168897643E-2</v>
      </c>
      <c r="V244" s="469">
        <f t="shared" ca="1" si="66"/>
        <v>7.4580216713621902E-2</v>
      </c>
      <c r="W244" s="469">
        <f t="shared" ca="1" si="66"/>
        <v>7.5577244597916413E-2</v>
      </c>
      <c r="X244" s="469">
        <f t="shared" ca="1" si="66"/>
        <v>7.6458958852901118E-2</v>
      </c>
      <c r="Y244" s="469">
        <f t="shared" ca="1" si="66"/>
        <v>7.7724247976661859E-2</v>
      </c>
      <c r="Z244" s="469">
        <f t="shared" ca="1" si="66"/>
        <v>6.1036792058604072E-2</v>
      </c>
      <c r="AA244" s="469"/>
      <c r="AB244" s="469"/>
      <c r="AC244" s="469"/>
      <c r="AD244" s="469"/>
      <c r="AE244" s="469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</row>
    <row r="245" spans="1:114">
      <c r="A245" s="62"/>
      <c r="B245" s="62"/>
      <c r="C245" s="62"/>
      <c r="D245" s="112"/>
      <c r="E245" s="62"/>
      <c r="F245" s="468"/>
      <c r="G245" s="468"/>
      <c r="H245" s="468"/>
      <c r="I245" s="468"/>
      <c r="J245" s="468"/>
      <c r="K245" s="468"/>
      <c r="L245" s="468"/>
      <c r="M245" s="468"/>
      <c r="N245" s="468"/>
      <c r="O245" s="468"/>
      <c r="P245" s="468"/>
      <c r="Q245" s="468"/>
      <c r="R245" s="468"/>
      <c r="S245" s="468"/>
      <c r="T245" s="468"/>
      <c r="U245" s="468"/>
      <c r="V245" s="468"/>
      <c r="W245" s="468"/>
      <c r="X245" s="468"/>
      <c r="Y245" s="468"/>
      <c r="Z245" s="468"/>
      <c r="AA245" s="468"/>
      <c r="AB245" s="468"/>
      <c r="AC245" s="468"/>
      <c r="AD245" s="468"/>
      <c r="AE245" s="468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</row>
    <row r="246" spans="1:114" s="310" customFormat="1">
      <c r="A246" s="37" t="s">
        <v>509</v>
      </c>
      <c r="B246" s="49"/>
      <c r="C246" s="469">
        <f>C244+C235</f>
        <v>0</v>
      </c>
      <c r="D246" s="469">
        <f>D244+D235</f>
        <v>0</v>
      </c>
      <c r="E246" s="469">
        <f>E244+E235</f>
        <v>0</v>
      </c>
      <c r="F246" s="469" t="e">
        <f>F244+F235</f>
        <v>#DIV/0!</v>
      </c>
      <c r="G246" s="469">
        <f t="shared" ref="G246:Z246" ca="1" si="67">G244+G235</f>
        <v>0.18804776448271071</v>
      </c>
      <c r="H246" s="469">
        <f t="shared" ca="1" si="67"/>
        <v>0.17429883745009819</v>
      </c>
      <c r="I246" s="469">
        <f t="shared" ca="1" si="67"/>
        <v>0.17208946304196748</v>
      </c>
      <c r="J246" s="469">
        <f t="shared" ca="1" si="67"/>
        <v>0.16937651287024624</v>
      </c>
      <c r="K246" s="469">
        <f t="shared" ca="1" si="67"/>
        <v>0.1666121262212486</v>
      </c>
      <c r="L246" s="469">
        <f t="shared" ca="1" si="67"/>
        <v>0.16293601107316025</v>
      </c>
      <c r="M246" s="469">
        <f t="shared" ca="1" si="67"/>
        <v>0.15907211190017689</v>
      </c>
      <c r="N246" s="469">
        <f t="shared" ca="1" si="67"/>
        <v>0.15511915132363782</v>
      </c>
      <c r="O246" s="469">
        <f t="shared" ca="1" si="67"/>
        <v>0.15327477929413794</v>
      </c>
      <c r="P246" s="469">
        <f t="shared" ca="1" si="67"/>
        <v>0.17215052150624788</v>
      </c>
      <c r="Q246" s="469">
        <f t="shared" ca="1" si="67"/>
        <v>0.17156899905224521</v>
      </c>
      <c r="R246" s="469">
        <f t="shared" ca="1" si="67"/>
        <v>0.16899443500015612</v>
      </c>
      <c r="S246" s="469">
        <f t="shared" ca="1" si="67"/>
        <v>0.16585126214065066</v>
      </c>
      <c r="T246" s="469">
        <f t="shared" ca="1" si="67"/>
        <v>0.15155683234539347</v>
      </c>
      <c r="U246" s="469">
        <f t="shared" ca="1" si="67"/>
        <v>0.14481818807984559</v>
      </c>
      <c r="V246" s="469">
        <f t="shared" ca="1" si="67"/>
        <v>0.14733476375262963</v>
      </c>
      <c r="W246" s="469">
        <f t="shared" ca="1" si="67"/>
        <v>0.14999278060450688</v>
      </c>
      <c r="X246" s="469">
        <f t="shared" ca="1" si="67"/>
        <v>0.15258531349610183</v>
      </c>
      <c r="Y246" s="469">
        <f t="shared" ca="1" si="67"/>
        <v>0.15561274581557111</v>
      </c>
      <c r="Z246" s="469">
        <f t="shared" ca="1" si="67"/>
        <v>7.842504017818705E-2</v>
      </c>
      <c r="AA246" s="469"/>
      <c r="AB246" s="469"/>
      <c r="AC246" s="469"/>
      <c r="AD246" s="469"/>
      <c r="AE246" s="469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</row>
    <row r="247" spans="1:114">
      <c r="A247" s="62"/>
      <c r="B247" s="62"/>
      <c r="C247" s="62"/>
      <c r="D247" s="112"/>
      <c r="E247" s="62"/>
      <c r="F247" s="62"/>
      <c r="G247" s="11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</row>
    <row r="248" spans="1:114" s="310" customFormat="1">
      <c r="A248" s="37" t="s">
        <v>118</v>
      </c>
      <c r="B248" s="49"/>
      <c r="C248" s="469">
        <v>0</v>
      </c>
      <c r="D248" s="469">
        <v>0</v>
      </c>
      <c r="E248" s="469">
        <v>0</v>
      </c>
      <c r="F248" s="469">
        <v>0.18182800983536315</v>
      </c>
      <c r="G248" s="469">
        <v>0.20746939336741901</v>
      </c>
      <c r="H248" s="469">
        <v>0.20624361093884674</v>
      </c>
      <c r="I248" s="469">
        <v>0.20822868551329576</v>
      </c>
      <c r="J248" s="469">
        <v>0.2097915023398701</v>
      </c>
      <c r="K248" s="469">
        <v>0.20289486379472282</v>
      </c>
      <c r="L248" s="469">
        <v>0.20199566910096911</v>
      </c>
      <c r="M248" s="469">
        <v>0.20717001259038312</v>
      </c>
      <c r="N248" s="469">
        <v>0.20612840255003123</v>
      </c>
      <c r="O248" s="469">
        <v>0.20518439059139276</v>
      </c>
      <c r="P248" s="469">
        <v>0.2041319432677757</v>
      </c>
      <c r="Q248" s="469">
        <v>0.20369056190080762</v>
      </c>
      <c r="R248" s="469">
        <v>0.2031464934608031</v>
      </c>
      <c r="S248" s="469">
        <v>0.17740816678819582</v>
      </c>
      <c r="T248" s="469">
        <v>0.16451945389501368</v>
      </c>
      <c r="U248" s="469">
        <v>0.17625403534631373</v>
      </c>
      <c r="V248" s="469">
        <v>0.18245918076324286</v>
      </c>
      <c r="W248" s="469">
        <v>0.18724779198929847</v>
      </c>
      <c r="X248" s="469">
        <v>0.19204957374038484</v>
      </c>
      <c r="Y248" s="469">
        <v>0.19734350963541852</v>
      </c>
      <c r="Z248" s="469">
        <v>0.20266661138741171</v>
      </c>
      <c r="AA248" s="469"/>
      <c r="AB248" s="469"/>
      <c r="AC248" s="469"/>
      <c r="AD248" s="469"/>
      <c r="AE248" s="469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</row>
    <row r="249" spans="1:114">
      <c r="A249" s="62"/>
      <c r="B249" s="62"/>
      <c r="C249" s="62"/>
      <c r="D249" s="112"/>
      <c r="E249" s="62"/>
      <c r="F249" s="62"/>
      <c r="G249" s="11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</row>
    <row r="250" spans="1:114" s="310" customFormat="1">
      <c r="A250" s="37" t="s">
        <v>509</v>
      </c>
      <c r="B250" s="49"/>
      <c r="C250" s="469">
        <v>0</v>
      </c>
      <c r="D250" s="469">
        <v>0</v>
      </c>
      <c r="E250" s="469">
        <v>0</v>
      </c>
      <c r="F250" s="469">
        <v>0.19588438879830519</v>
      </c>
      <c r="G250" s="469">
        <v>0.20658003428625271</v>
      </c>
      <c r="H250" s="469">
        <v>0.20544964934664181</v>
      </c>
      <c r="I250" s="469">
        <v>0.20443049505717609</v>
      </c>
      <c r="J250" s="469">
        <v>0.2030698298391998</v>
      </c>
      <c r="K250" s="469">
        <v>0.20197789900076929</v>
      </c>
      <c r="L250" s="469">
        <v>0.20120157720143139</v>
      </c>
      <c r="M250" s="469">
        <v>0.20046254889797588</v>
      </c>
      <c r="N250" s="469">
        <v>0.1993929597740681</v>
      </c>
      <c r="O250" s="469">
        <v>0.19844881538383874</v>
      </c>
      <c r="P250" s="469">
        <v>0.19750773819217057</v>
      </c>
      <c r="Q250" s="469">
        <v>0.19695542730632581</v>
      </c>
      <c r="R250" s="469">
        <v>0.19641091971194458</v>
      </c>
      <c r="S250" s="469">
        <v>0.19126741046283524</v>
      </c>
      <c r="T250" s="469">
        <v>0.18192286542599809</v>
      </c>
      <c r="U250" s="469">
        <v>0.19382841445754775</v>
      </c>
      <c r="V250" s="469">
        <v>0.19991457804545282</v>
      </c>
      <c r="W250" s="469">
        <v>0.20470262610247117</v>
      </c>
      <c r="X250" s="469">
        <v>0.20945671439164032</v>
      </c>
      <c r="Y250" s="469">
        <v>0.21479834107036189</v>
      </c>
      <c r="Z250" s="469">
        <v>0.22012144282229534</v>
      </c>
      <c r="AA250" s="469"/>
      <c r="AB250" s="469"/>
      <c r="AC250" s="469"/>
      <c r="AD250" s="469"/>
      <c r="AE250" s="469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</row>
    <row r="251" spans="1:114">
      <c r="A251" s="474"/>
      <c r="B251" s="62"/>
      <c r="C251" s="62"/>
      <c r="D251" s="112"/>
      <c r="E251" s="62"/>
      <c r="F251" s="468"/>
      <c r="G251" s="468"/>
      <c r="H251" s="468"/>
      <c r="I251" s="468"/>
      <c r="J251" s="468"/>
      <c r="K251" s="468"/>
      <c r="L251" s="468"/>
      <c r="M251" s="468"/>
      <c r="N251" s="468"/>
      <c r="O251" s="468"/>
      <c r="P251" s="468"/>
      <c r="Q251" s="468"/>
      <c r="R251" s="468"/>
      <c r="S251" s="468"/>
      <c r="T251" s="468"/>
      <c r="U251" s="468"/>
      <c r="V251" s="468"/>
      <c r="W251" s="468"/>
      <c r="X251" s="468"/>
      <c r="Y251" s="468"/>
      <c r="Z251" s="468"/>
      <c r="AA251" s="468"/>
      <c r="AB251" s="468"/>
      <c r="AC251" s="468"/>
      <c r="AD251" s="468"/>
      <c r="AE251" s="468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</row>
    <row r="252" spans="1:114">
      <c r="A252" s="474"/>
      <c r="B252" s="62"/>
      <c r="C252" s="62"/>
      <c r="D252" s="112"/>
      <c r="E252" s="62"/>
      <c r="F252" s="468"/>
      <c r="G252" s="468"/>
      <c r="H252" s="468"/>
      <c r="I252" s="468"/>
      <c r="J252" s="468"/>
      <c r="K252" s="468"/>
      <c r="L252" s="468"/>
      <c r="M252" s="468"/>
      <c r="N252" s="468"/>
      <c r="O252" s="468"/>
      <c r="P252" s="468"/>
      <c r="Q252" s="468"/>
      <c r="R252" s="468"/>
      <c r="S252" s="468"/>
      <c r="T252" s="468"/>
      <c r="U252" s="468"/>
      <c r="V252" s="468"/>
      <c r="W252" s="468"/>
      <c r="X252" s="468"/>
      <c r="Y252" s="468"/>
      <c r="Z252" s="468"/>
      <c r="AA252" s="468"/>
      <c r="AB252" s="468"/>
      <c r="AC252" s="468"/>
      <c r="AD252" s="468"/>
      <c r="AE252" s="468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</row>
    <row r="253" spans="1:114">
      <c r="A253" s="474"/>
      <c r="B253" s="62"/>
      <c r="C253" s="62"/>
      <c r="D253" s="112"/>
      <c r="E253" s="62"/>
      <c r="F253" s="468"/>
      <c r="G253" s="468"/>
      <c r="H253" s="468"/>
      <c r="I253" s="468"/>
      <c r="J253" s="468"/>
      <c r="K253" s="468"/>
      <c r="L253" s="468"/>
      <c r="M253" s="468"/>
      <c r="N253" s="468"/>
      <c r="O253" s="468"/>
      <c r="P253" s="468"/>
      <c r="Q253" s="468"/>
      <c r="R253" s="468"/>
      <c r="S253" s="468"/>
      <c r="T253" s="468"/>
      <c r="U253" s="468"/>
      <c r="V253" s="468"/>
      <c r="W253" s="468"/>
      <c r="X253" s="468"/>
      <c r="Y253" s="468"/>
      <c r="Z253" s="468"/>
      <c r="AA253" s="468"/>
      <c r="AB253" s="468"/>
      <c r="AC253" s="468"/>
      <c r="AD253" s="468"/>
      <c r="AE253" s="468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</row>
    <row r="254" spans="1:114">
      <c r="A254" s="474"/>
      <c r="B254" s="62"/>
      <c r="C254" s="62"/>
      <c r="D254" s="112"/>
      <c r="E254" s="62"/>
      <c r="F254" s="468"/>
      <c r="G254" s="468"/>
      <c r="H254" s="468"/>
      <c r="I254" s="468"/>
      <c r="J254" s="468"/>
      <c r="K254" s="468"/>
      <c r="L254" s="468"/>
      <c r="M254" s="468"/>
      <c r="N254" s="468"/>
      <c r="O254" s="468"/>
      <c r="P254" s="468"/>
      <c r="Q254" s="468"/>
      <c r="R254" s="468"/>
      <c r="S254" s="468"/>
      <c r="T254" s="468"/>
      <c r="U254" s="468"/>
      <c r="V254" s="468"/>
      <c r="W254" s="468"/>
      <c r="X254" s="468"/>
      <c r="Y254" s="468"/>
      <c r="Z254" s="468"/>
      <c r="AA254" s="468"/>
      <c r="AB254" s="468"/>
      <c r="AC254" s="468"/>
      <c r="AD254" s="468"/>
      <c r="AE254" s="468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</row>
    <row r="255" spans="1:114">
      <c r="A255" s="474"/>
      <c r="B255" s="62"/>
      <c r="C255" s="62"/>
      <c r="D255" s="112"/>
      <c r="E255" s="62"/>
      <c r="F255" s="468"/>
      <c r="G255" s="468"/>
      <c r="H255" s="468"/>
      <c r="I255" s="468"/>
      <c r="J255" s="468"/>
      <c r="K255" s="468"/>
      <c r="L255" s="468"/>
      <c r="M255" s="468"/>
      <c r="N255" s="468"/>
      <c r="O255" s="468"/>
      <c r="P255" s="468"/>
      <c r="Q255" s="468"/>
      <c r="R255" s="468"/>
      <c r="S255" s="468"/>
      <c r="T255" s="468"/>
      <c r="U255" s="468"/>
      <c r="V255" s="468"/>
      <c r="W255" s="468"/>
      <c r="X255" s="468"/>
      <c r="Y255" s="468"/>
      <c r="Z255" s="468"/>
      <c r="AA255" s="468"/>
      <c r="AB255" s="468"/>
      <c r="AC255" s="468"/>
      <c r="AD255" s="468"/>
      <c r="AE255" s="468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</row>
    <row r="256" spans="1:114">
      <c r="A256" s="474"/>
      <c r="B256" s="62"/>
      <c r="C256" s="62"/>
      <c r="D256" s="112"/>
      <c r="E256" s="62"/>
      <c r="F256" s="468"/>
      <c r="G256" s="468"/>
      <c r="H256" s="468"/>
      <c r="I256" s="468"/>
      <c r="J256" s="468"/>
      <c r="K256" s="468"/>
      <c r="L256" s="468"/>
      <c r="M256" s="468"/>
      <c r="N256" s="468"/>
      <c r="O256" s="468"/>
      <c r="P256" s="468"/>
      <c r="Q256" s="468"/>
      <c r="R256" s="468"/>
      <c r="S256" s="468"/>
      <c r="T256" s="468"/>
      <c r="U256" s="468"/>
      <c r="V256" s="468"/>
      <c r="W256" s="468"/>
      <c r="X256" s="468"/>
      <c r="Y256" s="468"/>
      <c r="Z256" s="468"/>
      <c r="AA256" s="468"/>
      <c r="AB256" s="468"/>
      <c r="AC256" s="468"/>
      <c r="AD256" s="468"/>
      <c r="AE256" s="468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</row>
    <row r="257" spans="1:114">
      <c r="A257" s="474"/>
      <c r="B257" s="62"/>
      <c r="C257" s="62"/>
      <c r="D257" s="112"/>
      <c r="E257" s="62"/>
      <c r="F257" s="468"/>
      <c r="G257" s="468"/>
      <c r="H257" s="468"/>
      <c r="I257" s="468"/>
      <c r="J257" s="468"/>
      <c r="K257" s="468"/>
      <c r="L257" s="468"/>
      <c r="M257" s="468"/>
      <c r="N257" s="468"/>
      <c r="O257" s="468"/>
      <c r="P257" s="468"/>
      <c r="Q257" s="468"/>
      <c r="R257" s="468"/>
      <c r="S257" s="468"/>
      <c r="T257" s="468"/>
      <c r="U257" s="468"/>
      <c r="V257" s="468"/>
      <c r="W257" s="468"/>
      <c r="X257" s="468"/>
      <c r="Y257" s="468"/>
      <c r="Z257" s="468"/>
      <c r="AA257" s="468"/>
      <c r="AB257" s="468"/>
      <c r="AC257" s="468"/>
      <c r="AD257" s="468"/>
      <c r="AE257" s="468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</row>
    <row r="258" spans="1:114">
      <c r="A258" s="474"/>
      <c r="B258" s="62"/>
      <c r="C258" s="62"/>
      <c r="D258" s="112"/>
      <c r="E258" s="62"/>
      <c r="F258" s="468"/>
      <c r="G258" s="468"/>
      <c r="H258" s="468"/>
      <c r="I258" s="468"/>
      <c r="J258" s="468"/>
      <c r="K258" s="468"/>
      <c r="L258" s="468"/>
      <c r="M258" s="468"/>
      <c r="N258" s="468"/>
      <c r="O258" s="468"/>
      <c r="P258" s="468"/>
      <c r="Q258" s="468"/>
      <c r="R258" s="468"/>
      <c r="S258" s="468"/>
      <c r="T258" s="468"/>
      <c r="U258" s="468"/>
      <c r="V258" s="468"/>
      <c r="W258" s="468"/>
      <c r="X258" s="468"/>
      <c r="Y258" s="468"/>
      <c r="Z258" s="468"/>
      <c r="AA258" s="468"/>
      <c r="AB258" s="468"/>
      <c r="AC258" s="468"/>
      <c r="AD258" s="468"/>
      <c r="AE258" s="468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</row>
    <row r="259" spans="1:114">
      <c r="A259" s="474"/>
      <c r="B259" s="62"/>
      <c r="C259" s="62"/>
      <c r="D259" s="112"/>
      <c r="E259" s="62"/>
      <c r="F259" s="468"/>
      <c r="G259" s="468"/>
      <c r="H259" s="468"/>
      <c r="I259" s="468"/>
      <c r="J259" s="468"/>
      <c r="K259" s="468"/>
      <c r="L259" s="468"/>
      <c r="M259" s="468"/>
      <c r="N259" s="468"/>
      <c r="O259" s="468"/>
      <c r="P259" s="468"/>
      <c r="Q259" s="468"/>
      <c r="R259" s="468"/>
      <c r="S259" s="468"/>
      <c r="T259" s="468"/>
      <c r="U259" s="468"/>
      <c r="V259" s="468"/>
      <c r="W259" s="468"/>
      <c r="X259" s="468"/>
      <c r="Y259" s="468"/>
      <c r="Z259" s="468"/>
      <c r="AA259" s="468"/>
      <c r="AB259" s="468"/>
      <c r="AC259" s="468"/>
      <c r="AD259" s="468"/>
      <c r="AE259" s="468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</row>
    <row r="260" spans="1:114">
      <c r="A260" s="474"/>
      <c r="B260" s="62"/>
      <c r="C260" s="62"/>
      <c r="D260" s="112"/>
      <c r="E260" s="62"/>
      <c r="F260" s="468"/>
      <c r="G260" s="468"/>
      <c r="H260" s="468"/>
      <c r="I260" s="468"/>
      <c r="J260" s="468"/>
      <c r="K260" s="468"/>
      <c r="L260" s="468"/>
      <c r="M260" s="468"/>
      <c r="N260" s="468"/>
      <c r="O260" s="468"/>
      <c r="P260" s="468"/>
      <c r="Q260" s="468"/>
      <c r="R260" s="468"/>
      <c r="S260" s="468"/>
      <c r="T260" s="468"/>
      <c r="U260" s="468"/>
      <c r="V260" s="468"/>
      <c r="W260" s="468"/>
      <c r="X260" s="468"/>
      <c r="Y260" s="468"/>
      <c r="Z260" s="468"/>
      <c r="AA260" s="468"/>
      <c r="AB260" s="468"/>
      <c r="AC260" s="468"/>
      <c r="AD260" s="468"/>
      <c r="AE260" s="468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</row>
    <row r="261" spans="1:114">
      <c r="A261" s="474"/>
      <c r="B261" s="62"/>
      <c r="C261" s="62"/>
      <c r="D261" s="112"/>
      <c r="E261" s="62"/>
      <c r="F261" s="468"/>
      <c r="G261" s="468"/>
      <c r="H261" s="468"/>
      <c r="I261" s="468"/>
      <c r="J261" s="468"/>
      <c r="K261" s="468"/>
      <c r="L261" s="468"/>
      <c r="M261" s="468"/>
      <c r="N261" s="468"/>
      <c r="O261" s="468"/>
      <c r="P261" s="468"/>
      <c r="Q261" s="468"/>
      <c r="R261" s="468"/>
      <c r="S261" s="468"/>
      <c r="T261" s="468"/>
      <c r="U261" s="468"/>
      <c r="V261" s="468"/>
      <c r="W261" s="468"/>
      <c r="X261" s="468"/>
      <c r="Y261" s="468"/>
      <c r="Z261" s="468"/>
      <c r="AA261" s="468"/>
      <c r="AB261" s="468"/>
      <c r="AC261" s="468"/>
      <c r="AD261" s="468"/>
      <c r="AE261" s="468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</row>
    <row r="262" spans="1:114">
      <c r="A262" s="474"/>
      <c r="B262" s="62"/>
      <c r="C262" s="62"/>
      <c r="D262" s="112"/>
      <c r="E262" s="62"/>
      <c r="F262" s="468"/>
      <c r="G262" s="468"/>
      <c r="H262" s="468"/>
      <c r="I262" s="468"/>
      <c r="J262" s="468"/>
      <c r="K262" s="468"/>
      <c r="L262" s="468"/>
      <c r="M262" s="468"/>
      <c r="N262" s="468"/>
      <c r="O262" s="468"/>
      <c r="P262" s="468"/>
      <c r="Q262" s="468"/>
      <c r="R262" s="468"/>
      <c r="S262" s="468"/>
      <c r="T262" s="468"/>
      <c r="U262" s="468"/>
      <c r="V262" s="468"/>
      <c r="W262" s="468"/>
      <c r="X262" s="468"/>
      <c r="Y262" s="468"/>
      <c r="Z262" s="468"/>
      <c r="AA262" s="468"/>
      <c r="AB262" s="468"/>
      <c r="AC262" s="468"/>
      <c r="AD262" s="468"/>
      <c r="AE262" s="468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</row>
    <row r="263" spans="1:114">
      <c r="A263" s="474"/>
      <c r="B263" s="62"/>
      <c r="C263" s="62"/>
      <c r="D263" s="112"/>
      <c r="E263" s="62"/>
      <c r="F263" s="468"/>
      <c r="G263" s="468"/>
      <c r="H263" s="468"/>
      <c r="I263" s="468"/>
      <c r="J263" s="468"/>
      <c r="K263" s="468"/>
      <c r="L263" s="468"/>
      <c r="M263" s="468"/>
      <c r="N263" s="468"/>
      <c r="O263" s="468"/>
      <c r="P263" s="468"/>
      <c r="Q263" s="468"/>
      <c r="R263" s="468"/>
      <c r="S263" s="468"/>
      <c r="T263" s="468"/>
      <c r="U263" s="468"/>
      <c r="V263" s="468"/>
      <c r="W263" s="468"/>
      <c r="X263" s="468"/>
      <c r="Y263" s="468"/>
      <c r="Z263" s="468"/>
      <c r="AA263" s="468"/>
      <c r="AB263" s="468"/>
      <c r="AC263" s="468"/>
      <c r="AD263" s="468"/>
      <c r="AE263" s="468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</row>
    <row r="264" spans="1:114">
      <c r="A264" s="474"/>
      <c r="B264" s="62"/>
      <c r="C264" s="62"/>
      <c r="D264" s="112"/>
      <c r="E264" s="62"/>
      <c r="F264" s="468"/>
      <c r="G264" s="468"/>
      <c r="H264" s="468"/>
      <c r="I264" s="468"/>
      <c r="J264" s="468"/>
      <c r="K264" s="468"/>
      <c r="L264" s="468"/>
      <c r="M264" s="468"/>
      <c r="N264" s="468"/>
      <c r="O264" s="468"/>
      <c r="P264" s="468"/>
      <c r="Q264" s="468"/>
      <c r="R264" s="468"/>
      <c r="S264" s="468"/>
      <c r="T264" s="468"/>
      <c r="U264" s="468"/>
      <c r="V264" s="468"/>
      <c r="W264" s="468"/>
      <c r="X264" s="468"/>
      <c r="Y264" s="468"/>
      <c r="Z264" s="468"/>
      <c r="AA264" s="468"/>
      <c r="AB264" s="468"/>
      <c r="AC264" s="468"/>
      <c r="AD264" s="468"/>
      <c r="AE264" s="468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</row>
    <row r="265" spans="1:114">
      <c r="A265" s="474"/>
      <c r="B265" s="62"/>
      <c r="C265" s="62"/>
      <c r="D265" s="112"/>
      <c r="E265" s="62"/>
      <c r="F265" s="468"/>
      <c r="G265" s="468"/>
      <c r="H265" s="468"/>
      <c r="I265" s="468"/>
      <c r="J265" s="468"/>
      <c r="K265" s="468"/>
      <c r="L265" s="468"/>
      <c r="M265" s="468"/>
      <c r="N265" s="468"/>
      <c r="O265" s="468"/>
      <c r="P265" s="468"/>
      <c r="Q265" s="468"/>
      <c r="R265" s="468"/>
      <c r="S265" s="468"/>
      <c r="T265" s="468"/>
      <c r="U265" s="468"/>
      <c r="V265" s="468"/>
      <c r="W265" s="468"/>
      <c r="X265" s="468"/>
      <c r="Y265" s="468"/>
      <c r="Z265" s="468"/>
      <c r="AA265" s="468"/>
      <c r="AB265" s="468"/>
      <c r="AC265" s="468"/>
      <c r="AD265" s="468"/>
      <c r="AE265" s="468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</row>
    <row r="266" spans="1:114">
      <c r="A266" s="474"/>
      <c r="B266" s="62"/>
      <c r="C266" s="62"/>
      <c r="D266" s="112"/>
      <c r="E266" s="62"/>
      <c r="F266" s="468"/>
      <c r="G266" s="468"/>
      <c r="H266" s="468"/>
      <c r="I266" s="468"/>
      <c r="J266" s="468"/>
      <c r="K266" s="468"/>
      <c r="L266" s="468"/>
      <c r="M266" s="468"/>
      <c r="N266" s="468"/>
      <c r="O266" s="468"/>
      <c r="P266" s="468"/>
      <c r="Q266" s="468"/>
      <c r="R266" s="468"/>
      <c r="S266" s="468"/>
      <c r="T266" s="468"/>
      <c r="U266" s="468"/>
      <c r="V266" s="468"/>
      <c r="W266" s="468"/>
      <c r="X266" s="468"/>
      <c r="Y266" s="468"/>
      <c r="Z266" s="468"/>
      <c r="AA266" s="468"/>
      <c r="AB266" s="468"/>
      <c r="AC266" s="468"/>
      <c r="AD266" s="468"/>
      <c r="AE266" s="468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</row>
    <row r="267" spans="1:114">
      <c r="A267" s="474"/>
      <c r="B267" s="62"/>
      <c r="C267" s="62"/>
      <c r="D267" s="112"/>
      <c r="E267" s="62"/>
      <c r="F267" s="468"/>
      <c r="G267" s="468"/>
      <c r="H267" s="468"/>
      <c r="I267" s="468"/>
      <c r="J267" s="468"/>
      <c r="K267" s="468"/>
      <c r="L267" s="468"/>
      <c r="M267" s="468"/>
      <c r="N267" s="468"/>
      <c r="O267" s="468"/>
      <c r="P267" s="468"/>
      <c r="Q267" s="468"/>
      <c r="R267" s="468"/>
      <c r="S267" s="468"/>
      <c r="T267" s="468"/>
      <c r="U267" s="468"/>
      <c r="V267" s="468"/>
      <c r="W267" s="468"/>
      <c r="X267" s="468"/>
      <c r="Y267" s="468"/>
      <c r="Z267" s="468"/>
      <c r="AA267" s="468"/>
      <c r="AB267" s="468"/>
      <c r="AC267" s="468"/>
      <c r="AD267" s="468"/>
      <c r="AE267" s="468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</row>
    <row r="268" spans="1:114">
      <c r="A268" s="474"/>
      <c r="B268" s="62"/>
      <c r="C268" s="62"/>
      <c r="D268" s="112"/>
      <c r="E268" s="62"/>
      <c r="F268" s="468"/>
      <c r="G268" s="468"/>
      <c r="H268" s="468"/>
      <c r="I268" s="468"/>
      <c r="J268" s="468"/>
      <c r="K268" s="468"/>
      <c r="L268" s="468"/>
      <c r="M268" s="468"/>
      <c r="N268" s="468"/>
      <c r="O268" s="468"/>
      <c r="P268" s="468"/>
      <c r="Q268" s="468"/>
      <c r="R268" s="468"/>
      <c r="S268" s="468"/>
      <c r="T268" s="468"/>
      <c r="U268" s="468"/>
      <c r="V268" s="468"/>
      <c r="W268" s="468"/>
      <c r="X268" s="468"/>
      <c r="Y268" s="468"/>
      <c r="Z268" s="468"/>
      <c r="AA268" s="468"/>
      <c r="AB268" s="468"/>
      <c r="AC268" s="468"/>
      <c r="AD268" s="468"/>
      <c r="AE268" s="468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</row>
    <row r="269" spans="1:114">
      <c r="A269" s="474"/>
      <c r="B269" s="62"/>
      <c r="C269" s="62"/>
      <c r="D269" s="112"/>
      <c r="E269" s="62"/>
      <c r="F269" s="468"/>
      <c r="G269" s="468"/>
      <c r="H269" s="468"/>
      <c r="I269" s="468"/>
      <c r="J269" s="468"/>
      <c r="K269" s="468"/>
      <c r="L269" s="468"/>
      <c r="M269" s="468"/>
      <c r="N269" s="468"/>
      <c r="O269" s="468"/>
      <c r="P269" s="468"/>
      <c r="Q269" s="468"/>
      <c r="R269" s="468"/>
      <c r="S269" s="468"/>
      <c r="T269" s="468"/>
      <c r="U269" s="468"/>
      <c r="V269" s="468"/>
      <c r="W269" s="468"/>
      <c r="X269" s="468"/>
      <c r="Y269" s="468"/>
      <c r="Z269" s="468"/>
      <c r="AA269" s="468"/>
      <c r="AB269" s="468"/>
      <c r="AC269" s="468"/>
      <c r="AD269" s="468"/>
      <c r="AE269" s="468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</row>
    <row r="270" spans="1:114">
      <c r="A270" s="474"/>
      <c r="B270" s="62"/>
      <c r="C270" s="62"/>
      <c r="D270" s="112"/>
      <c r="E270" s="62"/>
      <c r="F270" s="468"/>
      <c r="G270" s="468"/>
      <c r="H270" s="468"/>
      <c r="I270" s="468"/>
      <c r="J270" s="468"/>
      <c r="K270" s="468"/>
      <c r="L270" s="468"/>
      <c r="M270" s="468"/>
      <c r="N270" s="468"/>
      <c r="O270" s="468"/>
      <c r="P270" s="468"/>
      <c r="Q270" s="468"/>
      <c r="R270" s="468"/>
      <c r="S270" s="468"/>
      <c r="T270" s="468"/>
      <c r="U270" s="468"/>
      <c r="V270" s="468"/>
      <c r="W270" s="468"/>
      <c r="X270" s="468"/>
      <c r="Y270" s="468"/>
      <c r="Z270" s="468"/>
      <c r="AA270" s="468"/>
      <c r="AB270" s="468"/>
      <c r="AC270" s="468"/>
      <c r="AD270" s="468"/>
      <c r="AE270" s="468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</row>
    <row r="271" spans="1:114">
      <c r="A271" s="474"/>
      <c r="B271" s="62"/>
      <c r="C271" s="62"/>
      <c r="D271" s="112"/>
      <c r="E271" s="62"/>
      <c r="F271" s="468"/>
      <c r="G271" s="468"/>
      <c r="H271" s="468"/>
      <c r="I271" s="468"/>
      <c r="J271" s="468"/>
      <c r="K271" s="468"/>
      <c r="L271" s="468"/>
      <c r="M271" s="468"/>
      <c r="N271" s="468"/>
      <c r="O271" s="468"/>
      <c r="P271" s="468"/>
      <c r="Q271" s="468"/>
      <c r="R271" s="468"/>
      <c r="S271" s="468"/>
      <c r="T271" s="468"/>
      <c r="U271" s="468"/>
      <c r="V271" s="468"/>
      <c r="W271" s="468"/>
      <c r="X271" s="468"/>
      <c r="Y271" s="468"/>
      <c r="Z271" s="468"/>
      <c r="AA271" s="468"/>
      <c r="AB271" s="468"/>
      <c r="AC271" s="468"/>
      <c r="AD271" s="468"/>
      <c r="AE271" s="468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</row>
    <row r="272" spans="1:114">
      <c r="A272" s="474"/>
      <c r="B272" s="62"/>
      <c r="C272" s="62"/>
      <c r="D272" s="112"/>
      <c r="E272" s="62"/>
      <c r="F272" s="468"/>
      <c r="G272" s="468"/>
      <c r="H272" s="468"/>
      <c r="I272" s="468"/>
      <c r="J272" s="468"/>
      <c r="K272" s="468"/>
      <c r="L272" s="468"/>
      <c r="M272" s="468"/>
      <c r="N272" s="468"/>
      <c r="O272" s="468"/>
      <c r="P272" s="468"/>
      <c r="Q272" s="468"/>
      <c r="R272" s="468"/>
      <c r="S272" s="468"/>
      <c r="T272" s="468"/>
      <c r="U272" s="468"/>
      <c r="V272" s="468"/>
      <c r="W272" s="468"/>
      <c r="X272" s="468"/>
      <c r="Y272" s="468"/>
      <c r="Z272" s="468"/>
      <c r="AA272" s="468"/>
      <c r="AB272" s="468"/>
      <c r="AC272" s="468"/>
      <c r="AD272" s="468"/>
      <c r="AE272" s="468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</row>
    <row r="273" spans="1:114">
      <c r="A273" s="474"/>
      <c r="B273" s="62"/>
      <c r="C273" s="62"/>
      <c r="D273" s="112"/>
      <c r="E273" s="62"/>
      <c r="F273" s="468"/>
      <c r="G273" s="468"/>
      <c r="H273" s="468"/>
      <c r="I273" s="468"/>
      <c r="J273" s="468"/>
      <c r="K273" s="468"/>
      <c r="L273" s="468"/>
      <c r="M273" s="468"/>
      <c r="N273" s="468"/>
      <c r="O273" s="468"/>
      <c r="P273" s="468"/>
      <c r="Q273" s="468"/>
      <c r="R273" s="468"/>
      <c r="S273" s="468"/>
      <c r="T273" s="468"/>
      <c r="U273" s="468"/>
      <c r="V273" s="468"/>
      <c r="W273" s="468"/>
      <c r="X273" s="468"/>
      <c r="Y273" s="468"/>
      <c r="Z273" s="468"/>
      <c r="AA273" s="468"/>
      <c r="AB273" s="468"/>
      <c r="AC273" s="468"/>
      <c r="AD273" s="468"/>
      <c r="AE273" s="468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</row>
    <row r="274" spans="1:114">
      <c r="A274" s="474"/>
      <c r="B274" s="62"/>
      <c r="C274" s="62"/>
      <c r="D274" s="112"/>
      <c r="E274" s="62"/>
      <c r="F274" s="468"/>
      <c r="G274" s="468"/>
      <c r="H274" s="468"/>
      <c r="I274" s="468"/>
      <c r="J274" s="468"/>
      <c r="K274" s="468"/>
      <c r="L274" s="468"/>
      <c r="M274" s="468"/>
      <c r="N274" s="468"/>
      <c r="O274" s="468"/>
      <c r="P274" s="468"/>
      <c r="Q274" s="468"/>
      <c r="R274" s="468"/>
      <c r="S274" s="468"/>
      <c r="T274" s="468"/>
      <c r="U274" s="468"/>
      <c r="V274" s="468"/>
      <c r="W274" s="468"/>
      <c r="X274" s="468"/>
      <c r="Y274" s="468"/>
      <c r="Z274" s="468"/>
      <c r="AA274" s="468"/>
      <c r="AB274" s="468"/>
      <c r="AC274" s="468"/>
      <c r="AD274" s="468"/>
      <c r="AE274" s="468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</row>
    <row r="275" spans="1:114">
      <c r="A275" s="474"/>
      <c r="B275" s="62"/>
      <c r="C275" s="62"/>
      <c r="D275" s="112"/>
      <c r="E275" s="62"/>
      <c r="F275" s="468"/>
      <c r="G275" s="468"/>
      <c r="H275" s="468"/>
      <c r="I275" s="468"/>
      <c r="J275" s="468"/>
      <c r="K275" s="468"/>
      <c r="L275" s="468"/>
      <c r="M275" s="468"/>
      <c r="N275" s="468"/>
      <c r="O275" s="468"/>
      <c r="P275" s="468"/>
      <c r="Q275" s="468"/>
      <c r="R275" s="468"/>
      <c r="S275" s="468"/>
      <c r="T275" s="468"/>
      <c r="U275" s="468"/>
      <c r="V275" s="468"/>
      <c r="W275" s="468"/>
      <c r="X275" s="468"/>
      <c r="Y275" s="468"/>
      <c r="Z275" s="468"/>
      <c r="AA275" s="468"/>
      <c r="AB275" s="468"/>
      <c r="AC275" s="468"/>
      <c r="AD275" s="468"/>
      <c r="AE275" s="468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</row>
    <row r="276" spans="1:114">
      <c r="A276" s="474"/>
      <c r="B276" s="62"/>
      <c r="C276" s="62"/>
      <c r="D276" s="112"/>
      <c r="E276" s="62"/>
      <c r="F276" s="468"/>
      <c r="G276" s="468"/>
      <c r="H276" s="468"/>
      <c r="I276" s="468"/>
      <c r="J276" s="468"/>
      <c r="K276" s="468"/>
      <c r="L276" s="468"/>
      <c r="M276" s="468"/>
      <c r="N276" s="468"/>
      <c r="O276" s="468"/>
      <c r="P276" s="468"/>
      <c r="Q276" s="468"/>
      <c r="R276" s="468"/>
      <c r="S276" s="468"/>
      <c r="T276" s="468"/>
      <c r="U276" s="468"/>
      <c r="V276" s="468"/>
      <c r="W276" s="468"/>
      <c r="X276" s="468"/>
      <c r="Y276" s="468"/>
      <c r="Z276" s="468"/>
      <c r="AA276" s="468"/>
      <c r="AB276" s="468"/>
      <c r="AC276" s="468"/>
      <c r="AD276" s="468"/>
      <c r="AE276" s="468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</row>
    <row r="277" spans="1:114">
      <c r="A277" s="474"/>
      <c r="B277" s="62"/>
      <c r="C277" s="62"/>
      <c r="D277" s="112"/>
      <c r="E277" s="62"/>
      <c r="F277" s="468"/>
      <c r="G277" s="468"/>
      <c r="H277" s="468"/>
      <c r="I277" s="468"/>
      <c r="J277" s="468"/>
      <c r="K277" s="468"/>
      <c r="L277" s="468"/>
      <c r="M277" s="468"/>
      <c r="N277" s="468"/>
      <c r="O277" s="468"/>
      <c r="P277" s="468"/>
      <c r="Q277" s="468"/>
      <c r="R277" s="468"/>
      <c r="S277" s="468"/>
      <c r="T277" s="468"/>
      <c r="U277" s="468"/>
      <c r="V277" s="468"/>
      <c r="W277" s="468"/>
      <c r="X277" s="468"/>
      <c r="Y277" s="468"/>
      <c r="Z277" s="468"/>
      <c r="AA277" s="468"/>
      <c r="AB277" s="468"/>
      <c r="AC277" s="468"/>
      <c r="AD277" s="468"/>
      <c r="AE277" s="468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</row>
    <row r="278" spans="1:114">
      <c r="A278" s="474"/>
      <c r="B278" s="62"/>
      <c r="C278" s="62"/>
      <c r="D278" s="112"/>
      <c r="E278" s="62"/>
      <c r="F278" s="468"/>
      <c r="G278" s="468"/>
      <c r="H278" s="468"/>
      <c r="I278" s="468"/>
      <c r="J278" s="468"/>
      <c r="K278" s="468"/>
      <c r="L278" s="468"/>
      <c r="M278" s="468"/>
      <c r="N278" s="468"/>
      <c r="O278" s="468"/>
      <c r="P278" s="468"/>
      <c r="Q278" s="468"/>
      <c r="R278" s="468"/>
      <c r="S278" s="468"/>
      <c r="T278" s="468"/>
      <c r="U278" s="468"/>
      <c r="V278" s="468"/>
      <c r="W278" s="468"/>
      <c r="X278" s="468"/>
      <c r="Y278" s="468"/>
      <c r="Z278" s="468"/>
      <c r="AA278" s="468"/>
      <c r="AB278" s="468"/>
      <c r="AC278" s="468"/>
      <c r="AD278" s="468"/>
      <c r="AE278" s="468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</row>
    <row r="279" spans="1:114">
      <c r="A279" s="474"/>
      <c r="B279" s="62"/>
      <c r="C279" s="62"/>
      <c r="D279" s="112"/>
      <c r="E279" s="62"/>
      <c r="F279" s="468"/>
      <c r="G279" s="468"/>
      <c r="H279" s="468"/>
      <c r="I279" s="468"/>
      <c r="J279" s="468"/>
      <c r="K279" s="468"/>
      <c r="L279" s="468"/>
      <c r="M279" s="468"/>
      <c r="N279" s="468"/>
      <c r="O279" s="468"/>
      <c r="P279" s="468"/>
      <c r="Q279" s="468"/>
      <c r="R279" s="468"/>
      <c r="S279" s="468"/>
      <c r="T279" s="468"/>
      <c r="U279" s="468"/>
      <c r="V279" s="468"/>
      <c r="W279" s="468"/>
      <c r="X279" s="468"/>
      <c r="Y279" s="468"/>
      <c r="Z279" s="468"/>
      <c r="AA279" s="468"/>
      <c r="AB279" s="468"/>
      <c r="AC279" s="468"/>
      <c r="AD279" s="468"/>
      <c r="AE279" s="468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</row>
    <row r="280" spans="1:114">
      <c r="A280" s="474"/>
      <c r="B280" s="62"/>
      <c r="C280" s="62"/>
      <c r="D280" s="112"/>
      <c r="E280" s="62"/>
      <c r="F280" s="468"/>
      <c r="G280" s="468"/>
      <c r="H280" s="468"/>
      <c r="I280" s="468"/>
      <c r="J280" s="468"/>
      <c r="K280" s="468"/>
      <c r="L280" s="468"/>
      <c r="M280" s="468"/>
      <c r="N280" s="468"/>
      <c r="O280" s="468"/>
      <c r="P280" s="468"/>
      <c r="Q280" s="468"/>
      <c r="R280" s="468"/>
      <c r="S280" s="468"/>
      <c r="T280" s="468"/>
      <c r="U280" s="468"/>
      <c r="V280" s="468"/>
      <c r="W280" s="468"/>
      <c r="X280" s="468"/>
      <c r="Y280" s="468"/>
      <c r="Z280" s="468"/>
      <c r="AA280" s="468"/>
      <c r="AB280" s="468"/>
      <c r="AC280" s="468"/>
      <c r="AD280" s="468"/>
      <c r="AE280" s="468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</row>
    <row r="281" spans="1:114">
      <c r="A281" s="474"/>
      <c r="B281" s="62"/>
      <c r="C281" s="62"/>
      <c r="D281" s="112"/>
      <c r="E281" s="62"/>
      <c r="F281" s="468"/>
      <c r="G281" s="468"/>
      <c r="H281" s="468"/>
      <c r="I281" s="468"/>
      <c r="J281" s="468"/>
      <c r="K281" s="468"/>
      <c r="L281" s="468"/>
      <c r="M281" s="468"/>
      <c r="N281" s="468"/>
      <c r="O281" s="468"/>
      <c r="P281" s="468"/>
      <c r="Q281" s="468"/>
      <c r="R281" s="468"/>
      <c r="S281" s="468"/>
      <c r="T281" s="468"/>
      <c r="U281" s="468"/>
      <c r="V281" s="468"/>
      <c r="W281" s="468"/>
      <c r="X281" s="468"/>
      <c r="Y281" s="468"/>
      <c r="Z281" s="468"/>
      <c r="AA281" s="468"/>
      <c r="AB281" s="468"/>
      <c r="AC281" s="468"/>
      <c r="AD281" s="468"/>
      <c r="AE281" s="468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</row>
    <row r="282" spans="1:114">
      <c r="A282" s="474"/>
      <c r="B282" s="62"/>
      <c r="C282" s="62"/>
      <c r="D282" s="112"/>
      <c r="E282" s="62"/>
      <c r="F282" s="468"/>
      <c r="G282" s="468"/>
      <c r="H282" s="468"/>
      <c r="I282" s="468"/>
      <c r="J282" s="468"/>
      <c r="K282" s="468"/>
      <c r="L282" s="468"/>
      <c r="M282" s="468"/>
      <c r="N282" s="468"/>
      <c r="O282" s="468"/>
      <c r="P282" s="468"/>
      <c r="Q282" s="468"/>
      <c r="R282" s="468"/>
      <c r="S282" s="468"/>
      <c r="T282" s="468"/>
      <c r="U282" s="468"/>
      <c r="V282" s="468"/>
      <c r="W282" s="468"/>
      <c r="X282" s="468"/>
      <c r="Y282" s="468"/>
      <c r="Z282" s="468"/>
      <c r="AA282" s="468"/>
      <c r="AB282" s="468"/>
      <c r="AC282" s="468"/>
      <c r="AD282" s="468"/>
      <c r="AE282" s="468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</row>
    <row r="283" spans="1:114">
      <c r="A283" s="474"/>
      <c r="B283" s="62"/>
      <c r="C283" s="62"/>
      <c r="D283" s="112"/>
      <c r="E283" s="62"/>
      <c r="F283" s="468"/>
      <c r="G283" s="468"/>
      <c r="H283" s="468"/>
      <c r="I283" s="468"/>
      <c r="J283" s="468"/>
      <c r="K283" s="468"/>
      <c r="L283" s="468"/>
      <c r="M283" s="468"/>
      <c r="N283" s="468"/>
      <c r="O283" s="468"/>
      <c r="P283" s="468"/>
      <c r="Q283" s="468"/>
      <c r="R283" s="468"/>
      <c r="S283" s="468"/>
      <c r="T283" s="468"/>
      <c r="U283" s="468"/>
      <c r="V283" s="468"/>
      <c r="W283" s="468"/>
      <c r="X283" s="468"/>
      <c r="Y283" s="468"/>
      <c r="Z283" s="468"/>
      <c r="AA283" s="468"/>
      <c r="AB283" s="468"/>
      <c r="AC283" s="468"/>
      <c r="AD283" s="468"/>
      <c r="AE283" s="468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</row>
    <row r="284" spans="1:114">
      <c r="A284" s="474"/>
      <c r="B284" s="62"/>
      <c r="C284" s="62"/>
      <c r="D284" s="112"/>
      <c r="E284" s="62"/>
      <c r="F284" s="468"/>
      <c r="G284" s="468"/>
      <c r="H284" s="468"/>
      <c r="I284" s="468"/>
      <c r="J284" s="468"/>
      <c r="K284" s="468"/>
      <c r="L284" s="468"/>
      <c r="M284" s="468"/>
      <c r="N284" s="468"/>
      <c r="O284" s="468"/>
      <c r="P284" s="468"/>
      <c r="Q284" s="468"/>
      <c r="R284" s="468"/>
      <c r="S284" s="468"/>
      <c r="T284" s="468"/>
      <c r="U284" s="468"/>
      <c r="V284" s="468"/>
      <c r="W284" s="468"/>
      <c r="X284" s="468"/>
      <c r="Y284" s="468"/>
      <c r="Z284" s="468"/>
      <c r="AA284" s="468"/>
      <c r="AB284" s="468"/>
      <c r="AC284" s="468"/>
      <c r="AD284" s="468"/>
      <c r="AE284" s="468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</row>
    <row r="285" spans="1:114">
      <c r="A285" s="474"/>
      <c r="B285" s="62"/>
      <c r="C285" s="62"/>
      <c r="D285" s="112"/>
      <c r="E285" s="62"/>
      <c r="F285" s="468"/>
      <c r="G285" s="468"/>
      <c r="H285" s="468"/>
      <c r="I285" s="468"/>
      <c r="J285" s="468"/>
      <c r="K285" s="468"/>
      <c r="L285" s="468"/>
      <c r="M285" s="468"/>
      <c r="N285" s="468"/>
      <c r="O285" s="468"/>
      <c r="P285" s="468"/>
      <c r="Q285" s="468"/>
      <c r="R285" s="468"/>
      <c r="S285" s="468"/>
      <c r="T285" s="468"/>
      <c r="U285" s="468"/>
      <c r="V285" s="468"/>
      <c r="W285" s="468"/>
      <c r="X285" s="468"/>
      <c r="Y285" s="468"/>
      <c r="Z285" s="468"/>
      <c r="AA285" s="468"/>
      <c r="AB285" s="468"/>
      <c r="AC285" s="468"/>
      <c r="AD285" s="468"/>
      <c r="AE285" s="468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</row>
    <row r="286" spans="1:114">
      <c r="A286" s="474"/>
      <c r="B286" s="62"/>
      <c r="C286" s="62"/>
      <c r="D286" s="112"/>
      <c r="E286" s="62"/>
      <c r="F286" s="468"/>
      <c r="G286" s="468"/>
      <c r="H286" s="468"/>
      <c r="I286" s="468"/>
      <c r="J286" s="468"/>
      <c r="K286" s="468"/>
      <c r="L286" s="468"/>
      <c r="M286" s="468"/>
      <c r="N286" s="468"/>
      <c r="O286" s="468"/>
      <c r="P286" s="468"/>
      <c r="Q286" s="468"/>
      <c r="R286" s="468"/>
      <c r="S286" s="468"/>
      <c r="T286" s="468"/>
      <c r="U286" s="468"/>
      <c r="V286" s="468"/>
      <c r="W286" s="468"/>
      <c r="X286" s="468"/>
      <c r="Y286" s="468"/>
      <c r="Z286" s="468"/>
      <c r="AA286" s="468"/>
      <c r="AB286" s="468"/>
      <c r="AC286" s="468"/>
      <c r="AD286" s="468"/>
      <c r="AE286" s="468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</row>
    <row r="287" spans="1:114">
      <c r="A287" s="474"/>
      <c r="B287" s="62"/>
      <c r="C287" s="62"/>
      <c r="D287" s="112"/>
      <c r="E287" s="62"/>
      <c r="F287" s="468"/>
      <c r="G287" s="468"/>
      <c r="H287" s="468"/>
      <c r="I287" s="468"/>
      <c r="J287" s="468"/>
      <c r="K287" s="468"/>
      <c r="L287" s="468"/>
      <c r="M287" s="468"/>
      <c r="N287" s="468"/>
      <c r="O287" s="468"/>
      <c r="P287" s="468"/>
      <c r="Q287" s="468"/>
      <c r="R287" s="468"/>
      <c r="S287" s="468"/>
      <c r="T287" s="468"/>
      <c r="U287" s="468"/>
      <c r="V287" s="468"/>
      <c r="W287" s="468"/>
      <c r="X287" s="468"/>
      <c r="Y287" s="468"/>
      <c r="Z287" s="468"/>
      <c r="AA287" s="468"/>
      <c r="AB287" s="468"/>
      <c r="AC287" s="468"/>
      <c r="AD287" s="468"/>
      <c r="AE287" s="468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/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</row>
    <row r="288" spans="1:114">
      <c r="A288" s="474"/>
      <c r="B288" s="62"/>
      <c r="C288" s="62"/>
      <c r="D288" s="112"/>
      <c r="E288" s="62"/>
      <c r="F288" s="468"/>
      <c r="G288" s="468"/>
      <c r="H288" s="468"/>
      <c r="I288" s="468"/>
      <c r="J288" s="468"/>
      <c r="K288" s="468"/>
      <c r="L288" s="468"/>
      <c r="M288" s="468"/>
      <c r="N288" s="468"/>
      <c r="O288" s="468"/>
      <c r="P288" s="468"/>
      <c r="Q288" s="468"/>
      <c r="R288" s="468"/>
      <c r="S288" s="468"/>
      <c r="T288" s="468"/>
      <c r="U288" s="468"/>
      <c r="V288" s="468"/>
      <c r="W288" s="468"/>
      <c r="X288" s="468"/>
      <c r="Y288" s="468"/>
      <c r="Z288" s="468"/>
      <c r="AA288" s="468"/>
      <c r="AB288" s="468"/>
      <c r="AC288" s="468"/>
      <c r="AD288" s="468"/>
      <c r="AE288" s="468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/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</row>
    <row r="289" spans="1:114">
      <c r="A289" s="474"/>
      <c r="B289" s="62"/>
      <c r="C289" s="62"/>
      <c r="D289" s="112"/>
      <c r="E289" s="62"/>
      <c r="F289" s="468"/>
      <c r="G289" s="468"/>
      <c r="H289" s="468"/>
      <c r="I289" s="468"/>
      <c r="J289" s="468"/>
      <c r="K289" s="468"/>
      <c r="L289" s="468"/>
      <c r="M289" s="468"/>
      <c r="N289" s="468"/>
      <c r="O289" s="468"/>
      <c r="P289" s="468"/>
      <c r="Q289" s="468"/>
      <c r="R289" s="468"/>
      <c r="S289" s="468"/>
      <c r="T289" s="468"/>
      <c r="U289" s="468"/>
      <c r="V289" s="468"/>
      <c r="W289" s="468"/>
      <c r="X289" s="468"/>
      <c r="Y289" s="468"/>
      <c r="Z289" s="468"/>
      <c r="AA289" s="468"/>
      <c r="AB289" s="468"/>
      <c r="AC289" s="468"/>
      <c r="AD289" s="468"/>
      <c r="AE289" s="468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</row>
    <row r="290" spans="1:114">
      <c r="A290" s="474"/>
      <c r="B290" s="62"/>
      <c r="C290" s="62"/>
      <c r="D290" s="112"/>
      <c r="E290" s="62"/>
      <c r="F290" s="468"/>
      <c r="G290" s="468"/>
      <c r="H290" s="468"/>
      <c r="I290" s="468"/>
      <c r="J290" s="468"/>
      <c r="K290" s="468"/>
      <c r="L290" s="468"/>
      <c r="M290" s="468"/>
      <c r="N290" s="468"/>
      <c r="O290" s="468"/>
      <c r="P290" s="468"/>
      <c r="Q290" s="468"/>
      <c r="R290" s="468"/>
      <c r="S290" s="468"/>
      <c r="T290" s="468"/>
      <c r="U290" s="468"/>
      <c r="V290" s="468"/>
      <c r="W290" s="468"/>
      <c r="X290" s="468"/>
      <c r="Y290" s="468"/>
      <c r="Z290" s="468"/>
      <c r="AA290" s="468"/>
      <c r="AB290" s="468"/>
      <c r="AC290" s="468"/>
      <c r="AD290" s="468"/>
      <c r="AE290" s="468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</row>
    <row r="291" spans="1:114">
      <c r="A291" s="474"/>
      <c r="B291" s="62"/>
      <c r="C291" s="62"/>
      <c r="D291" s="112"/>
      <c r="E291" s="62"/>
      <c r="F291" s="468"/>
      <c r="G291" s="468"/>
      <c r="H291" s="468"/>
      <c r="I291" s="468"/>
      <c r="J291" s="468"/>
      <c r="K291" s="468"/>
      <c r="L291" s="468"/>
      <c r="M291" s="468"/>
      <c r="N291" s="468"/>
      <c r="O291" s="468"/>
      <c r="P291" s="468"/>
      <c r="Q291" s="468"/>
      <c r="R291" s="468"/>
      <c r="S291" s="468"/>
      <c r="T291" s="468"/>
      <c r="U291" s="468"/>
      <c r="V291" s="468"/>
      <c r="W291" s="468"/>
      <c r="X291" s="468"/>
      <c r="Y291" s="468"/>
      <c r="Z291" s="468"/>
      <c r="AA291" s="468"/>
      <c r="AB291" s="468"/>
      <c r="AC291" s="468"/>
      <c r="AD291" s="468"/>
      <c r="AE291" s="468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</row>
    <row r="292" spans="1:114">
      <c r="A292" s="474"/>
      <c r="B292" s="62"/>
      <c r="C292" s="62"/>
      <c r="D292" s="112"/>
      <c r="E292" s="62"/>
      <c r="F292" s="468"/>
      <c r="G292" s="468"/>
      <c r="H292" s="468"/>
      <c r="I292" s="468"/>
      <c r="J292" s="468"/>
      <c r="K292" s="468"/>
      <c r="L292" s="468"/>
      <c r="M292" s="468"/>
      <c r="N292" s="468"/>
      <c r="O292" s="468"/>
      <c r="P292" s="468"/>
      <c r="Q292" s="468"/>
      <c r="R292" s="468"/>
      <c r="S292" s="468"/>
      <c r="T292" s="468"/>
      <c r="U292" s="468"/>
      <c r="V292" s="468"/>
      <c r="W292" s="468"/>
      <c r="X292" s="468"/>
      <c r="Y292" s="468"/>
      <c r="Z292" s="468"/>
      <c r="AA292" s="468"/>
      <c r="AB292" s="468"/>
      <c r="AC292" s="468"/>
      <c r="AD292" s="468"/>
      <c r="AE292" s="468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/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/>
      <c r="CI292" s="62"/>
      <c r="CJ292" s="62"/>
      <c r="CK292" s="62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  <c r="DI292" s="62"/>
      <c r="DJ292" s="62"/>
    </row>
    <row r="293" spans="1:114">
      <c r="A293" s="474"/>
      <c r="B293" s="62"/>
      <c r="C293" s="62"/>
      <c r="D293" s="112"/>
      <c r="E293" s="62"/>
      <c r="F293" s="468"/>
      <c r="G293" s="468"/>
      <c r="H293" s="468"/>
      <c r="I293" s="468"/>
      <c r="J293" s="468"/>
      <c r="K293" s="468"/>
      <c r="L293" s="468"/>
      <c r="M293" s="468"/>
      <c r="N293" s="468"/>
      <c r="O293" s="468"/>
      <c r="P293" s="468"/>
      <c r="Q293" s="468"/>
      <c r="R293" s="468"/>
      <c r="S293" s="468"/>
      <c r="T293" s="468"/>
      <c r="U293" s="468"/>
      <c r="V293" s="468"/>
      <c r="W293" s="468"/>
      <c r="X293" s="468"/>
      <c r="Y293" s="468"/>
      <c r="Z293" s="468"/>
      <c r="AA293" s="468"/>
      <c r="AB293" s="468"/>
      <c r="AC293" s="468"/>
      <c r="AD293" s="468"/>
      <c r="AE293" s="468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/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/>
      <c r="CI293" s="62"/>
      <c r="CJ293" s="62"/>
      <c r="CK293" s="62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  <c r="DI293" s="62"/>
      <c r="DJ293" s="62"/>
    </row>
    <row r="294" spans="1:114">
      <c r="A294" s="474"/>
      <c r="B294" s="62"/>
      <c r="C294" s="62"/>
      <c r="D294" s="112"/>
      <c r="E294" s="62"/>
      <c r="F294" s="468"/>
      <c r="G294" s="468"/>
      <c r="H294" s="468"/>
      <c r="I294" s="468"/>
      <c r="J294" s="468"/>
      <c r="K294" s="468"/>
      <c r="L294" s="468"/>
      <c r="M294" s="468"/>
      <c r="N294" s="468"/>
      <c r="O294" s="468"/>
      <c r="P294" s="468"/>
      <c r="Q294" s="468"/>
      <c r="R294" s="468"/>
      <c r="S294" s="468"/>
      <c r="T294" s="468"/>
      <c r="U294" s="468"/>
      <c r="V294" s="468"/>
      <c r="W294" s="468"/>
      <c r="X294" s="468"/>
      <c r="Y294" s="468"/>
      <c r="Z294" s="468"/>
      <c r="AA294" s="468"/>
      <c r="AB294" s="468"/>
      <c r="AC294" s="468"/>
      <c r="AD294" s="468"/>
      <c r="AE294" s="468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/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/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</row>
    <row r="295" spans="1:114">
      <c r="A295" s="474"/>
      <c r="B295" s="62"/>
      <c r="C295" s="62"/>
      <c r="D295" s="112"/>
      <c r="E295" s="62"/>
      <c r="F295" s="468"/>
      <c r="G295" s="468"/>
      <c r="H295" s="468"/>
      <c r="I295" s="468"/>
      <c r="J295" s="468"/>
      <c r="K295" s="468"/>
      <c r="L295" s="468"/>
      <c r="M295" s="468"/>
      <c r="N295" s="468"/>
      <c r="O295" s="468"/>
      <c r="P295" s="468"/>
      <c r="Q295" s="468"/>
      <c r="R295" s="468"/>
      <c r="S295" s="468"/>
      <c r="T295" s="468"/>
      <c r="U295" s="468"/>
      <c r="V295" s="468"/>
      <c r="W295" s="468"/>
      <c r="X295" s="468"/>
      <c r="Y295" s="468"/>
      <c r="Z295" s="468"/>
      <c r="AA295" s="468"/>
      <c r="AB295" s="468"/>
      <c r="AC295" s="468"/>
      <c r="AD295" s="468"/>
      <c r="AE295" s="468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/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/>
      <c r="CI295" s="62"/>
      <c r="CJ295" s="62"/>
      <c r="CK295" s="62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  <c r="DI295" s="62"/>
      <c r="DJ295" s="62"/>
    </row>
    <row r="296" spans="1:114">
      <c r="A296" s="474"/>
      <c r="B296" s="62"/>
      <c r="C296" s="62"/>
      <c r="D296" s="112"/>
      <c r="E296" s="62"/>
      <c r="F296" s="468"/>
      <c r="G296" s="468"/>
      <c r="H296" s="468"/>
      <c r="I296" s="468"/>
      <c r="J296" s="468"/>
      <c r="K296" s="468"/>
      <c r="L296" s="468"/>
      <c r="M296" s="468"/>
      <c r="N296" s="468"/>
      <c r="O296" s="468"/>
      <c r="P296" s="468"/>
      <c r="Q296" s="468"/>
      <c r="R296" s="468"/>
      <c r="S296" s="468"/>
      <c r="T296" s="468"/>
      <c r="U296" s="468"/>
      <c r="V296" s="468"/>
      <c r="W296" s="468"/>
      <c r="X296" s="468"/>
      <c r="Y296" s="468"/>
      <c r="Z296" s="468"/>
      <c r="AA296" s="468"/>
      <c r="AB296" s="468"/>
      <c r="AC296" s="468"/>
      <c r="AD296" s="468"/>
      <c r="AE296" s="468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/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/>
      <c r="CI296" s="62"/>
      <c r="CJ296" s="62"/>
      <c r="CK296" s="62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  <c r="DI296" s="62"/>
      <c r="DJ296" s="62"/>
    </row>
    <row r="297" spans="1:114">
      <c r="A297" s="474"/>
      <c r="B297" s="62"/>
      <c r="C297" s="62"/>
      <c r="D297" s="112"/>
      <c r="E297" s="62"/>
      <c r="F297" s="468"/>
      <c r="G297" s="468"/>
      <c r="H297" s="468"/>
      <c r="I297" s="468"/>
      <c r="J297" s="468"/>
      <c r="K297" s="468"/>
      <c r="L297" s="468"/>
      <c r="M297" s="468"/>
      <c r="N297" s="468"/>
      <c r="O297" s="468"/>
      <c r="P297" s="468"/>
      <c r="Q297" s="468"/>
      <c r="R297" s="468"/>
      <c r="S297" s="468"/>
      <c r="T297" s="468"/>
      <c r="U297" s="468"/>
      <c r="V297" s="468"/>
      <c r="W297" s="468"/>
      <c r="X297" s="468"/>
      <c r="Y297" s="468"/>
      <c r="Z297" s="468"/>
      <c r="AA297" s="468"/>
      <c r="AB297" s="468"/>
      <c r="AC297" s="468"/>
      <c r="AD297" s="468"/>
      <c r="AE297" s="468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/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/>
      <c r="CI297" s="62"/>
      <c r="CJ297" s="62"/>
      <c r="CK297" s="62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  <c r="DI297" s="62"/>
      <c r="DJ297" s="62"/>
    </row>
    <row r="298" spans="1:114">
      <c r="A298" s="474"/>
      <c r="B298" s="62"/>
      <c r="C298" s="62"/>
      <c r="D298" s="112"/>
      <c r="E298" s="62"/>
      <c r="F298" s="468"/>
      <c r="G298" s="468"/>
      <c r="H298" s="468"/>
      <c r="I298" s="468"/>
      <c r="J298" s="468"/>
      <c r="K298" s="468"/>
      <c r="L298" s="468"/>
      <c r="M298" s="468"/>
      <c r="N298" s="468"/>
      <c r="O298" s="468"/>
      <c r="P298" s="468"/>
      <c r="Q298" s="468"/>
      <c r="R298" s="468"/>
      <c r="S298" s="468"/>
      <c r="T298" s="468"/>
      <c r="U298" s="468"/>
      <c r="V298" s="468"/>
      <c r="W298" s="468"/>
      <c r="X298" s="468"/>
      <c r="Y298" s="468"/>
      <c r="Z298" s="468"/>
      <c r="AA298" s="468"/>
      <c r="AB298" s="468"/>
      <c r="AC298" s="468"/>
      <c r="AD298" s="468"/>
      <c r="AE298" s="468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/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  <c r="CJ298" s="62"/>
      <c r="CK298" s="62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  <c r="DI298" s="62"/>
      <c r="DJ298" s="62"/>
    </row>
    <row r="299" spans="1:114">
      <c r="A299" s="474"/>
      <c r="B299" s="62"/>
      <c r="C299" s="62"/>
      <c r="D299" s="112"/>
      <c r="E299" s="62"/>
      <c r="F299" s="468"/>
      <c r="G299" s="468"/>
      <c r="H299" s="468"/>
      <c r="I299" s="468"/>
      <c r="J299" s="468"/>
      <c r="K299" s="468"/>
      <c r="L299" s="468"/>
      <c r="M299" s="468"/>
      <c r="N299" s="468"/>
      <c r="O299" s="468"/>
      <c r="P299" s="468"/>
      <c r="Q299" s="468"/>
      <c r="R299" s="468"/>
      <c r="S299" s="468"/>
      <c r="T299" s="468"/>
      <c r="U299" s="468"/>
      <c r="V299" s="468"/>
      <c r="W299" s="468"/>
      <c r="X299" s="468"/>
      <c r="Y299" s="468"/>
      <c r="Z299" s="468"/>
      <c r="AA299" s="468"/>
      <c r="AB299" s="468"/>
      <c r="AC299" s="468"/>
      <c r="AD299" s="468"/>
      <c r="AE299" s="468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/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/>
      <c r="CI299" s="62"/>
      <c r="CJ299" s="62"/>
      <c r="CK299" s="62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  <c r="DI299" s="62"/>
      <c r="DJ299" s="62"/>
    </row>
    <row r="300" spans="1:114">
      <c r="A300" s="474"/>
      <c r="B300" s="62"/>
      <c r="C300" s="62"/>
      <c r="D300" s="112"/>
      <c r="E300" s="62"/>
      <c r="F300" s="468"/>
      <c r="G300" s="468"/>
      <c r="H300" s="468"/>
      <c r="I300" s="468"/>
      <c r="J300" s="468"/>
      <c r="K300" s="468"/>
      <c r="L300" s="468"/>
      <c r="M300" s="468"/>
      <c r="N300" s="468"/>
      <c r="O300" s="468"/>
      <c r="P300" s="468"/>
      <c r="Q300" s="468"/>
      <c r="R300" s="468"/>
      <c r="S300" s="468"/>
      <c r="T300" s="468"/>
      <c r="U300" s="468"/>
      <c r="V300" s="468"/>
      <c r="W300" s="468"/>
      <c r="X300" s="468"/>
      <c r="Y300" s="468"/>
      <c r="Z300" s="468"/>
      <c r="AA300" s="468"/>
      <c r="AB300" s="468"/>
      <c r="AC300" s="468"/>
      <c r="AD300" s="468"/>
      <c r="AE300" s="468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/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/>
      <c r="CI300" s="62"/>
      <c r="CJ300" s="62"/>
      <c r="CK300" s="62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  <c r="DD300" s="62"/>
      <c r="DE300" s="62"/>
      <c r="DF300" s="62"/>
      <c r="DG300" s="62"/>
      <c r="DH300" s="62"/>
      <c r="DI300" s="62"/>
      <c r="DJ300" s="62"/>
    </row>
    <row r="301" spans="1:114">
      <c r="A301" s="474"/>
      <c r="B301" s="62"/>
      <c r="C301" s="62"/>
      <c r="D301" s="112"/>
      <c r="E301" s="62"/>
      <c r="F301" s="468"/>
      <c r="G301" s="468"/>
      <c r="H301" s="468"/>
      <c r="I301" s="468"/>
      <c r="J301" s="468"/>
      <c r="K301" s="468"/>
      <c r="L301" s="468"/>
      <c r="M301" s="468"/>
      <c r="N301" s="468"/>
      <c r="O301" s="468"/>
      <c r="P301" s="468"/>
      <c r="Q301" s="468"/>
      <c r="R301" s="468"/>
      <c r="S301" s="468"/>
      <c r="T301" s="468"/>
      <c r="U301" s="468"/>
      <c r="V301" s="468"/>
      <c r="W301" s="468"/>
      <c r="X301" s="468"/>
      <c r="Y301" s="468"/>
      <c r="Z301" s="468"/>
      <c r="AA301" s="468"/>
      <c r="AB301" s="468"/>
      <c r="AC301" s="468"/>
      <c r="AD301" s="468"/>
      <c r="AE301" s="468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/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/>
      <c r="CI301" s="62"/>
      <c r="CJ301" s="62"/>
      <c r="CK301" s="62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  <c r="DD301" s="62"/>
      <c r="DE301" s="62"/>
      <c r="DF301" s="62"/>
      <c r="DG301" s="62"/>
      <c r="DH301" s="62"/>
      <c r="DI301" s="62"/>
      <c r="DJ301" s="62"/>
    </row>
    <row r="302" spans="1:114">
      <c r="A302" s="474"/>
      <c r="B302" s="62"/>
      <c r="C302" s="62"/>
      <c r="D302" s="112"/>
      <c r="E302" s="62"/>
      <c r="F302" s="468"/>
      <c r="G302" s="468"/>
      <c r="H302" s="468"/>
      <c r="I302" s="468"/>
      <c r="J302" s="468"/>
      <c r="K302" s="468"/>
      <c r="L302" s="468"/>
      <c r="M302" s="468"/>
      <c r="N302" s="468"/>
      <c r="O302" s="468"/>
      <c r="P302" s="468"/>
      <c r="Q302" s="468"/>
      <c r="R302" s="468"/>
      <c r="S302" s="468"/>
      <c r="T302" s="468"/>
      <c r="U302" s="468"/>
      <c r="V302" s="468"/>
      <c r="W302" s="468"/>
      <c r="X302" s="468"/>
      <c r="Y302" s="468"/>
      <c r="Z302" s="468"/>
      <c r="AA302" s="468"/>
      <c r="AB302" s="468"/>
      <c r="AC302" s="468"/>
      <c r="AD302" s="468"/>
      <c r="AE302" s="468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/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/>
      <c r="CI302" s="62"/>
      <c r="CJ302" s="62"/>
      <c r="CK302" s="62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  <c r="DD302" s="62"/>
      <c r="DE302" s="62"/>
      <c r="DF302" s="62"/>
      <c r="DG302" s="62"/>
      <c r="DH302" s="62"/>
      <c r="DI302" s="62"/>
      <c r="DJ302" s="62"/>
    </row>
    <row r="303" spans="1:114">
      <c r="A303" s="474"/>
      <c r="B303" s="62"/>
      <c r="C303" s="62"/>
      <c r="D303" s="112"/>
      <c r="E303" s="62"/>
      <c r="F303" s="468"/>
      <c r="G303" s="468"/>
      <c r="H303" s="468"/>
      <c r="I303" s="468"/>
      <c r="J303" s="468"/>
      <c r="K303" s="468"/>
      <c r="L303" s="468"/>
      <c r="M303" s="468"/>
      <c r="N303" s="468"/>
      <c r="O303" s="468"/>
      <c r="P303" s="468"/>
      <c r="Q303" s="468"/>
      <c r="R303" s="468"/>
      <c r="S303" s="468"/>
      <c r="T303" s="468"/>
      <c r="U303" s="468"/>
      <c r="V303" s="468"/>
      <c r="W303" s="468"/>
      <c r="X303" s="468"/>
      <c r="Y303" s="468"/>
      <c r="Z303" s="468"/>
      <c r="AA303" s="468"/>
      <c r="AB303" s="468"/>
      <c r="AC303" s="468"/>
      <c r="AD303" s="468"/>
      <c r="AE303" s="468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/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/>
      <c r="CI303" s="62"/>
      <c r="CJ303" s="62"/>
      <c r="CK303" s="62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  <c r="DI303" s="62"/>
      <c r="DJ303" s="62"/>
    </row>
    <row r="304" spans="1:114">
      <c r="A304" s="474"/>
      <c r="B304" s="62"/>
      <c r="C304" s="62"/>
      <c r="D304" s="112"/>
      <c r="E304" s="62"/>
      <c r="F304" s="468"/>
      <c r="G304" s="468"/>
      <c r="H304" s="468"/>
      <c r="I304" s="468"/>
      <c r="J304" s="468"/>
      <c r="K304" s="468"/>
      <c r="L304" s="468"/>
      <c r="M304" s="468"/>
      <c r="N304" s="468"/>
      <c r="O304" s="468"/>
      <c r="P304" s="468"/>
      <c r="Q304" s="468"/>
      <c r="R304" s="468"/>
      <c r="S304" s="468"/>
      <c r="T304" s="468"/>
      <c r="U304" s="468"/>
      <c r="V304" s="468"/>
      <c r="W304" s="468"/>
      <c r="X304" s="468"/>
      <c r="Y304" s="468"/>
      <c r="Z304" s="468"/>
      <c r="AA304" s="468"/>
      <c r="AB304" s="468"/>
      <c r="AC304" s="468"/>
      <c r="AD304" s="468"/>
      <c r="AE304" s="468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/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/>
      <c r="CI304" s="62"/>
      <c r="CJ304" s="62"/>
      <c r="CK304" s="62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  <c r="DD304" s="62"/>
      <c r="DE304" s="62"/>
      <c r="DF304" s="62"/>
      <c r="DG304" s="62"/>
      <c r="DH304" s="62"/>
      <c r="DI304" s="62"/>
      <c r="DJ304" s="62"/>
    </row>
    <row r="305" spans="1:114">
      <c r="A305" s="474"/>
      <c r="B305" s="62"/>
      <c r="C305" s="62"/>
      <c r="D305" s="112"/>
      <c r="E305" s="62"/>
      <c r="F305" s="468"/>
      <c r="G305" s="468"/>
      <c r="H305" s="468"/>
      <c r="I305" s="468"/>
      <c r="J305" s="468"/>
      <c r="K305" s="468"/>
      <c r="L305" s="468"/>
      <c r="M305" s="468"/>
      <c r="N305" s="468"/>
      <c r="O305" s="468"/>
      <c r="P305" s="468"/>
      <c r="Q305" s="468"/>
      <c r="R305" s="468"/>
      <c r="S305" s="468"/>
      <c r="T305" s="468"/>
      <c r="U305" s="468"/>
      <c r="V305" s="468"/>
      <c r="W305" s="468"/>
      <c r="X305" s="468"/>
      <c r="Y305" s="468"/>
      <c r="Z305" s="468"/>
      <c r="AA305" s="468"/>
      <c r="AB305" s="468"/>
      <c r="AC305" s="468"/>
      <c r="AD305" s="468"/>
      <c r="AE305" s="468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/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  <c r="CJ305" s="62"/>
      <c r="CK305" s="62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  <c r="DI305" s="62"/>
      <c r="DJ305" s="62"/>
    </row>
    <row r="306" spans="1:114">
      <c r="A306" s="474"/>
      <c r="B306" s="62"/>
      <c r="C306" s="62"/>
      <c r="D306" s="112"/>
      <c r="E306" s="62"/>
      <c r="F306" s="468"/>
      <c r="G306" s="468"/>
      <c r="H306" s="468"/>
      <c r="I306" s="468"/>
      <c r="J306" s="468"/>
      <c r="K306" s="468"/>
      <c r="L306" s="468"/>
      <c r="M306" s="468"/>
      <c r="N306" s="468"/>
      <c r="O306" s="468"/>
      <c r="P306" s="468"/>
      <c r="Q306" s="468"/>
      <c r="R306" s="468"/>
      <c r="S306" s="468"/>
      <c r="T306" s="468"/>
      <c r="U306" s="468"/>
      <c r="V306" s="468"/>
      <c r="W306" s="468"/>
      <c r="X306" s="468"/>
      <c r="Y306" s="468"/>
      <c r="Z306" s="468"/>
      <c r="AA306" s="468"/>
      <c r="AB306" s="468"/>
      <c r="AC306" s="468"/>
      <c r="AD306" s="468"/>
      <c r="AE306" s="468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/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/>
      <c r="CI306" s="62"/>
      <c r="CJ306" s="62"/>
      <c r="CK306" s="62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  <c r="DI306" s="62"/>
      <c r="DJ306" s="62"/>
    </row>
    <row r="307" spans="1:114">
      <c r="A307" s="474"/>
      <c r="B307" s="62"/>
      <c r="C307" s="62"/>
      <c r="D307" s="112"/>
      <c r="E307" s="62"/>
      <c r="F307" s="468"/>
      <c r="G307" s="468"/>
      <c r="H307" s="468"/>
      <c r="I307" s="468"/>
      <c r="J307" s="468"/>
      <c r="K307" s="468"/>
      <c r="L307" s="468"/>
      <c r="M307" s="468"/>
      <c r="N307" s="468"/>
      <c r="O307" s="468"/>
      <c r="P307" s="468"/>
      <c r="Q307" s="468"/>
      <c r="R307" s="468"/>
      <c r="S307" s="468"/>
      <c r="T307" s="468"/>
      <c r="U307" s="468"/>
      <c r="V307" s="468"/>
      <c r="W307" s="468"/>
      <c r="X307" s="468"/>
      <c r="Y307" s="468"/>
      <c r="Z307" s="468"/>
      <c r="AA307" s="468"/>
      <c r="AB307" s="468"/>
      <c r="AC307" s="468"/>
      <c r="AD307" s="468"/>
      <c r="AE307" s="468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/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/>
      <c r="CI307" s="62"/>
      <c r="CJ307" s="62"/>
      <c r="CK307" s="62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  <c r="DD307" s="62"/>
      <c r="DE307" s="62"/>
      <c r="DF307" s="62"/>
      <c r="DG307" s="62"/>
      <c r="DH307" s="62"/>
      <c r="DI307" s="62"/>
      <c r="DJ307" s="62"/>
    </row>
    <row r="308" spans="1:114">
      <c r="A308" s="474"/>
      <c r="B308" s="62"/>
      <c r="C308" s="62"/>
      <c r="D308" s="112"/>
      <c r="E308" s="62"/>
      <c r="F308" s="468"/>
      <c r="G308" s="468"/>
      <c r="H308" s="468"/>
      <c r="I308" s="468"/>
      <c r="J308" s="468"/>
      <c r="K308" s="468"/>
      <c r="L308" s="468"/>
      <c r="M308" s="468"/>
      <c r="N308" s="468"/>
      <c r="O308" s="468"/>
      <c r="P308" s="468"/>
      <c r="Q308" s="468"/>
      <c r="R308" s="468"/>
      <c r="S308" s="468"/>
      <c r="T308" s="468"/>
      <c r="U308" s="468"/>
      <c r="V308" s="468"/>
      <c r="W308" s="468"/>
      <c r="X308" s="468"/>
      <c r="Y308" s="468"/>
      <c r="Z308" s="468"/>
      <c r="AA308" s="468"/>
      <c r="AB308" s="468"/>
      <c r="AC308" s="468"/>
      <c r="AD308" s="468"/>
      <c r="AE308" s="468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/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/>
      <c r="CI308" s="62"/>
      <c r="CJ308" s="62"/>
      <c r="CK308" s="62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  <c r="DD308" s="62"/>
      <c r="DE308" s="62"/>
      <c r="DF308" s="62"/>
      <c r="DG308" s="62"/>
      <c r="DH308" s="62"/>
      <c r="DI308" s="62"/>
      <c r="DJ308" s="62"/>
    </row>
    <row r="309" spans="1:114" hidden="1">
      <c r="A309" s="62"/>
      <c r="B309" s="311" t="s">
        <v>390</v>
      </c>
      <c r="C309" s="311"/>
      <c r="D309" s="312">
        <v>43252</v>
      </c>
      <c r="E309" s="62"/>
      <c r="F309" s="62"/>
      <c r="G309" s="11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/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</row>
    <row r="310" spans="1:114" hidden="1">
      <c r="A310" s="62"/>
      <c r="B310" s="311" t="s">
        <v>391</v>
      </c>
      <c r="C310" s="311"/>
      <c r="D310" s="311">
        <v>27</v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/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</row>
    <row r="311" spans="1:114" hidden="1">
      <c r="A311" s="62"/>
      <c r="B311" s="311" t="s">
        <v>392</v>
      </c>
      <c r="C311" s="311"/>
      <c r="D311" s="311">
        <v>33</v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/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</row>
    <row r="312" spans="1:114" hidden="1">
      <c r="A312" s="62"/>
      <c r="B312" s="311" t="s">
        <v>393</v>
      </c>
      <c r="C312" s="311"/>
      <c r="D312" s="312">
        <f>EOMONTH($D$309,D310)</f>
        <v>44104</v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/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</row>
    <row r="313" spans="1:114" hidden="1">
      <c r="A313" s="62"/>
      <c r="B313" s="311" t="s">
        <v>394</v>
      </c>
      <c r="C313" s="311"/>
      <c r="D313" s="312">
        <f>EOMONTH($D$309,D311)</f>
        <v>44286</v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/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</row>
    <row r="314" spans="1:114" hidden="1">
      <c r="A314" s="62"/>
      <c r="B314" s="311"/>
      <c r="C314" s="311"/>
      <c r="D314" s="313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/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</row>
    <row r="315" spans="1:114" hidden="1">
      <c r="A315" s="62"/>
      <c r="B315" s="311"/>
      <c r="C315" s="311"/>
      <c r="D315" s="313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/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</row>
    <row r="316" spans="1:114" hidden="1">
      <c r="A316" s="62"/>
      <c r="B316" s="314" t="s">
        <v>395</v>
      </c>
      <c r="C316" s="311"/>
      <c r="D316" s="313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/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</row>
    <row r="317" spans="1:114" hidden="1" outlineLevel="1">
      <c r="A317" s="62"/>
      <c r="B317" s="314" t="s">
        <v>443</v>
      </c>
      <c r="C317" s="311"/>
      <c r="D317" s="315">
        <f>D332+D339</f>
        <v>97.012535999999983</v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/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</row>
    <row r="318" spans="1:114" s="292" customFormat="1" hidden="1" outlineLevel="1">
      <c r="A318" s="291" t="s">
        <v>444</v>
      </c>
      <c r="B318" s="311"/>
      <c r="C318" s="311"/>
      <c r="D318" s="313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  <c r="AA318" s="291"/>
      <c r="AB318" s="291"/>
      <c r="AC318" s="291"/>
      <c r="AD318" s="291"/>
      <c r="AE318" s="291"/>
      <c r="AF318" s="291"/>
      <c r="AG318" s="291"/>
      <c r="AH318" s="291"/>
      <c r="AI318" s="291"/>
      <c r="AJ318" s="291"/>
      <c r="AK318" s="291"/>
      <c r="AL318" s="291"/>
      <c r="AM318" s="291"/>
      <c r="AN318" s="291"/>
      <c r="AO318" s="291"/>
      <c r="AP318" s="291"/>
      <c r="AQ318" s="291"/>
      <c r="AR318" s="291"/>
      <c r="AS318" s="291"/>
      <c r="AT318" s="291"/>
      <c r="AU318" s="291"/>
      <c r="AV318" s="291"/>
      <c r="AW318" s="291"/>
      <c r="AX318" s="291"/>
      <c r="AY318" s="291"/>
      <c r="AZ318" s="291"/>
      <c r="BA318" s="291"/>
      <c r="BB318" s="291"/>
      <c r="BC318" s="291"/>
      <c r="BD318" s="291"/>
      <c r="BE318" s="291"/>
      <c r="BF318" s="291"/>
      <c r="BG318" s="291"/>
      <c r="BH318" s="291"/>
      <c r="BI318" s="291"/>
      <c r="BJ318" s="291"/>
      <c r="BK318" s="291"/>
      <c r="BL318" s="291"/>
      <c r="BM318" s="291"/>
      <c r="BN318" s="291"/>
      <c r="BO318" s="291"/>
      <c r="BP318" s="291"/>
      <c r="BQ318" s="291"/>
      <c r="BR318" s="291"/>
      <c r="BS318" s="291"/>
      <c r="BT318" s="291"/>
      <c r="BU318" s="291"/>
      <c r="BV318" s="291"/>
      <c r="BW318" s="291"/>
      <c r="BX318" s="291"/>
      <c r="BY318" s="291"/>
      <c r="BZ318" s="291"/>
      <c r="CA318" s="291"/>
      <c r="CB318" s="291"/>
      <c r="CC318" s="291"/>
      <c r="CD318" s="291"/>
      <c r="CE318" s="291"/>
      <c r="CF318" s="291"/>
      <c r="CG318" s="291"/>
    </row>
    <row r="319" spans="1:114" hidden="1" outlineLevel="1">
      <c r="A319" s="62"/>
      <c r="B319" s="314" t="s">
        <v>445</v>
      </c>
      <c r="C319" s="314"/>
      <c r="D319" s="315" t="s">
        <v>446</v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/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</row>
    <row r="320" spans="1:114" hidden="1" outlineLevel="1">
      <c r="A320" s="62"/>
      <c r="B320" s="311" t="s">
        <v>443</v>
      </c>
      <c r="C320" s="311"/>
      <c r="D320" s="313">
        <v>48</v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/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</row>
    <row r="321" spans="1:85" hidden="1" outlineLevel="1">
      <c r="A321" s="62"/>
      <c r="B321" s="311" t="s">
        <v>448</v>
      </c>
      <c r="C321" s="316">
        <v>0.1</v>
      </c>
      <c r="D321" s="313">
        <f>D320*C321</f>
        <v>4.8000000000000007</v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/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</row>
    <row r="322" spans="1:85" hidden="1" outlineLevel="1">
      <c r="A322" s="62"/>
      <c r="B322" s="311"/>
      <c r="C322" s="311"/>
      <c r="D322" s="313">
        <f>D320+D321</f>
        <v>52.8</v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/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</row>
    <row r="323" spans="1:85" hidden="1" outlineLevel="1">
      <c r="A323" s="62"/>
      <c r="B323" s="311" t="s">
        <v>407</v>
      </c>
      <c r="C323" s="316">
        <v>0.24</v>
      </c>
      <c r="D323" s="313">
        <f>D322*C323</f>
        <v>12.671999999999999</v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/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</row>
    <row r="324" spans="1:85" hidden="1" outlineLevel="1">
      <c r="A324" s="62"/>
      <c r="B324" s="314" t="s">
        <v>451</v>
      </c>
      <c r="C324" s="314"/>
      <c r="D324" s="315">
        <f>D322+D323</f>
        <v>65.471999999999994</v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/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</row>
    <row r="325" spans="1:85" hidden="1" outlineLevel="1">
      <c r="A325" s="62" t="s">
        <v>452</v>
      </c>
      <c r="B325" s="311"/>
      <c r="C325" s="311"/>
      <c r="D325" s="313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/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</row>
    <row r="326" spans="1:85" hidden="1" outlineLevel="1">
      <c r="A326" s="62"/>
      <c r="B326" s="311" t="s">
        <v>453</v>
      </c>
      <c r="C326" s="311"/>
      <c r="D326" s="313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/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</row>
    <row r="327" spans="1:85" hidden="1" outlineLevel="1">
      <c r="A327" s="62"/>
      <c r="B327" s="311" t="s">
        <v>454</v>
      </c>
      <c r="C327" s="316">
        <v>0.3</v>
      </c>
      <c r="D327" s="313">
        <f>D324*C327</f>
        <v>19.641599999999997</v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/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</row>
    <row r="328" spans="1:85" hidden="1" outlineLevel="1">
      <c r="A328" s="62"/>
      <c r="B328" s="311" t="s">
        <v>456</v>
      </c>
      <c r="C328" s="311" t="s">
        <v>457</v>
      </c>
      <c r="D328" s="313">
        <v>0</v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/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</row>
    <row r="329" spans="1:85" hidden="1" outlineLevel="1">
      <c r="A329" s="62"/>
      <c r="B329" s="311" t="s">
        <v>458</v>
      </c>
      <c r="C329" s="311" t="s">
        <v>457</v>
      </c>
      <c r="D329" s="313">
        <v>0.36</v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/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</row>
    <row r="330" spans="1:85" hidden="1" outlineLevel="1">
      <c r="A330" s="62"/>
      <c r="B330" s="314" t="s">
        <v>459</v>
      </c>
      <c r="C330" s="314"/>
      <c r="D330" s="315">
        <f>SUM(D327:D329)</f>
        <v>20.001599999999996</v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/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</row>
    <row r="331" spans="1:85" hidden="1" outlineLevel="1">
      <c r="A331" s="62" t="s">
        <v>461</v>
      </c>
      <c r="B331" s="311"/>
      <c r="C331" s="311"/>
      <c r="D331" s="313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/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</row>
    <row r="332" spans="1:85" hidden="1" outlineLevel="1">
      <c r="A332" s="62"/>
      <c r="B332" s="311" t="s">
        <v>460</v>
      </c>
      <c r="C332" s="311"/>
      <c r="D332" s="315">
        <f>D324+D330</f>
        <v>85.47359999999999</v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/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</row>
    <row r="333" spans="1:85" hidden="1" outlineLevel="1">
      <c r="A333" s="62"/>
      <c r="B333" s="311"/>
      <c r="C333" s="311"/>
      <c r="D333" s="313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/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</row>
    <row r="334" spans="1:85" hidden="1" outlineLevel="1">
      <c r="A334" s="62"/>
      <c r="B334" s="311" t="s">
        <v>463</v>
      </c>
      <c r="C334" s="316">
        <v>0.05</v>
      </c>
      <c r="D334" s="313">
        <f>$D$332*C334</f>
        <v>4.2736799999999997</v>
      </c>
      <c r="E334" s="62"/>
      <c r="F334" s="62"/>
      <c r="G334" s="11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/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</row>
    <row r="335" spans="1:85" hidden="1" outlineLevel="1">
      <c r="A335" s="62"/>
      <c r="B335" s="311" t="s">
        <v>464</v>
      </c>
      <c r="C335" s="317">
        <v>5.0000000000000001E-3</v>
      </c>
      <c r="D335" s="313">
        <f>$D$332*C335</f>
        <v>0.42736799999999997</v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/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</row>
    <row r="336" spans="1:85" hidden="1" outlineLevel="1">
      <c r="A336" s="62"/>
      <c r="B336" s="311" t="s">
        <v>465</v>
      </c>
      <c r="C336" s="316">
        <v>0.05</v>
      </c>
      <c r="D336" s="313">
        <f>$D$332*C336</f>
        <v>4.2736799999999997</v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/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</row>
    <row r="337" spans="1:85" hidden="1" outlineLevel="1">
      <c r="A337" s="62"/>
      <c r="B337" s="311" t="s">
        <v>466</v>
      </c>
      <c r="C337" s="316">
        <v>0.01</v>
      </c>
      <c r="D337" s="313">
        <f>$D$332*C337</f>
        <v>0.85473599999999994</v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/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</row>
    <row r="338" spans="1:85" hidden="1" outlineLevel="1">
      <c r="A338" s="62"/>
      <c r="B338" s="311" t="s">
        <v>467</v>
      </c>
      <c r="C338" s="316">
        <v>0.02</v>
      </c>
      <c r="D338" s="313">
        <f>$D$332*C338</f>
        <v>1.7094719999999999</v>
      </c>
      <c r="E338" s="62"/>
      <c r="F338" s="62"/>
      <c r="G338" s="115"/>
      <c r="H338" s="115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/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</row>
    <row r="339" spans="1:85" hidden="1">
      <c r="A339" s="62"/>
      <c r="B339" s="311"/>
      <c r="C339" s="311"/>
      <c r="D339" s="315">
        <f>SUM(D334:D338)</f>
        <v>11.538935999999998</v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/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</row>
    <row r="340" spans="1:85" hidden="1">
      <c r="A340" s="62"/>
      <c r="B340" s="311"/>
      <c r="C340" s="311"/>
      <c r="D340" s="313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/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</row>
    <row r="341" spans="1:85" hidden="1">
      <c r="A341" s="62"/>
      <c r="B341" s="314" t="s">
        <v>396</v>
      </c>
      <c r="C341" s="311"/>
      <c r="D341" s="315">
        <f>D358+D365</f>
        <v>615.80378399999995</v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/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</row>
    <row r="342" spans="1:85" hidden="1" outlineLevel="1">
      <c r="A342" s="291" t="s">
        <v>444</v>
      </c>
      <c r="B342" s="311"/>
      <c r="C342" s="311"/>
      <c r="D342" s="313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/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</row>
    <row r="343" spans="1:85" hidden="1" outlineLevel="1">
      <c r="A343" s="62"/>
      <c r="B343" s="314" t="s">
        <v>445</v>
      </c>
      <c r="C343" s="314"/>
      <c r="D343" s="315" t="s">
        <v>446</v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/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</row>
    <row r="344" spans="1:85" hidden="1" outlineLevel="1">
      <c r="A344" s="62"/>
      <c r="B344" s="311" t="s">
        <v>447</v>
      </c>
      <c r="C344" s="311"/>
      <c r="D344" s="313">
        <f>294</f>
        <v>294</v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/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</row>
    <row r="345" spans="1:85" hidden="1" outlineLevel="1">
      <c r="A345" s="62"/>
      <c r="B345" s="311" t="s">
        <v>449</v>
      </c>
      <c r="C345" s="311"/>
      <c r="D345" s="313">
        <f>25</f>
        <v>25</v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/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</row>
    <row r="346" spans="1:85" hidden="1" outlineLevel="1">
      <c r="A346" s="62"/>
      <c r="B346" s="311" t="s">
        <v>450</v>
      </c>
      <c r="C346" s="311"/>
      <c r="D346" s="313">
        <f>24</f>
        <v>24</v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/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</row>
    <row r="347" spans="1:85" hidden="1" outlineLevel="1">
      <c r="A347" s="62"/>
      <c r="B347" s="314"/>
      <c r="C347" s="314"/>
      <c r="D347" s="315">
        <f>SUM(D344:D346)</f>
        <v>343</v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/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</row>
    <row r="348" spans="1:85" hidden="1" outlineLevel="1">
      <c r="A348" s="62"/>
      <c r="B348" s="311" t="s">
        <v>407</v>
      </c>
      <c r="C348" s="311"/>
      <c r="D348" s="313">
        <f>D347*24%</f>
        <v>82.32</v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/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</row>
    <row r="349" spans="1:85" hidden="1" outlineLevel="1">
      <c r="A349" s="62"/>
      <c r="B349" s="314" t="s">
        <v>451</v>
      </c>
      <c r="C349" s="314"/>
      <c r="D349" s="315">
        <f>D347+D348</f>
        <v>425.32</v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/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</row>
    <row r="350" spans="1:85" hidden="1" outlineLevel="1">
      <c r="A350" s="62"/>
      <c r="B350" s="311"/>
      <c r="C350" s="311"/>
      <c r="D350" s="313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/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</row>
    <row r="351" spans="1:85" hidden="1" outlineLevel="1">
      <c r="A351" s="291" t="s">
        <v>452</v>
      </c>
      <c r="B351" s="311"/>
      <c r="C351" s="311"/>
      <c r="D351" s="313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/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</row>
    <row r="352" spans="1:85" hidden="1" outlineLevel="1">
      <c r="A352" s="62"/>
      <c r="B352" s="314" t="s">
        <v>453</v>
      </c>
      <c r="C352" s="311"/>
      <c r="D352" s="313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/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</row>
    <row r="353" spans="1:85" hidden="1" outlineLevel="1">
      <c r="A353" s="62"/>
      <c r="B353" s="311" t="s">
        <v>455</v>
      </c>
      <c r="C353" s="316">
        <v>0.12</v>
      </c>
      <c r="D353" s="313">
        <f>D349*C353</f>
        <v>51.038399999999996</v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/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</row>
    <row r="354" spans="1:85" hidden="1" outlineLevel="1">
      <c r="A354" s="62"/>
      <c r="B354" s="311" t="s">
        <v>456</v>
      </c>
      <c r="C354" s="311" t="s">
        <v>457</v>
      </c>
      <c r="D354" s="313">
        <f>50</f>
        <v>50</v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/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</row>
    <row r="355" spans="1:85" hidden="1" outlineLevel="1">
      <c r="A355" s="62"/>
      <c r="B355" s="311" t="s">
        <v>458</v>
      </c>
      <c r="C355" s="311" t="s">
        <v>457</v>
      </c>
      <c r="D355" s="313">
        <f>(30000*5400)/10^7</f>
        <v>16.2</v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/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</row>
    <row r="356" spans="1:85" hidden="1" outlineLevel="1">
      <c r="A356" s="62"/>
      <c r="B356" s="314" t="s">
        <v>459</v>
      </c>
      <c r="C356" s="314"/>
      <c r="D356" s="315">
        <f>SUM(D353:D355)</f>
        <v>117.2384</v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/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</row>
    <row r="357" spans="1:85" hidden="1" outlineLevel="1">
      <c r="A357" s="291" t="s">
        <v>461</v>
      </c>
      <c r="B357" s="311"/>
      <c r="C357" s="311"/>
      <c r="D357" s="313"/>
      <c r="E357" s="62"/>
      <c r="F357" s="115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/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</row>
    <row r="358" spans="1:85" hidden="1" outlineLevel="1">
      <c r="A358" s="62"/>
      <c r="B358" s="314" t="s">
        <v>460</v>
      </c>
      <c r="C358" s="311"/>
      <c r="D358" s="315">
        <f>D349+D356</f>
        <v>542.55840000000001</v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/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</row>
    <row r="359" spans="1:85" hidden="1" outlineLevel="1">
      <c r="A359" s="62"/>
      <c r="B359" s="311"/>
      <c r="C359" s="311"/>
      <c r="D359" s="313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/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</row>
    <row r="360" spans="1:85" hidden="1" outlineLevel="1">
      <c r="A360" s="62"/>
      <c r="B360" s="311" t="s">
        <v>463</v>
      </c>
      <c r="C360" s="316">
        <v>0.05</v>
      </c>
      <c r="D360" s="313">
        <f>$D$358*C360</f>
        <v>27.127920000000003</v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/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</row>
    <row r="361" spans="1:85" hidden="1" outlineLevel="1">
      <c r="A361" s="62"/>
      <c r="B361" s="311" t="s">
        <v>464</v>
      </c>
      <c r="C361" s="317">
        <v>5.0000000000000001E-3</v>
      </c>
      <c r="D361" s="313">
        <f>$D$358*C361</f>
        <v>2.7127919999999999</v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/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</row>
    <row r="362" spans="1:85" hidden="1" outlineLevel="1">
      <c r="A362" s="62"/>
      <c r="B362" s="311" t="s">
        <v>465</v>
      </c>
      <c r="C362" s="316">
        <v>0.05</v>
      </c>
      <c r="D362" s="313">
        <f>$D$358*C362</f>
        <v>27.127920000000003</v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/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</row>
    <row r="363" spans="1:85" hidden="1" outlineLevel="1">
      <c r="A363" s="62"/>
      <c r="B363" s="311" t="s">
        <v>466</v>
      </c>
      <c r="C363" s="316">
        <v>0.01</v>
      </c>
      <c r="D363" s="313">
        <f>$D$358*C363</f>
        <v>5.4255839999999997</v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/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</row>
    <row r="364" spans="1:85" hidden="1" outlineLevel="1">
      <c r="A364" s="62"/>
      <c r="B364" s="311" t="s">
        <v>467</v>
      </c>
      <c r="C364" s="316">
        <v>0.02</v>
      </c>
      <c r="D364" s="313">
        <f>$D$358*C364</f>
        <v>10.851167999999999</v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/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</row>
    <row r="365" spans="1:85" hidden="1">
      <c r="A365" s="62"/>
      <c r="B365" s="311"/>
      <c r="C365" s="311"/>
      <c r="D365" s="315">
        <f>SUM(D360:D364)</f>
        <v>73.245384000000001</v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/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</row>
    <row r="366" spans="1:85" hidden="1">
      <c r="A366" s="62"/>
      <c r="B366" s="311"/>
      <c r="C366" s="311"/>
      <c r="D366" s="313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/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</row>
    <row r="367" spans="1:85" hidden="1">
      <c r="A367" s="62"/>
      <c r="B367" s="311"/>
      <c r="C367" s="311"/>
      <c r="D367" s="313"/>
      <c r="E367" s="115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/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</row>
    <row r="368" spans="1:85" hidden="1" outlineLevel="1">
      <c r="A368" s="62"/>
      <c r="B368" s="314" t="s">
        <v>511</v>
      </c>
      <c r="C368" s="311"/>
      <c r="D368" s="313"/>
      <c r="E368" s="115"/>
      <c r="F368" s="115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/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</row>
    <row r="369" spans="1:85" hidden="1" outlineLevel="1">
      <c r="A369" s="62"/>
      <c r="B369" s="311" t="s">
        <v>158</v>
      </c>
      <c r="C369" s="311"/>
      <c r="D369" s="318">
        <v>0.25</v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/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</row>
    <row r="370" spans="1:85" hidden="1" outlineLevel="1">
      <c r="A370" s="62"/>
      <c r="B370" s="319" t="s">
        <v>420</v>
      </c>
      <c r="C370" s="316">
        <v>0.5</v>
      </c>
      <c r="D370" s="313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/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</row>
    <row r="371" spans="1:85" hidden="1" outlineLevel="1">
      <c r="A371" s="62"/>
      <c r="B371" s="311" t="s">
        <v>342</v>
      </c>
      <c r="C371" s="311"/>
      <c r="D371" s="318">
        <f>1-D369</f>
        <v>0.75</v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/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</row>
    <row r="372" spans="1:85" hidden="1" outlineLevel="1">
      <c r="A372" s="62"/>
      <c r="B372" s="311" t="s">
        <v>343</v>
      </c>
      <c r="C372" s="311"/>
      <c r="D372" s="318">
        <v>0.12</v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/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</row>
    <row r="373" spans="1:85" hidden="1" outlineLevel="1">
      <c r="A373" s="62"/>
      <c r="B373" s="311" t="s">
        <v>429</v>
      </c>
      <c r="C373" s="311" t="s">
        <v>428</v>
      </c>
      <c r="D373" s="320">
        <v>12</v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/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</row>
    <row r="374" spans="1:85" hidden="1" outlineLevel="1">
      <c r="A374" s="62"/>
      <c r="B374" s="311" t="s">
        <v>434</v>
      </c>
      <c r="C374" s="311"/>
      <c r="D374" s="313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/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</row>
    <row r="375" spans="1:85" hidden="1" outlineLevel="1">
      <c r="A375" s="62"/>
      <c r="B375" s="311" t="s">
        <v>430</v>
      </c>
      <c r="C375" s="311"/>
      <c r="D375" s="321">
        <f>EOMONTH(D313,D373)</f>
        <v>44651</v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/>
      <c r="BV375" s="62"/>
      <c r="BW375" s="62"/>
      <c r="BX375" s="62"/>
      <c r="BY375" s="62"/>
      <c r="BZ375" s="62"/>
      <c r="CA375" s="62"/>
      <c r="CB375" s="62"/>
      <c r="CC375" s="62"/>
      <c r="CD375" s="62"/>
      <c r="CE375" s="62"/>
      <c r="CF375" s="62"/>
      <c r="CG375" s="62"/>
    </row>
    <row r="376" spans="1:85" hidden="1" outlineLevel="1">
      <c r="A376" s="62"/>
      <c r="B376" s="311" t="s">
        <v>512</v>
      </c>
      <c r="C376" s="311"/>
      <c r="D376" s="321">
        <v>49217</v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/>
      <c r="BV376" s="62"/>
      <c r="BW376" s="62"/>
      <c r="BX376" s="62"/>
      <c r="BY376" s="62"/>
      <c r="BZ376" s="62"/>
      <c r="CA376" s="62"/>
      <c r="CB376" s="62"/>
      <c r="CC376" s="62"/>
      <c r="CD376" s="62"/>
      <c r="CE376" s="62"/>
      <c r="CF376" s="62"/>
      <c r="CG376" s="62"/>
    </row>
    <row r="377" spans="1:85" hidden="1">
      <c r="A377" s="62"/>
      <c r="B377" s="311" t="s">
        <v>437</v>
      </c>
      <c r="C377" s="311"/>
      <c r="D377" s="313" t="s">
        <v>441</v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/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</row>
    <row r="378" spans="1:85" hidden="1">
      <c r="A378" s="62"/>
      <c r="B378" s="62"/>
      <c r="C378" s="62"/>
      <c r="D378" s="11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/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</row>
    <row r="379" spans="1:85" hidden="1">
      <c r="A379" s="62"/>
      <c r="B379" s="62"/>
      <c r="C379" s="62"/>
      <c r="D379" s="11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/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</row>
    <row r="380" spans="1:85" hidden="1" outlineLevel="1">
      <c r="A380" s="62"/>
      <c r="B380" s="291" t="s">
        <v>513</v>
      </c>
      <c r="C380" s="62"/>
      <c r="D380" s="112"/>
      <c r="E380" s="322">
        <f>[57]Financials!D2</f>
        <v>42460</v>
      </c>
      <c r="F380" s="322">
        <f>[57]Financials!E2</f>
        <v>42825</v>
      </c>
      <c r="G380" s="322">
        <f>[57]Financials!F2</f>
        <v>43190</v>
      </c>
      <c r="H380" s="322">
        <f>[57]Financials!G2</f>
        <v>43555</v>
      </c>
      <c r="I380" s="322">
        <f>[57]Financials!H2</f>
        <v>43921</v>
      </c>
      <c r="J380" s="322">
        <f>[57]Financials!I2</f>
        <v>44286</v>
      </c>
      <c r="K380" s="322">
        <f>[57]Financials!J2</f>
        <v>44651</v>
      </c>
      <c r="L380" s="322">
        <f>[57]Financials!K2</f>
        <v>45016</v>
      </c>
      <c r="M380" s="322">
        <f>[57]Financials!L2</f>
        <v>45382</v>
      </c>
      <c r="N380" s="322">
        <f>[57]Financials!M2</f>
        <v>45747</v>
      </c>
      <c r="O380" s="322">
        <f>[57]Financials!N2</f>
        <v>46112</v>
      </c>
      <c r="P380" s="322">
        <f>[57]Financials!O2</f>
        <v>46477</v>
      </c>
      <c r="Q380" s="322">
        <f>[57]Financials!P2</f>
        <v>46843</v>
      </c>
      <c r="R380" s="322">
        <f>[57]Financials!Q2</f>
        <v>47208</v>
      </c>
      <c r="S380" s="322">
        <f>[57]Financials!R2</f>
        <v>47573</v>
      </c>
      <c r="T380" s="322">
        <f>[57]Financials!S2</f>
        <v>47938</v>
      </c>
      <c r="U380" s="322">
        <f>[57]Financials!T2</f>
        <v>48304</v>
      </c>
      <c r="V380" s="322">
        <f>[57]Financials!U2</f>
        <v>48669</v>
      </c>
      <c r="W380" s="322">
        <f>[57]Financials!V2</f>
        <v>49034</v>
      </c>
      <c r="X380" s="322">
        <f>[57]Financials!W2</f>
        <v>49399</v>
      </c>
      <c r="Y380" s="322"/>
      <c r="Z380" s="322"/>
      <c r="AA380" s="322"/>
      <c r="AB380" s="322"/>
      <c r="AC380" s="322"/>
      <c r="AD380" s="322"/>
      <c r="AE380" s="322"/>
      <c r="AF380" s="322"/>
      <c r="AG380" s="322"/>
      <c r="AH380" s="322"/>
      <c r="AI380" s="322"/>
      <c r="AJ380" s="322"/>
      <c r="AK380" s="322"/>
      <c r="AL380" s="322"/>
      <c r="AM380" s="322"/>
      <c r="AN380" s="322"/>
      <c r="AO380" s="322"/>
      <c r="AP380" s="322"/>
      <c r="AQ380" s="322"/>
      <c r="AR380" s="322"/>
      <c r="AS380" s="322"/>
      <c r="AT380" s="322"/>
      <c r="AU380" s="322"/>
      <c r="AV380" s="322"/>
      <c r="AW380" s="322"/>
      <c r="AX380" s="322"/>
      <c r="AY380" s="322"/>
      <c r="AZ380" s="322"/>
      <c r="BA380" s="322"/>
      <c r="BB380" s="322"/>
      <c r="BC380" s="322"/>
      <c r="BD380" s="322"/>
      <c r="BE380" s="322"/>
      <c r="BF380" s="322"/>
      <c r="BG380" s="322"/>
      <c r="BH380" s="322"/>
      <c r="BI380" s="322"/>
      <c r="BJ380" s="322"/>
      <c r="BK380" s="322"/>
      <c r="BL380" s="322"/>
      <c r="BM380" s="322"/>
      <c r="BN380" s="322"/>
      <c r="BO380" s="322"/>
      <c r="BP380" s="322"/>
      <c r="BQ380" s="322"/>
      <c r="BR380" s="322"/>
      <c r="BS380" s="322"/>
      <c r="BT380" s="322"/>
      <c r="BU380" s="322"/>
      <c r="BV380" s="322"/>
      <c r="BW380" s="322"/>
      <c r="BX380" s="322"/>
      <c r="BY380" s="322"/>
      <c r="BZ380" s="322"/>
      <c r="CA380" s="322"/>
      <c r="CB380" s="322"/>
      <c r="CC380" s="322"/>
      <c r="CD380" s="322"/>
      <c r="CE380" s="322"/>
      <c r="CF380" s="322"/>
      <c r="CG380" s="322"/>
    </row>
    <row r="381" spans="1:85" hidden="1" outlineLevel="1">
      <c r="A381" s="62"/>
      <c r="B381" s="314"/>
      <c r="C381" s="311"/>
      <c r="D381" s="313"/>
      <c r="E381" s="311">
        <f>YEAR(E380)</f>
        <v>2016</v>
      </c>
      <c r="F381" s="311">
        <f t="shared" ref="F381:X381" si="68">YEAR(F380)</f>
        <v>2017</v>
      </c>
      <c r="G381" s="311">
        <f t="shared" si="68"/>
        <v>2018</v>
      </c>
      <c r="H381" s="311">
        <f t="shared" si="68"/>
        <v>2019</v>
      </c>
      <c r="I381" s="311">
        <f t="shared" si="68"/>
        <v>2020</v>
      </c>
      <c r="J381" s="311">
        <f t="shared" si="68"/>
        <v>2021</v>
      </c>
      <c r="K381" s="311">
        <f t="shared" si="68"/>
        <v>2022</v>
      </c>
      <c r="L381" s="311">
        <f t="shared" si="68"/>
        <v>2023</v>
      </c>
      <c r="M381" s="311">
        <f t="shared" si="68"/>
        <v>2024</v>
      </c>
      <c r="N381" s="311">
        <f t="shared" si="68"/>
        <v>2025</v>
      </c>
      <c r="O381" s="311">
        <f t="shared" si="68"/>
        <v>2026</v>
      </c>
      <c r="P381" s="311">
        <f t="shared" si="68"/>
        <v>2027</v>
      </c>
      <c r="Q381" s="311">
        <f t="shared" si="68"/>
        <v>2028</v>
      </c>
      <c r="R381" s="311">
        <f t="shared" si="68"/>
        <v>2029</v>
      </c>
      <c r="S381" s="311">
        <f t="shared" si="68"/>
        <v>2030</v>
      </c>
      <c r="T381" s="311">
        <f t="shared" si="68"/>
        <v>2031</v>
      </c>
      <c r="U381" s="311">
        <f t="shared" si="68"/>
        <v>2032</v>
      </c>
      <c r="V381" s="311">
        <f t="shared" si="68"/>
        <v>2033</v>
      </c>
      <c r="W381" s="311">
        <f t="shared" si="68"/>
        <v>2034</v>
      </c>
      <c r="X381" s="311">
        <f t="shared" si="68"/>
        <v>2035</v>
      </c>
      <c r="Y381" s="311"/>
      <c r="Z381" s="311"/>
      <c r="AA381" s="311"/>
      <c r="AB381" s="311"/>
      <c r="AC381" s="311"/>
      <c r="AD381" s="311"/>
      <c r="AE381" s="311"/>
      <c r="AF381" s="311"/>
      <c r="AG381" s="311"/>
      <c r="AH381" s="311"/>
      <c r="AI381" s="311"/>
      <c r="AJ381" s="311"/>
      <c r="AK381" s="311"/>
      <c r="AL381" s="311"/>
      <c r="AM381" s="311"/>
      <c r="AN381" s="311"/>
      <c r="AO381" s="311"/>
      <c r="AP381" s="311"/>
      <c r="AQ381" s="311"/>
      <c r="AR381" s="311"/>
      <c r="AS381" s="311"/>
      <c r="AT381" s="311"/>
      <c r="AU381" s="311"/>
      <c r="AV381" s="311"/>
      <c r="AW381" s="311"/>
      <c r="AX381" s="311"/>
      <c r="AY381" s="311"/>
      <c r="AZ381" s="311"/>
      <c r="BA381" s="311"/>
      <c r="BB381" s="311"/>
      <c r="BC381" s="311"/>
      <c r="BD381" s="311"/>
      <c r="BE381" s="311"/>
      <c r="BF381" s="311"/>
      <c r="BG381" s="311"/>
      <c r="BH381" s="311"/>
      <c r="BI381" s="311"/>
      <c r="BJ381" s="311"/>
      <c r="BK381" s="311"/>
      <c r="BL381" s="311"/>
      <c r="BM381" s="311"/>
      <c r="BN381" s="311"/>
      <c r="BO381" s="311"/>
      <c r="BP381" s="311"/>
      <c r="BQ381" s="311"/>
      <c r="BR381" s="311"/>
      <c r="BS381" s="311"/>
      <c r="BT381" s="311"/>
      <c r="BU381" s="311"/>
      <c r="BV381" s="311"/>
      <c r="BW381" s="311"/>
      <c r="BX381" s="311"/>
      <c r="BY381" s="311"/>
      <c r="BZ381" s="311"/>
      <c r="CA381" s="311"/>
      <c r="CB381" s="311"/>
      <c r="CC381" s="311"/>
      <c r="CD381" s="311"/>
      <c r="CE381" s="311"/>
      <c r="CF381" s="311"/>
      <c r="CG381" s="311"/>
    </row>
    <row r="382" spans="1:85" hidden="1" outlineLevel="1">
      <c r="A382" s="62"/>
      <c r="B382" s="314"/>
      <c r="C382" s="311"/>
      <c r="D382" s="313"/>
      <c r="E382" s="311"/>
      <c r="F382" s="311"/>
      <c r="G382" s="316">
        <f>AVERAGE([57]Input!B4:B5)</f>
        <v>0.77500000000000002</v>
      </c>
      <c r="H382" s="316">
        <f>AVERAGE([57]Input!C4:C5)</f>
        <v>0.77500000000000002</v>
      </c>
      <c r="I382" s="316">
        <f>AVERAGE([57]Input!D4:D5)</f>
        <v>0.77500000000000002</v>
      </c>
      <c r="J382" s="316">
        <f>AVERAGE([57]Input!E4:E5)</f>
        <v>0.85</v>
      </c>
      <c r="K382" s="316">
        <f>AVERAGE([57]Input!F4:F5)</f>
        <v>0.85</v>
      </c>
      <c r="L382" s="316">
        <f>AVERAGE([57]Input!G4:G5)</f>
        <v>0.85</v>
      </c>
      <c r="M382" s="316">
        <f>AVERAGE([57]Input!H4:H5)</f>
        <v>0.85</v>
      </c>
      <c r="N382" s="316">
        <f>AVERAGE([57]Input!I4:I5)</f>
        <v>0.85</v>
      </c>
      <c r="O382" s="316">
        <f>AVERAGE([57]Input!J4:J5)</f>
        <v>0.85</v>
      </c>
      <c r="P382" s="316">
        <f>AVERAGE([57]Input!K4:K5)</f>
        <v>0.85</v>
      </c>
      <c r="Q382" s="316">
        <f>AVERAGE([57]Input!L4:L5)</f>
        <v>0.85</v>
      </c>
      <c r="R382" s="316">
        <f>AVERAGE([57]Input!M4:M5)</f>
        <v>0.85</v>
      </c>
      <c r="S382" s="316">
        <f>AVERAGE([57]Input!N4:N5)</f>
        <v>0.85</v>
      </c>
      <c r="T382" s="316">
        <f>AVERAGE([57]Input!O4:O5)</f>
        <v>0.85</v>
      </c>
      <c r="U382" s="316">
        <f>AVERAGE([57]Input!P4:P5)</f>
        <v>0.85</v>
      </c>
      <c r="V382" s="316">
        <f>AVERAGE([57]Input!Q4:Q5)</f>
        <v>0.85</v>
      </c>
      <c r="W382" s="316">
        <f>AVERAGE([57]Input!R4:R5)</f>
        <v>0.85</v>
      </c>
      <c r="X382" s="316">
        <f>AVERAGE([57]Input!S4:S5)</f>
        <v>0.85</v>
      </c>
      <c r="Y382" s="316"/>
      <c r="Z382" s="316"/>
      <c r="AA382" s="316"/>
      <c r="AB382" s="316"/>
      <c r="AC382" s="316"/>
      <c r="AD382" s="316"/>
      <c r="AE382" s="316"/>
      <c r="AF382" s="316"/>
      <c r="AG382" s="316"/>
      <c r="AH382" s="316"/>
      <c r="AI382" s="316"/>
      <c r="AJ382" s="316"/>
      <c r="AK382" s="316"/>
      <c r="AL382" s="316"/>
      <c r="AM382" s="316"/>
      <c r="AN382" s="316"/>
      <c r="AO382" s="316"/>
      <c r="AP382" s="316"/>
      <c r="AQ382" s="316"/>
      <c r="AR382" s="316"/>
      <c r="AS382" s="316"/>
      <c r="AT382" s="316"/>
      <c r="AU382" s="316"/>
      <c r="AV382" s="316"/>
      <c r="AW382" s="316"/>
      <c r="AX382" s="316"/>
      <c r="AY382" s="316"/>
      <c r="AZ382" s="316"/>
      <c r="BA382" s="316"/>
      <c r="BB382" s="316"/>
      <c r="BC382" s="316"/>
      <c r="BD382" s="316"/>
      <c r="BE382" s="316"/>
      <c r="BF382" s="316"/>
      <c r="BG382" s="316"/>
      <c r="BH382" s="316"/>
      <c r="BI382" s="316"/>
      <c r="BJ382" s="316"/>
      <c r="BK382" s="316"/>
      <c r="BL382" s="316"/>
      <c r="BM382" s="316"/>
      <c r="BN382" s="316"/>
      <c r="BO382" s="316"/>
      <c r="BP382" s="316"/>
      <c r="BQ382" s="316"/>
      <c r="BR382" s="316"/>
      <c r="BS382" s="316"/>
      <c r="BT382" s="316"/>
      <c r="BU382" s="316"/>
      <c r="BV382" s="316"/>
      <c r="BW382" s="316"/>
      <c r="BX382" s="316"/>
      <c r="BY382" s="316"/>
      <c r="BZ382" s="316"/>
      <c r="CA382" s="316"/>
      <c r="CB382" s="316"/>
      <c r="CC382" s="316"/>
      <c r="CD382" s="316"/>
      <c r="CE382" s="316"/>
      <c r="CF382" s="316"/>
      <c r="CG382" s="316"/>
    </row>
    <row r="383" spans="1:85" hidden="1" outlineLevel="1">
      <c r="A383" s="62"/>
      <c r="B383" s="314" t="s">
        <v>52</v>
      </c>
      <c r="C383" s="311"/>
      <c r="D383" s="313"/>
      <c r="E383" s="311"/>
      <c r="F383" s="311"/>
      <c r="G383" s="311"/>
      <c r="H383" s="311"/>
      <c r="I383" s="311"/>
      <c r="J383" s="311"/>
      <c r="K383" s="311"/>
      <c r="L383" s="311"/>
      <c r="M383" s="311"/>
      <c r="N383" s="311"/>
      <c r="O383" s="311"/>
      <c r="P383" s="311"/>
      <c r="Q383" s="311"/>
      <c r="R383" s="311"/>
      <c r="S383" s="311"/>
      <c r="T383" s="311"/>
      <c r="U383" s="311"/>
      <c r="V383" s="311"/>
      <c r="W383" s="311"/>
      <c r="X383" s="311"/>
      <c r="Y383" s="311"/>
      <c r="Z383" s="311"/>
      <c r="AA383" s="311"/>
      <c r="AB383" s="311"/>
      <c r="AC383" s="311"/>
      <c r="AD383" s="311"/>
      <c r="AE383" s="311"/>
      <c r="AF383" s="311"/>
      <c r="AG383" s="311"/>
      <c r="AH383" s="311"/>
      <c r="AI383" s="311"/>
      <c r="AJ383" s="311"/>
      <c r="AK383" s="311"/>
      <c r="AL383" s="311"/>
      <c r="AM383" s="311"/>
      <c r="AN383" s="311"/>
      <c r="AO383" s="311"/>
      <c r="AP383" s="311"/>
      <c r="AQ383" s="311"/>
      <c r="AR383" s="311"/>
      <c r="AS383" s="311"/>
      <c r="AT383" s="311"/>
      <c r="AU383" s="311"/>
      <c r="AV383" s="311"/>
      <c r="AW383" s="311"/>
      <c r="AX383" s="311"/>
      <c r="AY383" s="311"/>
      <c r="AZ383" s="311"/>
      <c r="BA383" s="311"/>
      <c r="BB383" s="311"/>
      <c r="BC383" s="311"/>
      <c r="BD383" s="311"/>
      <c r="BE383" s="311"/>
      <c r="BF383" s="311"/>
      <c r="BG383" s="311"/>
      <c r="BH383" s="311"/>
      <c r="BI383" s="311"/>
      <c r="BJ383" s="311"/>
      <c r="BK383" s="311"/>
      <c r="BL383" s="311"/>
      <c r="BM383" s="311"/>
      <c r="BN383" s="311"/>
      <c r="BO383" s="311"/>
      <c r="BP383" s="311"/>
      <c r="BQ383" s="311"/>
      <c r="BR383" s="311"/>
      <c r="BS383" s="311"/>
      <c r="BT383" s="311"/>
      <c r="BU383" s="311"/>
      <c r="BV383" s="311"/>
      <c r="BW383" s="311"/>
      <c r="BX383" s="311"/>
      <c r="BY383" s="311"/>
      <c r="BZ383" s="311"/>
      <c r="CA383" s="311"/>
      <c r="CB383" s="311"/>
      <c r="CC383" s="311"/>
      <c r="CD383" s="311"/>
      <c r="CE383" s="311"/>
      <c r="CF383" s="311"/>
      <c r="CG383" s="311"/>
    </row>
    <row r="384" spans="1:85" hidden="1" outlineLevel="1">
      <c r="A384" s="62"/>
      <c r="B384" s="314"/>
      <c r="C384" s="311"/>
      <c r="D384" s="313"/>
      <c r="E384" s="311"/>
      <c r="F384" s="311"/>
      <c r="G384" s="311"/>
      <c r="H384" s="311"/>
      <c r="I384" s="311"/>
      <c r="J384" s="311"/>
      <c r="K384" s="311"/>
      <c r="L384" s="311"/>
      <c r="M384" s="311"/>
      <c r="N384" s="311"/>
      <c r="O384" s="311"/>
      <c r="P384" s="311"/>
      <c r="Q384" s="311"/>
      <c r="R384" s="311"/>
      <c r="S384" s="311"/>
      <c r="T384" s="311"/>
      <c r="U384" s="311"/>
      <c r="V384" s="311"/>
      <c r="W384" s="311"/>
      <c r="X384" s="311"/>
      <c r="Y384" s="311"/>
      <c r="Z384" s="311"/>
      <c r="AA384" s="311"/>
      <c r="AB384" s="311"/>
      <c r="AC384" s="311"/>
      <c r="AD384" s="311"/>
      <c r="AE384" s="311"/>
      <c r="AF384" s="311"/>
      <c r="AG384" s="311"/>
      <c r="AH384" s="311"/>
      <c r="AI384" s="311"/>
      <c r="AJ384" s="311"/>
      <c r="AK384" s="311"/>
      <c r="AL384" s="311"/>
      <c r="AM384" s="311"/>
      <c r="AN384" s="311"/>
      <c r="AO384" s="311"/>
      <c r="AP384" s="311"/>
      <c r="AQ384" s="311"/>
      <c r="AR384" s="311"/>
      <c r="AS384" s="311"/>
      <c r="AT384" s="311"/>
      <c r="AU384" s="311"/>
      <c r="AV384" s="311"/>
      <c r="AW384" s="311"/>
      <c r="AX384" s="311"/>
      <c r="AY384" s="311"/>
      <c r="AZ384" s="311"/>
      <c r="BA384" s="311"/>
      <c r="BB384" s="311"/>
      <c r="BC384" s="311"/>
      <c r="BD384" s="311"/>
      <c r="BE384" s="311"/>
      <c r="BF384" s="311"/>
      <c r="BG384" s="311"/>
      <c r="BH384" s="311"/>
      <c r="BI384" s="311"/>
      <c r="BJ384" s="311"/>
      <c r="BK384" s="311"/>
      <c r="BL384" s="311"/>
      <c r="BM384" s="311"/>
      <c r="BN384" s="311"/>
      <c r="BO384" s="311"/>
      <c r="BP384" s="311"/>
      <c r="BQ384" s="311"/>
      <c r="BR384" s="311"/>
      <c r="BS384" s="311"/>
      <c r="BT384" s="311"/>
      <c r="BU384" s="311"/>
      <c r="BV384" s="311"/>
      <c r="BW384" s="311"/>
      <c r="BX384" s="311"/>
      <c r="BY384" s="311"/>
      <c r="BZ384" s="311"/>
      <c r="CA384" s="311"/>
      <c r="CB384" s="311"/>
      <c r="CC384" s="311"/>
      <c r="CD384" s="311"/>
      <c r="CE384" s="311"/>
      <c r="CF384" s="311"/>
      <c r="CG384" s="311"/>
    </row>
    <row r="385" spans="1:85" hidden="1" outlineLevel="1">
      <c r="A385" s="62"/>
      <c r="B385" s="314" t="s">
        <v>443</v>
      </c>
      <c r="C385" s="311"/>
      <c r="D385" s="313"/>
      <c r="E385" s="311"/>
      <c r="F385" s="311"/>
      <c r="G385" s="311"/>
      <c r="H385" s="311"/>
      <c r="I385" s="311"/>
      <c r="J385" s="313">
        <f>D386</f>
        <v>0.85473599999999994</v>
      </c>
      <c r="K385" s="313">
        <f t="shared" ref="K385:X385" si="69">J385*(1+$D$387)</f>
        <v>0.89747279999999996</v>
      </c>
      <c r="L385" s="313">
        <f t="shared" si="69"/>
        <v>0.94234644000000001</v>
      </c>
      <c r="M385" s="313">
        <f t="shared" si="69"/>
        <v>0.98946376200000008</v>
      </c>
      <c r="N385" s="313">
        <f t="shared" si="69"/>
        <v>1.0389369501000001</v>
      </c>
      <c r="O385" s="313">
        <f t="shared" si="69"/>
        <v>1.0908837976050001</v>
      </c>
      <c r="P385" s="313">
        <f t="shared" si="69"/>
        <v>1.1454279874852502</v>
      </c>
      <c r="Q385" s="313">
        <f t="shared" si="69"/>
        <v>1.2026993868595128</v>
      </c>
      <c r="R385" s="313">
        <f t="shared" si="69"/>
        <v>1.2628343562024886</v>
      </c>
      <c r="S385" s="313">
        <f t="shared" si="69"/>
        <v>1.3259760740126132</v>
      </c>
      <c r="T385" s="313">
        <f t="shared" si="69"/>
        <v>1.3922748777132439</v>
      </c>
      <c r="U385" s="313">
        <f t="shared" si="69"/>
        <v>1.4618886215989062</v>
      </c>
      <c r="V385" s="313">
        <f t="shared" si="69"/>
        <v>1.5349830526788515</v>
      </c>
      <c r="W385" s="313">
        <f t="shared" si="69"/>
        <v>1.611732205312794</v>
      </c>
      <c r="X385" s="313">
        <f t="shared" si="69"/>
        <v>1.6923188155784339</v>
      </c>
      <c r="Y385" s="313"/>
      <c r="Z385" s="313"/>
      <c r="AA385" s="313"/>
      <c r="AB385" s="313"/>
      <c r="AC385" s="313"/>
      <c r="AD385" s="313"/>
      <c r="AE385" s="313"/>
      <c r="AF385" s="313"/>
      <c r="AG385" s="313"/>
      <c r="AH385" s="313"/>
      <c r="AI385" s="313"/>
      <c r="AJ385" s="313"/>
      <c r="AK385" s="313"/>
      <c r="AL385" s="313"/>
      <c r="AM385" s="313"/>
      <c r="AN385" s="313"/>
      <c r="AO385" s="313"/>
      <c r="AP385" s="313"/>
      <c r="AQ385" s="313"/>
      <c r="AR385" s="313"/>
      <c r="AS385" s="313"/>
      <c r="AT385" s="313"/>
      <c r="AU385" s="313"/>
      <c r="AV385" s="313"/>
      <c r="AW385" s="313"/>
      <c r="AX385" s="313"/>
      <c r="AY385" s="313"/>
      <c r="AZ385" s="313"/>
      <c r="BA385" s="313"/>
      <c r="BB385" s="313"/>
      <c r="BC385" s="313"/>
      <c r="BD385" s="313"/>
      <c r="BE385" s="313"/>
      <c r="BF385" s="313"/>
      <c r="BG385" s="313"/>
      <c r="BH385" s="313"/>
      <c r="BI385" s="313"/>
      <c r="BJ385" s="313"/>
      <c r="BK385" s="313"/>
      <c r="BL385" s="313"/>
      <c r="BM385" s="313"/>
      <c r="BN385" s="313"/>
      <c r="BO385" s="313"/>
      <c r="BP385" s="313"/>
      <c r="BQ385" s="313"/>
      <c r="BR385" s="313"/>
      <c r="BS385" s="313"/>
      <c r="BT385" s="313"/>
      <c r="BU385" s="313"/>
      <c r="BV385" s="313"/>
      <c r="BW385" s="313"/>
      <c r="BX385" s="313"/>
      <c r="BY385" s="313"/>
      <c r="BZ385" s="313"/>
      <c r="CA385" s="313"/>
      <c r="CB385" s="313"/>
      <c r="CC385" s="313"/>
      <c r="CD385" s="313"/>
      <c r="CE385" s="313"/>
      <c r="CF385" s="313"/>
      <c r="CG385" s="313"/>
    </row>
    <row r="386" spans="1:85" hidden="1" outlineLevel="1">
      <c r="A386" s="62"/>
      <c r="B386" s="311" t="s">
        <v>514</v>
      </c>
      <c r="C386" s="318">
        <v>0.01</v>
      </c>
      <c r="D386" s="313">
        <f>IF([57]Input!B1="With FGD",D332*C386,0)</f>
        <v>0.85473599999999994</v>
      </c>
      <c r="E386" s="311"/>
      <c r="F386" s="311"/>
      <c r="G386" s="311"/>
      <c r="H386" s="311"/>
      <c r="I386" s="311"/>
      <c r="J386" s="311"/>
      <c r="K386" s="311"/>
      <c r="L386" s="311"/>
      <c r="M386" s="311"/>
      <c r="N386" s="311"/>
      <c r="O386" s="311"/>
      <c r="P386" s="311"/>
      <c r="Q386" s="311"/>
      <c r="R386" s="311"/>
      <c r="S386" s="311"/>
      <c r="T386" s="311"/>
      <c r="U386" s="311"/>
      <c r="V386" s="311"/>
      <c r="W386" s="311"/>
      <c r="X386" s="311"/>
      <c r="Y386" s="311"/>
      <c r="Z386" s="311"/>
      <c r="AA386" s="311"/>
      <c r="AB386" s="311"/>
      <c r="AC386" s="311"/>
      <c r="AD386" s="311"/>
      <c r="AE386" s="311"/>
      <c r="AF386" s="311"/>
      <c r="AG386" s="311"/>
      <c r="AH386" s="311"/>
      <c r="AI386" s="311"/>
      <c r="AJ386" s="311"/>
      <c r="AK386" s="311"/>
      <c r="AL386" s="311"/>
      <c r="AM386" s="311"/>
      <c r="AN386" s="311"/>
      <c r="AO386" s="311"/>
      <c r="AP386" s="311"/>
      <c r="AQ386" s="311"/>
      <c r="AR386" s="311"/>
      <c r="AS386" s="311"/>
      <c r="AT386" s="311"/>
      <c r="AU386" s="311"/>
      <c r="AV386" s="311"/>
      <c r="AW386" s="311"/>
      <c r="AX386" s="311"/>
      <c r="AY386" s="311"/>
      <c r="AZ386" s="311"/>
      <c r="BA386" s="311"/>
      <c r="BB386" s="311"/>
      <c r="BC386" s="311"/>
      <c r="BD386" s="311"/>
      <c r="BE386" s="311"/>
      <c r="BF386" s="311"/>
      <c r="BG386" s="311"/>
      <c r="BH386" s="311"/>
      <c r="BI386" s="311"/>
      <c r="BJ386" s="311"/>
      <c r="BK386" s="311"/>
      <c r="BL386" s="311"/>
      <c r="BM386" s="311"/>
      <c r="BN386" s="311"/>
      <c r="BO386" s="311"/>
      <c r="BP386" s="311"/>
      <c r="BQ386" s="311"/>
      <c r="BR386" s="311"/>
      <c r="BS386" s="311"/>
      <c r="BT386" s="311"/>
      <c r="BU386" s="311"/>
      <c r="BV386" s="311"/>
      <c r="BW386" s="311"/>
      <c r="BX386" s="311"/>
      <c r="BY386" s="311"/>
      <c r="BZ386" s="311"/>
      <c r="CA386" s="311"/>
      <c r="CB386" s="311"/>
      <c r="CC386" s="311"/>
      <c r="CD386" s="311"/>
      <c r="CE386" s="311"/>
      <c r="CF386" s="311"/>
      <c r="CG386" s="311"/>
    </row>
    <row r="387" spans="1:85" hidden="1" outlineLevel="1">
      <c r="A387" s="62"/>
      <c r="B387" s="311" t="s">
        <v>482</v>
      </c>
      <c r="C387" s="311"/>
      <c r="D387" s="316">
        <v>0.05</v>
      </c>
      <c r="E387" s="311"/>
      <c r="F387" s="311"/>
      <c r="G387" s="311"/>
      <c r="H387" s="311"/>
      <c r="I387" s="311"/>
      <c r="J387" s="311"/>
      <c r="K387" s="311"/>
      <c r="L387" s="311"/>
      <c r="M387" s="311"/>
      <c r="N387" s="311"/>
      <c r="O387" s="311"/>
      <c r="P387" s="311"/>
      <c r="Q387" s="311"/>
      <c r="R387" s="311"/>
      <c r="S387" s="311"/>
      <c r="T387" s="311"/>
      <c r="U387" s="311"/>
      <c r="V387" s="311"/>
      <c r="W387" s="311"/>
      <c r="X387" s="311"/>
      <c r="Y387" s="311"/>
      <c r="Z387" s="311"/>
      <c r="AA387" s="311"/>
      <c r="AB387" s="311"/>
      <c r="AC387" s="311"/>
      <c r="AD387" s="311"/>
      <c r="AE387" s="311"/>
      <c r="AF387" s="311"/>
      <c r="AG387" s="311"/>
      <c r="AH387" s="311"/>
      <c r="AI387" s="311"/>
      <c r="AJ387" s="311"/>
      <c r="AK387" s="311"/>
      <c r="AL387" s="311"/>
      <c r="AM387" s="311"/>
      <c r="AN387" s="311"/>
      <c r="AO387" s="311"/>
      <c r="AP387" s="311"/>
      <c r="AQ387" s="311"/>
      <c r="AR387" s="311"/>
      <c r="AS387" s="311"/>
      <c r="AT387" s="311"/>
      <c r="AU387" s="311"/>
      <c r="AV387" s="311"/>
      <c r="AW387" s="311"/>
      <c r="AX387" s="311"/>
      <c r="AY387" s="311"/>
      <c r="AZ387" s="311"/>
      <c r="BA387" s="311"/>
      <c r="BB387" s="311"/>
      <c r="BC387" s="311"/>
      <c r="BD387" s="311"/>
      <c r="BE387" s="311"/>
      <c r="BF387" s="311"/>
      <c r="BG387" s="311"/>
      <c r="BH387" s="311"/>
      <c r="BI387" s="311"/>
      <c r="BJ387" s="311"/>
      <c r="BK387" s="311"/>
      <c r="BL387" s="311"/>
      <c r="BM387" s="311"/>
      <c r="BN387" s="311"/>
      <c r="BO387" s="311"/>
      <c r="BP387" s="311"/>
      <c r="BQ387" s="311"/>
      <c r="BR387" s="311"/>
      <c r="BS387" s="311"/>
      <c r="BT387" s="311"/>
      <c r="BU387" s="311"/>
      <c r="BV387" s="311"/>
      <c r="BW387" s="311"/>
      <c r="BX387" s="311"/>
      <c r="BY387" s="311"/>
      <c r="BZ387" s="311"/>
      <c r="CA387" s="311"/>
      <c r="CB387" s="311"/>
      <c r="CC387" s="311"/>
      <c r="CD387" s="311"/>
      <c r="CE387" s="311"/>
      <c r="CF387" s="311"/>
      <c r="CG387" s="311"/>
    </row>
    <row r="388" spans="1:85" hidden="1" outlineLevel="1">
      <c r="A388" s="62"/>
      <c r="B388" s="311"/>
      <c r="C388" s="311"/>
      <c r="D388" s="313"/>
      <c r="E388" s="311"/>
      <c r="F388" s="311"/>
      <c r="G388" s="311"/>
      <c r="H388" s="311"/>
      <c r="I388" s="311"/>
      <c r="J388" s="311"/>
      <c r="K388" s="311"/>
      <c r="L388" s="311"/>
      <c r="M388" s="311"/>
      <c r="N388" s="311"/>
      <c r="O388" s="311"/>
      <c r="P388" s="311"/>
      <c r="Q388" s="311"/>
      <c r="R388" s="311"/>
      <c r="S388" s="311"/>
      <c r="T388" s="311"/>
      <c r="U388" s="311"/>
      <c r="V388" s="311"/>
      <c r="W388" s="311"/>
      <c r="X388" s="311"/>
      <c r="Y388" s="311"/>
      <c r="Z388" s="311"/>
      <c r="AA388" s="311"/>
      <c r="AB388" s="311"/>
      <c r="AC388" s="311"/>
      <c r="AD388" s="311"/>
      <c r="AE388" s="311"/>
      <c r="AF388" s="311"/>
      <c r="AG388" s="311"/>
      <c r="AH388" s="311"/>
      <c r="AI388" s="311"/>
      <c r="AJ388" s="311"/>
      <c r="AK388" s="311"/>
      <c r="AL388" s="311"/>
      <c r="AM388" s="311"/>
      <c r="AN388" s="311"/>
      <c r="AO388" s="311"/>
      <c r="AP388" s="311"/>
      <c r="AQ388" s="311"/>
      <c r="AR388" s="311"/>
      <c r="AS388" s="311"/>
      <c r="AT388" s="311"/>
      <c r="AU388" s="311"/>
      <c r="AV388" s="311"/>
      <c r="AW388" s="311"/>
      <c r="AX388" s="311"/>
      <c r="AY388" s="311"/>
      <c r="AZ388" s="311"/>
      <c r="BA388" s="311"/>
      <c r="BB388" s="311"/>
      <c r="BC388" s="311"/>
      <c r="BD388" s="311"/>
      <c r="BE388" s="311"/>
      <c r="BF388" s="311"/>
      <c r="BG388" s="311"/>
      <c r="BH388" s="311"/>
      <c r="BI388" s="311"/>
      <c r="BJ388" s="311"/>
      <c r="BK388" s="311"/>
      <c r="BL388" s="311"/>
      <c r="BM388" s="311"/>
      <c r="BN388" s="311"/>
      <c r="BO388" s="311"/>
      <c r="BP388" s="311"/>
      <c r="BQ388" s="311"/>
      <c r="BR388" s="311"/>
      <c r="BS388" s="311"/>
      <c r="BT388" s="311"/>
      <c r="BU388" s="311"/>
      <c r="BV388" s="311"/>
      <c r="BW388" s="311"/>
      <c r="BX388" s="311"/>
      <c r="BY388" s="311"/>
      <c r="BZ388" s="311"/>
      <c r="CA388" s="311"/>
      <c r="CB388" s="311"/>
      <c r="CC388" s="311"/>
      <c r="CD388" s="311"/>
      <c r="CE388" s="311"/>
      <c r="CF388" s="311"/>
      <c r="CG388" s="311"/>
    </row>
    <row r="389" spans="1:85" hidden="1" outlineLevel="1">
      <c r="A389" s="62"/>
      <c r="B389" s="311" t="s">
        <v>396</v>
      </c>
      <c r="C389" s="311"/>
      <c r="D389" s="313"/>
      <c r="E389" s="311"/>
      <c r="F389" s="311"/>
      <c r="G389" s="311"/>
      <c r="H389" s="311"/>
      <c r="I389" s="311"/>
      <c r="J389" s="313">
        <f>D390</f>
        <v>1.95</v>
      </c>
      <c r="K389" s="313">
        <f t="shared" ref="K389:X390" si="70">J389*(1+$D$387)</f>
        <v>2.0474999999999999</v>
      </c>
      <c r="L389" s="313">
        <f t="shared" si="70"/>
        <v>2.1498749999999998</v>
      </c>
      <c r="M389" s="313">
        <f t="shared" si="70"/>
        <v>2.2573687499999999</v>
      </c>
      <c r="N389" s="313">
        <f t="shared" si="70"/>
        <v>2.3702371874999999</v>
      </c>
      <c r="O389" s="313">
        <f t="shared" si="70"/>
        <v>2.4887490468750002</v>
      </c>
      <c r="P389" s="313">
        <f t="shared" si="70"/>
        <v>2.6131864992187501</v>
      </c>
      <c r="Q389" s="313">
        <f t="shared" si="70"/>
        <v>2.7438458241796879</v>
      </c>
      <c r="R389" s="313">
        <f t="shared" si="70"/>
        <v>2.8810381153886726</v>
      </c>
      <c r="S389" s="313">
        <f t="shared" si="70"/>
        <v>3.0250900211581064</v>
      </c>
      <c r="T389" s="313">
        <f t="shared" si="70"/>
        <v>3.176344522216012</v>
      </c>
      <c r="U389" s="313">
        <f t="shared" si="70"/>
        <v>3.3351617483268128</v>
      </c>
      <c r="V389" s="313">
        <f t="shared" si="70"/>
        <v>3.5019198357431534</v>
      </c>
      <c r="W389" s="313">
        <f t="shared" si="70"/>
        <v>3.6770158275303113</v>
      </c>
      <c r="X389" s="313">
        <f t="shared" si="70"/>
        <v>3.8608666189068273</v>
      </c>
      <c r="Y389" s="313"/>
      <c r="Z389" s="313"/>
      <c r="AA389" s="313"/>
      <c r="AB389" s="313"/>
      <c r="AC389" s="313"/>
      <c r="AD389" s="313"/>
      <c r="AE389" s="313"/>
      <c r="AF389" s="313"/>
      <c r="AG389" s="313"/>
      <c r="AH389" s="313"/>
      <c r="AI389" s="313"/>
      <c r="AJ389" s="313"/>
      <c r="AK389" s="313"/>
      <c r="AL389" s="313"/>
      <c r="AM389" s="313"/>
      <c r="AN389" s="313"/>
      <c r="AO389" s="313"/>
      <c r="AP389" s="313"/>
      <c r="AQ389" s="313"/>
      <c r="AR389" s="313"/>
      <c r="AS389" s="313"/>
      <c r="AT389" s="313"/>
      <c r="AU389" s="313"/>
      <c r="AV389" s="313"/>
      <c r="AW389" s="313"/>
      <c r="AX389" s="313"/>
      <c r="AY389" s="313"/>
      <c r="AZ389" s="313"/>
      <c r="BA389" s="313"/>
      <c r="BB389" s="313"/>
      <c r="BC389" s="313"/>
      <c r="BD389" s="313"/>
      <c r="BE389" s="313"/>
      <c r="BF389" s="313"/>
      <c r="BG389" s="313"/>
      <c r="BH389" s="313"/>
      <c r="BI389" s="313"/>
      <c r="BJ389" s="313"/>
      <c r="BK389" s="313"/>
      <c r="BL389" s="313"/>
      <c r="BM389" s="313"/>
      <c r="BN389" s="313"/>
      <c r="BO389" s="313"/>
      <c r="BP389" s="313"/>
      <c r="BQ389" s="313"/>
      <c r="BR389" s="313"/>
      <c r="BS389" s="313"/>
      <c r="BT389" s="313"/>
      <c r="BU389" s="313"/>
      <c r="BV389" s="313"/>
      <c r="BW389" s="313"/>
      <c r="BX389" s="313"/>
      <c r="BY389" s="313"/>
      <c r="BZ389" s="313"/>
      <c r="CA389" s="313"/>
      <c r="CB389" s="313"/>
      <c r="CC389" s="313"/>
      <c r="CD389" s="313"/>
      <c r="CE389" s="313"/>
      <c r="CF389" s="313"/>
      <c r="CG389" s="313"/>
    </row>
    <row r="390" spans="1:85" hidden="1" outlineLevel="1">
      <c r="A390" s="62"/>
      <c r="B390" s="311" t="s">
        <v>515</v>
      </c>
      <c r="C390" s="311"/>
      <c r="D390" s="313">
        <f>IF([57]Input!B1="With FGD",0.15*13,0)</f>
        <v>1.95</v>
      </c>
      <c r="E390" s="311"/>
      <c r="F390" s="311"/>
      <c r="G390" s="320"/>
      <c r="H390" s="311"/>
      <c r="I390" s="311"/>
      <c r="J390" s="313">
        <f>D391</f>
        <v>5.4255839999999997</v>
      </c>
      <c r="K390" s="313">
        <f t="shared" si="70"/>
        <v>5.6968632000000001</v>
      </c>
      <c r="L390" s="313">
        <f t="shared" si="70"/>
        <v>5.9817063600000004</v>
      </c>
      <c r="M390" s="313">
        <f t="shared" si="70"/>
        <v>6.2807916780000008</v>
      </c>
      <c r="N390" s="313">
        <f t="shared" si="70"/>
        <v>6.5948312619000014</v>
      </c>
      <c r="O390" s="313">
        <f t="shared" si="70"/>
        <v>6.9245728249950016</v>
      </c>
      <c r="P390" s="313">
        <f t="shared" si="70"/>
        <v>7.2708014662447518</v>
      </c>
      <c r="Q390" s="313">
        <f t="shared" si="70"/>
        <v>7.6343415395569894</v>
      </c>
      <c r="R390" s="313">
        <f t="shared" si="70"/>
        <v>8.0160586165348384</v>
      </c>
      <c r="S390" s="313">
        <f t="shared" si="70"/>
        <v>8.4168615473615809</v>
      </c>
      <c r="T390" s="313">
        <f t="shared" si="70"/>
        <v>8.8377046247296605</v>
      </c>
      <c r="U390" s="313">
        <f t="shared" si="70"/>
        <v>9.2795898559661438</v>
      </c>
      <c r="V390" s="313">
        <f t="shared" si="70"/>
        <v>9.743569348764451</v>
      </c>
      <c r="W390" s="313">
        <f t="shared" si="70"/>
        <v>10.230747816202674</v>
      </c>
      <c r="X390" s="313">
        <f t="shared" si="70"/>
        <v>10.742285207012809</v>
      </c>
      <c r="Y390" s="313"/>
      <c r="Z390" s="313"/>
      <c r="AA390" s="313"/>
      <c r="AB390" s="313"/>
      <c r="AC390" s="313"/>
      <c r="AD390" s="313"/>
      <c r="AE390" s="313"/>
      <c r="AF390" s="313"/>
      <c r="AG390" s="313"/>
      <c r="AH390" s="313"/>
      <c r="AI390" s="313"/>
      <c r="AJ390" s="313"/>
      <c r="AK390" s="313"/>
      <c r="AL390" s="313"/>
      <c r="AM390" s="313"/>
      <c r="AN390" s="313"/>
      <c r="AO390" s="313"/>
      <c r="AP390" s="313"/>
      <c r="AQ390" s="313"/>
      <c r="AR390" s="313"/>
      <c r="AS390" s="313"/>
      <c r="AT390" s="313"/>
      <c r="AU390" s="313"/>
      <c r="AV390" s="313"/>
      <c r="AW390" s="313"/>
      <c r="AX390" s="313"/>
      <c r="AY390" s="313"/>
      <c r="AZ390" s="313"/>
      <c r="BA390" s="313"/>
      <c r="BB390" s="313"/>
      <c r="BC390" s="313"/>
      <c r="BD390" s="313"/>
      <c r="BE390" s="313"/>
      <c r="BF390" s="313"/>
      <c r="BG390" s="313"/>
      <c r="BH390" s="313"/>
      <c r="BI390" s="313"/>
      <c r="BJ390" s="313"/>
      <c r="BK390" s="313"/>
      <c r="BL390" s="313"/>
      <c r="BM390" s="313"/>
      <c r="BN390" s="313"/>
      <c r="BO390" s="313"/>
      <c r="BP390" s="313"/>
      <c r="BQ390" s="313"/>
      <c r="BR390" s="313"/>
      <c r="BS390" s="313"/>
      <c r="BT390" s="313"/>
      <c r="BU390" s="313"/>
      <c r="BV390" s="313"/>
      <c r="BW390" s="313"/>
      <c r="BX390" s="313"/>
      <c r="BY390" s="313"/>
      <c r="BZ390" s="313"/>
      <c r="CA390" s="313"/>
      <c r="CB390" s="313"/>
      <c r="CC390" s="313"/>
      <c r="CD390" s="313"/>
      <c r="CE390" s="313"/>
      <c r="CF390" s="313"/>
      <c r="CG390" s="313"/>
    </row>
    <row r="391" spans="1:85" hidden="1" outlineLevel="1">
      <c r="A391" s="62"/>
      <c r="B391" s="311" t="s">
        <v>472</v>
      </c>
      <c r="C391" s="316">
        <v>0.01</v>
      </c>
      <c r="D391" s="313">
        <f>D358*C391</f>
        <v>5.4255839999999997</v>
      </c>
      <c r="E391" s="311"/>
      <c r="F391" s="311"/>
      <c r="G391" s="311"/>
      <c r="H391" s="311"/>
      <c r="I391" s="311"/>
      <c r="J391" s="311"/>
      <c r="K391" s="311"/>
      <c r="L391" s="311"/>
      <c r="M391" s="311"/>
      <c r="N391" s="311"/>
      <c r="O391" s="311"/>
      <c r="P391" s="311"/>
      <c r="Q391" s="311"/>
      <c r="R391" s="311"/>
      <c r="S391" s="311"/>
      <c r="T391" s="311"/>
      <c r="U391" s="311"/>
      <c r="V391" s="311"/>
      <c r="W391" s="311"/>
      <c r="X391" s="311"/>
      <c r="Y391" s="311"/>
      <c r="Z391" s="311"/>
      <c r="AA391" s="311"/>
      <c r="AB391" s="311"/>
      <c r="AC391" s="311"/>
      <c r="AD391" s="311"/>
      <c r="AE391" s="311"/>
      <c r="AF391" s="311"/>
      <c r="AG391" s="311"/>
      <c r="AH391" s="311"/>
      <c r="AI391" s="311"/>
      <c r="AJ391" s="311"/>
      <c r="AK391" s="311"/>
      <c r="AL391" s="311"/>
      <c r="AM391" s="311"/>
      <c r="AN391" s="311"/>
      <c r="AO391" s="311"/>
      <c r="AP391" s="311"/>
      <c r="AQ391" s="311"/>
      <c r="AR391" s="311"/>
      <c r="AS391" s="311"/>
      <c r="AT391" s="311"/>
      <c r="AU391" s="311"/>
      <c r="AV391" s="311"/>
      <c r="AW391" s="311"/>
      <c r="AX391" s="311"/>
      <c r="AY391" s="311"/>
      <c r="AZ391" s="311"/>
      <c r="BA391" s="311"/>
      <c r="BB391" s="311"/>
      <c r="BC391" s="311"/>
      <c r="BD391" s="311"/>
      <c r="BE391" s="311"/>
      <c r="BF391" s="311"/>
      <c r="BG391" s="311"/>
      <c r="BH391" s="311"/>
      <c r="BI391" s="311"/>
      <c r="BJ391" s="311"/>
      <c r="BK391" s="311"/>
      <c r="BL391" s="311"/>
      <c r="BM391" s="311"/>
      <c r="BN391" s="311"/>
      <c r="BO391" s="311"/>
      <c r="BP391" s="311"/>
      <c r="BQ391" s="311"/>
      <c r="BR391" s="311"/>
      <c r="BS391" s="311"/>
      <c r="BT391" s="311"/>
      <c r="BU391" s="311"/>
      <c r="BV391" s="311"/>
      <c r="BW391" s="311"/>
      <c r="BX391" s="311"/>
      <c r="BY391" s="311"/>
      <c r="BZ391" s="311"/>
      <c r="CA391" s="311"/>
      <c r="CB391" s="311"/>
      <c r="CC391" s="311"/>
      <c r="CD391" s="311"/>
      <c r="CE391" s="311"/>
      <c r="CF391" s="311"/>
      <c r="CG391" s="311"/>
    </row>
    <row r="392" spans="1:85" hidden="1" outlineLevel="1">
      <c r="A392" s="62"/>
      <c r="B392" s="311"/>
      <c r="C392" s="311"/>
      <c r="D392" s="313"/>
      <c r="E392" s="311"/>
      <c r="F392" s="311"/>
      <c r="G392" s="311"/>
      <c r="H392" s="311"/>
      <c r="I392" s="311"/>
      <c r="J392" s="311"/>
      <c r="K392" s="311"/>
      <c r="L392" s="311"/>
      <c r="M392" s="311"/>
      <c r="N392" s="311"/>
      <c r="O392" s="311"/>
      <c r="P392" s="311"/>
      <c r="Q392" s="311"/>
      <c r="R392" s="311"/>
      <c r="S392" s="311"/>
      <c r="T392" s="311"/>
      <c r="U392" s="311"/>
      <c r="V392" s="311"/>
      <c r="W392" s="311"/>
      <c r="X392" s="311"/>
      <c r="Y392" s="311"/>
      <c r="Z392" s="311"/>
      <c r="AA392" s="311"/>
      <c r="AB392" s="311"/>
      <c r="AC392" s="311"/>
      <c r="AD392" s="311"/>
      <c r="AE392" s="311"/>
      <c r="AF392" s="311"/>
      <c r="AG392" s="311"/>
      <c r="AH392" s="311"/>
      <c r="AI392" s="311"/>
      <c r="AJ392" s="311"/>
      <c r="AK392" s="311"/>
      <c r="AL392" s="311"/>
      <c r="AM392" s="311"/>
      <c r="AN392" s="311"/>
      <c r="AO392" s="311"/>
      <c r="AP392" s="311"/>
      <c r="AQ392" s="311"/>
      <c r="AR392" s="311"/>
      <c r="AS392" s="311"/>
      <c r="AT392" s="311"/>
      <c r="AU392" s="311"/>
      <c r="AV392" s="311"/>
      <c r="AW392" s="311"/>
      <c r="AX392" s="311"/>
      <c r="AY392" s="311"/>
      <c r="AZ392" s="311"/>
      <c r="BA392" s="311"/>
      <c r="BB392" s="311"/>
      <c r="BC392" s="311"/>
      <c r="BD392" s="311"/>
      <c r="BE392" s="311"/>
      <c r="BF392" s="311"/>
      <c r="BG392" s="311"/>
      <c r="BH392" s="311"/>
      <c r="BI392" s="311"/>
      <c r="BJ392" s="311"/>
      <c r="BK392" s="311"/>
      <c r="BL392" s="311"/>
      <c r="BM392" s="311"/>
      <c r="BN392" s="311"/>
      <c r="BO392" s="311"/>
      <c r="BP392" s="311"/>
      <c r="BQ392" s="311"/>
      <c r="BR392" s="311"/>
      <c r="BS392" s="311"/>
      <c r="BT392" s="311"/>
      <c r="BU392" s="311"/>
      <c r="BV392" s="311"/>
      <c r="BW392" s="311"/>
      <c r="BX392" s="311"/>
      <c r="BY392" s="311"/>
      <c r="BZ392" s="311"/>
      <c r="CA392" s="311"/>
      <c r="CB392" s="311"/>
      <c r="CC392" s="311"/>
      <c r="CD392" s="311"/>
      <c r="CE392" s="311"/>
      <c r="CF392" s="311"/>
      <c r="CG392" s="311"/>
    </row>
    <row r="393" spans="1:85" hidden="1" outlineLevel="1">
      <c r="A393" s="62"/>
      <c r="B393" s="314" t="s">
        <v>477</v>
      </c>
      <c r="C393" s="311"/>
      <c r="D393" s="313"/>
      <c r="E393" s="311"/>
      <c r="F393" s="311"/>
      <c r="G393" s="311"/>
      <c r="H393" s="311"/>
      <c r="I393" s="311"/>
      <c r="J393" s="320">
        <f>($D$394*24*(J380-I380))*J382*50%</f>
        <v>52866.599999999991</v>
      </c>
      <c r="K393" s="320">
        <f t="shared" ref="K393:X393" si="71">($D$394*24*(K380-J380))*K382</f>
        <v>105733.19999999998</v>
      </c>
      <c r="L393" s="320">
        <f t="shared" si="71"/>
        <v>105733.19999999998</v>
      </c>
      <c r="M393" s="320">
        <f t="shared" si="71"/>
        <v>106022.87999999999</v>
      </c>
      <c r="N393" s="320">
        <f t="shared" si="71"/>
        <v>105733.19999999998</v>
      </c>
      <c r="O393" s="320">
        <f t="shared" si="71"/>
        <v>105733.19999999998</v>
      </c>
      <c r="P393" s="320">
        <f t="shared" si="71"/>
        <v>105733.19999999998</v>
      </c>
      <c r="Q393" s="320">
        <f t="shared" si="71"/>
        <v>106022.87999999999</v>
      </c>
      <c r="R393" s="320">
        <f t="shared" si="71"/>
        <v>105733.19999999998</v>
      </c>
      <c r="S393" s="320">
        <f t="shared" si="71"/>
        <v>105733.19999999998</v>
      </c>
      <c r="T393" s="320">
        <f t="shared" si="71"/>
        <v>105733.19999999998</v>
      </c>
      <c r="U393" s="320">
        <f t="shared" si="71"/>
        <v>106022.87999999999</v>
      </c>
      <c r="V393" s="320">
        <f t="shared" si="71"/>
        <v>105733.19999999998</v>
      </c>
      <c r="W393" s="320">
        <f t="shared" si="71"/>
        <v>105733.19999999998</v>
      </c>
      <c r="X393" s="320">
        <f t="shared" si="71"/>
        <v>105733.19999999998</v>
      </c>
      <c r="Y393" s="320"/>
      <c r="Z393" s="320"/>
      <c r="AA393" s="320"/>
      <c r="AB393" s="320"/>
      <c r="AC393" s="320"/>
      <c r="AD393" s="320"/>
      <c r="AE393" s="320"/>
      <c r="AF393" s="320"/>
      <c r="AG393" s="320"/>
      <c r="AH393" s="320"/>
      <c r="AI393" s="320"/>
      <c r="AJ393" s="320"/>
      <c r="AK393" s="320"/>
      <c r="AL393" s="320"/>
      <c r="AM393" s="320"/>
      <c r="AN393" s="320"/>
      <c r="AO393" s="320"/>
      <c r="AP393" s="320"/>
      <c r="AQ393" s="320"/>
      <c r="AR393" s="320"/>
      <c r="AS393" s="320"/>
      <c r="AT393" s="320"/>
      <c r="AU393" s="320"/>
      <c r="AV393" s="320"/>
      <c r="AW393" s="320"/>
      <c r="AX393" s="320"/>
      <c r="AY393" s="320"/>
      <c r="AZ393" s="320"/>
      <c r="BA393" s="320"/>
      <c r="BB393" s="320"/>
      <c r="BC393" s="320"/>
      <c r="BD393" s="320"/>
      <c r="BE393" s="320"/>
      <c r="BF393" s="320"/>
      <c r="BG393" s="320"/>
      <c r="BH393" s="320"/>
      <c r="BI393" s="320"/>
      <c r="BJ393" s="320"/>
      <c r="BK393" s="320"/>
      <c r="BL393" s="320"/>
      <c r="BM393" s="320"/>
      <c r="BN393" s="320"/>
      <c r="BO393" s="320"/>
      <c r="BP393" s="320"/>
      <c r="BQ393" s="320"/>
      <c r="BR393" s="320"/>
      <c r="BS393" s="320"/>
      <c r="BT393" s="320"/>
      <c r="BU393" s="320"/>
      <c r="BV393" s="320"/>
      <c r="BW393" s="320"/>
      <c r="BX393" s="320"/>
      <c r="BY393" s="320"/>
      <c r="BZ393" s="320"/>
      <c r="CA393" s="320"/>
      <c r="CB393" s="320"/>
      <c r="CC393" s="320"/>
      <c r="CD393" s="320"/>
      <c r="CE393" s="320"/>
      <c r="CF393" s="320"/>
      <c r="CG393" s="320"/>
    </row>
    <row r="394" spans="1:85" hidden="1" outlineLevel="1">
      <c r="A394" s="62"/>
      <c r="B394" s="311" t="s">
        <v>516</v>
      </c>
      <c r="C394" s="313" t="s">
        <v>517</v>
      </c>
      <c r="D394" s="311">
        <f>IF([57]Input!B1="With FGD",14.2,0)</f>
        <v>14.2</v>
      </c>
      <c r="E394" s="316">
        <v>0.05</v>
      </c>
      <c r="F394" s="311"/>
      <c r="G394" s="311"/>
      <c r="H394" s="311"/>
      <c r="I394" s="311"/>
      <c r="J394" s="320">
        <f>D395</f>
        <v>2000</v>
      </c>
      <c r="K394" s="320">
        <f>J394*(1+$E$394)</f>
        <v>2100</v>
      </c>
      <c r="L394" s="320">
        <f t="shared" ref="L394:X394" si="72">K394*(1+$E$394)</f>
        <v>2205</v>
      </c>
      <c r="M394" s="320">
        <f t="shared" si="72"/>
        <v>2315.25</v>
      </c>
      <c r="N394" s="320">
        <f t="shared" si="72"/>
        <v>2431.0125000000003</v>
      </c>
      <c r="O394" s="320">
        <f t="shared" si="72"/>
        <v>2552.5631250000006</v>
      </c>
      <c r="P394" s="320">
        <f t="shared" si="72"/>
        <v>2680.1912812500009</v>
      </c>
      <c r="Q394" s="320">
        <f t="shared" si="72"/>
        <v>2814.2008453125009</v>
      </c>
      <c r="R394" s="320">
        <f t="shared" si="72"/>
        <v>2954.9108875781262</v>
      </c>
      <c r="S394" s="320">
        <f t="shared" si="72"/>
        <v>3102.6564319570325</v>
      </c>
      <c r="T394" s="320">
        <f t="shared" si="72"/>
        <v>3257.7892535548845</v>
      </c>
      <c r="U394" s="320">
        <f t="shared" si="72"/>
        <v>3420.6787162326286</v>
      </c>
      <c r="V394" s="320">
        <f t="shared" si="72"/>
        <v>3591.7126520442603</v>
      </c>
      <c r="W394" s="320">
        <f t="shared" si="72"/>
        <v>3771.2982846464733</v>
      </c>
      <c r="X394" s="320">
        <f t="shared" si="72"/>
        <v>3959.863198878797</v>
      </c>
      <c r="Y394" s="320"/>
      <c r="Z394" s="320"/>
      <c r="AA394" s="320"/>
      <c r="AB394" s="320"/>
      <c r="AC394" s="320"/>
      <c r="AD394" s="320"/>
      <c r="AE394" s="320"/>
      <c r="AF394" s="320"/>
      <c r="AG394" s="320"/>
      <c r="AH394" s="320"/>
      <c r="AI394" s="320"/>
      <c r="AJ394" s="320"/>
      <c r="AK394" s="320"/>
      <c r="AL394" s="320"/>
      <c r="AM394" s="320"/>
      <c r="AN394" s="320"/>
      <c r="AO394" s="320"/>
      <c r="AP394" s="320"/>
      <c r="AQ394" s="320"/>
      <c r="AR394" s="320"/>
      <c r="AS394" s="320"/>
      <c r="AT394" s="320"/>
      <c r="AU394" s="320"/>
      <c r="AV394" s="320"/>
      <c r="AW394" s="320"/>
      <c r="AX394" s="320"/>
      <c r="AY394" s="320"/>
      <c r="AZ394" s="320"/>
      <c r="BA394" s="320"/>
      <c r="BB394" s="320"/>
      <c r="BC394" s="320"/>
      <c r="BD394" s="320"/>
      <c r="BE394" s="320"/>
      <c r="BF394" s="320"/>
      <c r="BG394" s="320"/>
      <c r="BH394" s="320"/>
      <c r="BI394" s="320"/>
      <c r="BJ394" s="320"/>
      <c r="BK394" s="320"/>
      <c r="BL394" s="320"/>
      <c r="BM394" s="320"/>
      <c r="BN394" s="320"/>
      <c r="BO394" s="320"/>
      <c r="BP394" s="320"/>
      <c r="BQ394" s="320"/>
      <c r="BR394" s="320"/>
      <c r="BS394" s="320"/>
      <c r="BT394" s="320"/>
      <c r="BU394" s="320"/>
      <c r="BV394" s="320"/>
      <c r="BW394" s="320"/>
      <c r="BX394" s="320"/>
      <c r="BY394" s="320"/>
      <c r="BZ394" s="320"/>
      <c r="CA394" s="320"/>
      <c r="CB394" s="320"/>
      <c r="CC394" s="320"/>
      <c r="CD394" s="320"/>
      <c r="CE394" s="320"/>
      <c r="CF394" s="320"/>
      <c r="CG394" s="320"/>
    </row>
    <row r="395" spans="1:85" hidden="1" outlineLevel="1">
      <c r="A395" s="62"/>
      <c r="B395" s="311" t="s">
        <v>518</v>
      </c>
      <c r="C395" s="313" t="s">
        <v>519</v>
      </c>
      <c r="D395" s="311">
        <v>2000</v>
      </c>
      <c r="E395" s="311"/>
      <c r="F395" s="311"/>
      <c r="G395" s="311"/>
      <c r="H395" s="311"/>
      <c r="I395" s="311"/>
      <c r="J395" s="313">
        <f>J393*J394/10^7</f>
        <v>10.573319999999999</v>
      </c>
      <c r="K395" s="313">
        <f>K393*K394/10^7</f>
        <v>22.203971999999997</v>
      </c>
      <c r="L395" s="313">
        <f>L393*L394/10^7</f>
        <v>23.314170599999997</v>
      </c>
      <c r="M395" s="313">
        <f>M393*M394/10^7</f>
        <v>24.546947291999999</v>
      </c>
      <c r="N395" s="313">
        <f>N393*N394/10^7</f>
        <v>25.703873086499996</v>
      </c>
      <c r="O395" s="313">
        <f t="shared" ref="O395:X395" si="73">O393*O394/10^7</f>
        <v>26.989066740825002</v>
      </c>
      <c r="P395" s="313">
        <f t="shared" si="73"/>
        <v>28.338520077866256</v>
      </c>
      <c r="Q395" s="313">
        <f t="shared" si="73"/>
        <v>29.83696785184658</v>
      </c>
      <c r="R395" s="313">
        <f t="shared" si="73"/>
        <v>31.243218385847552</v>
      </c>
      <c r="S395" s="313">
        <f t="shared" si="73"/>
        <v>32.805379305139923</v>
      </c>
      <c r="T395" s="313">
        <f t="shared" si="73"/>
        <v>34.445648270396923</v>
      </c>
      <c r="U395" s="313">
        <f t="shared" si="73"/>
        <v>36.267020904968604</v>
      </c>
      <c r="V395" s="313">
        <f t="shared" si="73"/>
        <v>37.976327218112608</v>
      </c>
      <c r="W395" s="313">
        <f t="shared" si="73"/>
        <v>39.875143579018243</v>
      </c>
      <c r="X395" s="313">
        <f t="shared" si="73"/>
        <v>41.868900757969151</v>
      </c>
      <c r="Y395" s="313"/>
      <c r="Z395" s="313"/>
      <c r="AA395" s="313"/>
      <c r="AB395" s="313"/>
      <c r="AC395" s="313"/>
      <c r="AD395" s="313"/>
      <c r="AE395" s="313"/>
      <c r="AF395" s="313"/>
      <c r="AG395" s="313"/>
      <c r="AH395" s="313"/>
      <c r="AI395" s="313"/>
      <c r="AJ395" s="313"/>
      <c r="AK395" s="313"/>
      <c r="AL395" s="313"/>
      <c r="AM395" s="313"/>
      <c r="AN395" s="313"/>
      <c r="AO395" s="313"/>
      <c r="AP395" s="313"/>
      <c r="AQ395" s="313"/>
      <c r="AR395" s="313"/>
      <c r="AS395" s="313"/>
      <c r="AT395" s="313"/>
      <c r="AU395" s="313"/>
      <c r="AV395" s="313"/>
      <c r="AW395" s="313"/>
      <c r="AX395" s="313"/>
      <c r="AY395" s="313"/>
      <c r="AZ395" s="313"/>
      <c r="BA395" s="313"/>
      <c r="BB395" s="313"/>
      <c r="BC395" s="313"/>
      <c r="BD395" s="313"/>
      <c r="BE395" s="313"/>
      <c r="BF395" s="313"/>
      <c r="BG395" s="313"/>
      <c r="BH395" s="313"/>
      <c r="BI395" s="313"/>
      <c r="BJ395" s="313"/>
      <c r="BK395" s="313"/>
      <c r="BL395" s="313"/>
      <c r="BM395" s="313"/>
      <c r="BN395" s="313"/>
      <c r="BO395" s="313"/>
      <c r="BP395" s="313"/>
      <c r="BQ395" s="313"/>
      <c r="BR395" s="313"/>
      <c r="BS395" s="313"/>
      <c r="BT395" s="313"/>
      <c r="BU395" s="313"/>
      <c r="BV395" s="313"/>
      <c r="BW395" s="313"/>
      <c r="BX395" s="313"/>
      <c r="BY395" s="313"/>
      <c r="BZ395" s="313"/>
      <c r="CA395" s="313"/>
      <c r="CB395" s="313"/>
      <c r="CC395" s="313"/>
      <c r="CD395" s="313"/>
      <c r="CE395" s="313"/>
      <c r="CF395" s="313"/>
      <c r="CG395" s="313"/>
    </row>
    <row r="396" spans="1:85" hidden="1" outlineLevel="1">
      <c r="A396" s="62"/>
      <c r="B396" s="311" t="s">
        <v>520</v>
      </c>
      <c r="C396" s="313" t="s">
        <v>347</v>
      </c>
      <c r="D396" s="311"/>
      <c r="E396" s="311"/>
      <c r="F396" s="311"/>
      <c r="G396" s="311"/>
      <c r="H396" s="311"/>
      <c r="I396" s="311"/>
      <c r="J396" s="320"/>
      <c r="K396" s="320"/>
      <c r="L396" s="320"/>
      <c r="M396" s="320"/>
      <c r="N396" s="320"/>
      <c r="O396" s="320"/>
      <c r="P396" s="320"/>
      <c r="Q396" s="320"/>
      <c r="R396" s="320"/>
      <c r="S396" s="320"/>
      <c r="T396" s="320"/>
      <c r="U396" s="320"/>
      <c r="V396" s="320"/>
      <c r="W396" s="320"/>
      <c r="X396" s="320"/>
      <c r="Y396" s="320"/>
      <c r="Z396" s="320"/>
      <c r="AA396" s="320"/>
      <c r="AB396" s="320"/>
      <c r="AC396" s="320"/>
      <c r="AD396" s="320"/>
      <c r="AE396" s="320"/>
      <c r="AF396" s="320"/>
      <c r="AG396" s="320"/>
      <c r="AH396" s="320"/>
      <c r="AI396" s="320"/>
      <c r="AJ396" s="320"/>
      <c r="AK396" s="320"/>
      <c r="AL396" s="320"/>
      <c r="AM396" s="320"/>
      <c r="AN396" s="320"/>
      <c r="AO396" s="320"/>
      <c r="AP396" s="320"/>
      <c r="AQ396" s="320"/>
      <c r="AR396" s="320"/>
      <c r="AS396" s="320"/>
      <c r="AT396" s="320"/>
      <c r="AU396" s="320"/>
      <c r="AV396" s="320"/>
      <c r="AW396" s="320"/>
      <c r="AX396" s="320"/>
      <c r="AY396" s="320"/>
      <c r="AZ396" s="320"/>
      <c r="BA396" s="320"/>
      <c r="BB396" s="320"/>
      <c r="BC396" s="320"/>
      <c r="BD396" s="320"/>
      <c r="BE396" s="320"/>
      <c r="BF396" s="320"/>
      <c r="BG396" s="320"/>
      <c r="BH396" s="320"/>
      <c r="BI396" s="320"/>
      <c r="BJ396" s="320"/>
      <c r="BK396" s="320"/>
      <c r="BL396" s="320"/>
      <c r="BM396" s="320"/>
      <c r="BN396" s="320"/>
      <c r="BO396" s="320"/>
      <c r="BP396" s="320"/>
      <c r="BQ396" s="320"/>
      <c r="BR396" s="320"/>
      <c r="BS396" s="320"/>
      <c r="BT396" s="320"/>
      <c r="BU396" s="320"/>
      <c r="BV396" s="320"/>
      <c r="BW396" s="320"/>
      <c r="BX396" s="320"/>
      <c r="BY396" s="320"/>
      <c r="BZ396" s="320"/>
      <c r="CA396" s="320"/>
      <c r="CB396" s="320"/>
      <c r="CC396" s="320"/>
      <c r="CD396" s="320"/>
      <c r="CE396" s="320"/>
      <c r="CF396" s="320"/>
      <c r="CG396" s="320"/>
    </row>
    <row r="397" spans="1:85" hidden="1" outlineLevel="1">
      <c r="A397" s="62"/>
      <c r="B397" s="311"/>
      <c r="C397" s="313"/>
      <c r="D397" s="311"/>
      <c r="E397" s="311"/>
      <c r="F397" s="311"/>
      <c r="G397" s="320"/>
      <c r="H397" s="311"/>
      <c r="I397" s="320"/>
      <c r="J397" s="311"/>
      <c r="K397" s="311"/>
      <c r="L397" s="311"/>
      <c r="M397" s="311"/>
      <c r="N397" s="311"/>
      <c r="O397" s="311"/>
      <c r="P397" s="311"/>
      <c r="Q397" s="311"/>
      <c r="R397" s="311"/>
      <c r="S397" s="311"/>
      <c r="T397" s="311"/>
      <c r="U397" s="311"/>
      <c r="V397" s="311"/>
      <c r="W397" s="311"/>
      <c r="X397" s="311"/>
      <c r="Y397" s="311"/>
      <c r="Z397" s="311"/>
      <c r="AA397" s="311"/>
      <c r="AB397" s="311"/>
      <c r="AC397" s="311"/>
      <c r="AD397" s="311"/>
      <c r="AE397" s="311"/>
      <c r="AF397" s="311"/>
      <c r="AG397" s="311"/>
      <c r="AH397" s="311"/>
      <c r="AI397" s="311"/>
      <c r="AJ397" s="311"/>
      <c r="AK397" s="311"/>
      <c r="AL397" s="311"/>
      <c r="AM397" s="311"/>
      <c r="AN397" s="311"/>
      <c r="AO397" s="311"/>
      <c r="AP397" s="311"/>
      <c r="AQ397" s="311"/>
      <c r="AR397" s="311"/>
      <c r="AS397" s="311"/>
      <c r="AT397" s="311"/>
      <c r="AU397" s="311"/>
      <c r="AV397" s="311"/>
      <c r="AW397" s="311"/>
      <c r="AX397" s="311"/>
      <c r="AY397" s="311"/>
      <c r="AZ397" s="311"/>
      <c r="BA397" s="311"/>
      <c r="BB397" s="311"/>
      <c r="BC397" s="311"/>
      <c r="BD397" s="311"/>
      <c r="BE397" s="311"/>
      <c r="BF397" s="311"/>
      <c r="BG397" s="311"/>
      <c r="BH397" s="311"/>
      <c r="BI397" s="311"/>
      <c r="BJ397" s="311"/>
      <c r="BK397" s="311"/>
      <c r="BL397" s="311"/>
      <c r="BM397" s="311"/>
      <c r="BN397" s="311"/>
      <c r="BO397" s="311"/>
      <c r="BP397" s="311"/>
      <c r="BQ397" s="311"/>
      <c r="BR397" s="311"/>
      <c r="BS397" s="311"/>
      <c r="BT397" s="311"/>
      <c r="BU397" s="311"/>
      <c r="BV397" s="311"/>
      <c r="BW397" s="311"/>
      <c r="BX397" s="311"/>
      <c r="BY397" s="311"/>
      <c r="BZ397" s="311"/>
      <c r="CA397" s="311"/>
      <c r="CB397" s="311"/>
      <c r="CC397" s="311"/>
      <c r="CD397" s="311"/>
      <c r="CE397" s="311"/>
      <c r="CF397" s="311"/>
      <c r="CG397" s="311"/>
    </row>
    <row r="398" spans="1:85" hidden="1" outlineLevel="1">
      <c r="A398" s="62"/>
      <c r="B398" s="314" t="s">
        <v>483</v>
      </c>
      <c r="C398" s="311"/>
      <c r="D398" s="313"/>
      <c r="E398" s="311"/>
      <c r="F398" s="311"/>
      <c r="G398" s="311"/>
      <c r="H398" s="311"/>
      <c r="I398" s="311"/>
      <c r="J398" s="320">
        <f>($D$399*24*(J380-I380))*J382*50%</f>
        <v>94936.5</v>
      </c>
      <c r="K398" s="320">
        <f t="shared" ref="K398:X398" si="74">($D$399*24*(K380-J380))*K382</f>
        <v>189873</v>
      </c>
      <c r="L398" s="320">
        <f t="shared" si="74"/>
        <v>189873</v>
      </c>
      <c r="M398" s="320">
        <f t="shared" si="74"/>
        <v>190393.19999999998</v>
      </c>
      <c r="N398" s="320">
        <f t="shared" si="74"/>
        <v>189873</v>
      </c>
      <c r="O398" s="320">
        <f t="shared" si="74"/>
        <v>189873</v>
      </c>
      <c r="P398" s="320">
        <f t="shared" si="74"/>
        <v>189873</v>
      </c>
      <c r="Q398" s="320">
        <f t="shared" si="74"/>
        <v>190393.19999999998</v>
      </c>
      <c r="R398" s="320">
        <f t="shared" si="74"/>
        <v>189873</v>
      </c>
      <c r="S398" s="320">
        <f t="shared" si="74"/>
        <v>189873</v>
      </c>
      <c r="T398" s="320">
        <f t="shared" si="74"/>
        <v>189873</v>
      </c>
      <c r="U398" s="320">
        <f t="shared" si="74"/>
        <v>190393.19999999998</v>
      </c>
      <c r="V398" s="320">
        <f t="shared" si="74"/>
        <v>189873</v>
      </c>
      <c r="W398" s="320">
        <f t="shared" si="74"/>
        <v>189873</v>
      </c>
      <c r="X398" s="320">
        <f t="shared" si="74"/>
        <v>189873</v>
      </c>
      <c r="Y398" s="320"/>
      <c r="Z398" s="320"/>
      <c r="AA398" s="320"/>
      <c r="AB398" s="320"/>
      <c r="AC398" s="320"/>
      <c r="AD398" s="320"/>
      <c r="AE398" s="320"/>
      <c r="AF398" s="320"/>
      <c r="AG398" s="320"/>
      <c r="AH398" s="320"/>
      <c r="AI398" s="320"/>
      <c r="AJ398" s="320"/>
      <c r="AK398" s="320"/>
      <c r="AL398" s="320"/>
      <c r="AM398" s="320"/>
      <c r="AN398" s="320"/>
      <c r="AO398" s="320"/>
      <c r="AP398" s="320"/>
      <c r="AQ398" s="320"/>
      <c r="AR398" s="320"/>
      <c r="AS398" s="320"/>
      <c r="AT398" s="320"/>
      <c r="AU398" s="320"/>
      <c r="AV398" s="320"/>
      <c r="AW398" s="320"/>
      <c r="AX398" s="320"/>
      <c r="AY398" s="320"/>
      <c r="AZ398" s="320"/>
      <c r="BA398" s="320"/>
      <c r="BB398" s="320"/>
      <c r="BC398" s="320"/>
      <c r="BD398" s="320"/>
      <c r="BE398" s="320"/>
      <c r="BF398" s="320"/>
      <c r="BG398" s="320"/>
      <c r="BH398" s="320"/>
      <c r="BI398" s="320"/>
      <c r="BJ398" s="320"/>
      <c r="BK398" s="320"/>
      <c r="BL398" s="320"/>
      <c r="BM398" s="320"/>
      <c r="BN398" s="320"/>
      <c r="BO398" s="320"/>
      <c r="BP398" s="320"/>
      <c r="BQ398" s="320"/>
      <c r="BR398" s="320"/>
      <c r="BS398" s="320"/>
      <c r="BT398" s="320"/>
      <c r="BU398" s="320"/>
      <c r="BV398" s="320"/>
      <c r="BW398" s="320"/>
      <c r="BX398" s="320"/>
      <c r="BY398" s="320"/>
      <c r="BZ398" s="320"/>
      <c r="CA398" s="320"/>
      <c r="CB398" s="320"/>
      <c r="CC398" s="320"/>
      <c r="CD398" s="320"/>
      <c r="CE398" s="320"/>
      <c r="CF398" s="320"/>
      <c r="CG398" s="320"/>
    </row>
    <row r="399" spans="1:85" hidden="1" outlineLevel="1">
      <c r="A399" s="62"/>
      <c r="B399" s="311" t="s">
        <v>484</v>
      </c>
      <c r="C399" s="313" t="s">
        <v>517</v>
      </c>
      <c r="D399" s="311">
        <f>IF([57]Input!B1="With FGD",25.5,0)</f>
        <v>25.5</v>
      </c>
      <c r="E399" s="316">
        <v>0.05</v>
      </c>
      <c r="F399" s="311"/>
      <c r="G399" s="311">
        <f>D400</f>
        <v>180</v>
      </c>
      <c r="H399" s="320">
        <f>G399*(1+$E$394)</f>
        <v>189</v>
      </c>
      <c r="I399" s="320">
        <f>H399*(1+$E$394)</f>
        <v>198.45000000000002</v>
      </c>
      <c r="J399" s="320">
        <f>I399*(1+$E$394)</f>
        <v>208.37250000000003</v>
      </c>
      <c r="K399" s="320">
        <f>J399*(1+$E$394)</f>
        <v>218.79112500000005</v>
      </c>
      <c r="L399" s="320">
        <f t="shared" ref="L399:X399" si="75">K399*(1+$E$394)</f>
        <v>229.73068125000006</v>
      </c>
      <c r="M399" s="320">
        <f t="shared" si="75"/>
        <v>241.21721531250009</v>
      </c>
      <c r="N399" s="320">
        <f t="shared" si="75"/>
        <v>253.27807607812511</v>
      </c>
      <c r="O399" s="320">
        <f t="shared" si="75"/>
        <v>265.94197988203138</v>
      </c>
      <c r="P399" s="320">
        <f t="shared" si="75"/>
        <v>279.23907887613296</v>
      </c>
      <c r="Q399" s="320">
        <f t="shared" si="75"/>
        <v>293.2010328199396</v>
      </c>
      <c r="R399" s="320">
        <f t="shared" si="75"/>
        <v>307.86108446093658</v>
      </c>
      <c r="S399" s="320">
        <f t="shared" si="75"/>
        <v>323.2541386839834</v>
      </c>
      <c r="T399" s="320">
        <f t="shared" si="75"/>
        <v>339.41684561818261</v>
      </c>
      <c r="U399" s="320">
        <f t="shared" si="75"/>
        <v>356.38768789909176</v>
      </c>
      <c r="V399" s="320">
        <f t="shared" si="75"/>
        <v>374.20707229404638</v>
      </c>
      <c r="W399" s="320">
        <f t="shared" si="75"/>
        <v>392.91742590874873</v>
      </c>
      <c r="X399" s="320">
        <f t="shared" si="75"/>
        <v>412.5632972041862</v>
      </c>
      <c r="Y399" s="320"/>
      <c r="Z399" s="320"/>
      <c r="AA399" s="320"/>
      <c r="AB399" s="320"/>
      <c r="AC399" s="320"/>
      <c r="AD399" s="320"/>
      <c r="AE399" s="320"/>
      <c r="AF399" s="320"/>
      <c r="AG399" s="320"/>
      <c r="AH399" s="320"/>
      <c r="AI399" s="320"/>
      <c r="AJ399" s="320"/>
      <c r="AK399" s="320"/>
      <c r="AL399" s="320"/>
      <c r="AM399" s="320"/>
      <c r="AN399" s="320"/>
      <c r="AO399" s="320"/>
      <c r="AP399" s="320"/>
      <c r="AQ399" s="320"/>
      <c r="AR399" s="320"/>
      <c r="AS399" s="320"/>
      <c r="AT399" s="320"/>
      <c r="AU399" s="320"/>
      <c r="AV399" s="320"/>
      <c r="AW399" s="320"/>
      <c r="AX399" s="320"/>
      <c r="AY399" s="320"/>
      <c r="AZ399" s="320"/>
      <c r="BA399" s="320"/>
      <c r="BB399" s="320"/>
      <c r="BC399" s="320"/>
      <c r="BD399" s="320"/>
      <c r="BE399" s="320"/>
      <c r="BF399" s="320"/>
      <c r="BG399" s="320"/>
      <c r="BH399" s="320"/>
      <c r="BI399" s="320"/>
      <c r="BJ399" s="320"/>
      <c r="BK399" s="320"/>
      <c r="BL399" s="320"/>
      <c r="BM399" s="320"/>
      <c r="BN399" s="320"/>
      <c r="BO399" s="320"/>
      <c r="BP399" s="320"/>
      <c r="BQ399" s="320"/>
      <c r="BR399" s="320"/>
      <c r="BS399" s="320"/>
      <c r="BT399" s="320"/>
      <c r="BU399" s="320"/>
      <c r="BV399" s="320"/>
      <c r="BW399" s="320"/>
      <c r="BX399" s="320"/>
      <c r="BY399" s="320"/>
      <c r="BZ399" s="320"/>
      <c r="CA399" s="320"/>
      <c r="CB399" s="320"/>
      <c r="CC399" s="320"/>
      <c r="CD399" s="320"/>
      <c r="CE399" s="320"/>
      <c r="CF399" s="320"/>
      <c r="CG399" s="320"/>
    </row>
    <row r="400" spans="1:85" hidden="1" outlineLevel="1">
      <c r="A400" s="62"/>
      <c r="B400" s="311" t="s">
        <v>485</v>
      </c>
      <c r="C400" s="313" t="s">
        <v>519</v>
      </c>
      <c r="D400" s="311">
        <v>180</v>
      </c>
      <c r="E400" s="311"/>
      <c r="F400" s="311"/>
      <c r="G400" s="311"/>
      <c r="H400" s="311"/>
      <c r="I400" s="311"/>
      <c r="J400" s="313">
        <f>J398*J399/10^7</f>
        <v>1.978215584625</v>
      </c>
      <c r="K400" s="313">
        <f>K398*K399/10^7</f>
        <v>4.1542527277125005</v>
      </c>
      <c r="L400" s="313">
        <f>L398*L399/10^7</f>
        <v>4.3619653640981264</v>
      </c>
      <c r="M400" s="313">
        <f>M398*M399/10^7</f>
        <v>4.5926117518435889</v>
      </c>
      <c r="N400" s="313">
        <f>N398*N399/10^7</f>
        <v>4.8090668139181849</v>
      </c>
      <c r="O400" s="313">
        <f t="shared" ref="O400:X400" si="76">O398*O399/10^7</f>
        <v>5.0495201546140942</v>
      </c>
      <c r="P400" s="313">
        <f t="shared" si="76"/>
        <v>5.3019961623447989</v>
      </c>
      <c r="Q400" s="313">
        <f t="shared" si="76"/>
        <v>5.5823482881893325</v>
      </c>
      <c r="R400" s="313">
        <f t="shared" si="76"/>
        <v>5.8454507689851409</v>
      </c>
      <c r="S400" s="313">
        <f t="shared" si="76"/>
        <v>6.1377233074343982</v>
      </c>
      <c r="T400" s="313">
        <f t="shared" si="76"/>
        <v>6.4446094728061185</v>
      </c>
      <c r="U400" s="313">
        <f t="shared" si="76"/>
        <v>6.7853792339709358</v>
      </c>
      <c r="V400" s="313">
        <f t="shared" si="76"/>
        <v>7.1051819437687476</v>
      </c>
      <c r="W400" s="313">
        <f t="shared" si="76"/>
        <v>7.4604410409571837</v>
      </c>
      <c r="X400" s="313">
        <f t="shared" si="76"/>
        <v>7.8334630930050446</v>
      </c>
      <c r="Y400" s="313"/>
      <c r="Z400" s="313"/>
      <c r="AA400" s="313"/>
      <c r="AB400" s="313"/>
      <c r="AC400" s="313"/>
      <c r="AD400" s="313"/>
      <c r="AE400" s="313"/>
      <c r="AF400" s="313"/>
      <c r="AG400" s="313"/>
      <c r="AH400" s="313"/>
      <c r="AI400" s="313"/>
      <c r="AJ400" s="313"/>
      <c r="AK400" s="313"/>
      <c r="AL400" s="313"/>
      <c r="AM400" s="313"/>
      <c r="AN400" s="313"/>
      <c r="AO400" s="313"/>
      <c r="AP400" s="313"/>
      <c r="AQ400" s="313"/>
      <c r="AR400" s="313"/>
      <c r="AS400" s="313"/>
      <c r="AT400" s="313"/>
      <c r="AU400" s="313"/>
      <c r="AV400" s="313"/>
      <c r="AW400" s="313"/>
      <c r="AX400" s="313"/>
      <c r="AY400" s="313"/>
      <c r="AZ400" s="313"/>
      <c r="BA400" s="313"/>
      <c r="BB400" s="313"/>
      <c r="BC400" s="313"/>
      <c r="BD400" s="313"/>
      <c r="BE400" s="313"/>
      <c r="BF400" s="313"/>
      <c r="BG400" s="313"/>
      <c r="BH400" s="313"/>
      <c r="BI400" s="313"/>
      <c r="BJ400" s="313"/>
      <c r="BK400" s="313"/>
      <c r="BL400" s="313"/>
      <c r="BM400" s="313"/>
      <c r="BN400" s="313"/>
      <c r="BO400" s="313"/>
      <c r="BP400" s="313"/>
      <c r="BQ400" s="313"/>
      <c r="BR400" s="313"/>
      <c r="BS400" s="313"/>
      <c r="BT400" s="313"/>
      <c r="BU400" s="313"/>
      <c r="BV400" s="313"/>
      <c r="BW400" s="313"/>
      <c r="BX400" s="313"/>
      <c r="BY400" s="313"/>
      <c r="BZ400" s="313"/>
      <c r="CA400" s="313"/>
      <c r="CB400" s="313"/>
      <c r="CC400" s="313"/>
      <c r="CD400" s="313"/>
      <c r="CE400" s="313"/>
      <c r="CF400" s="313"/>
      <c r="CG400" s="313"/>
    </row>
    <row r="401" spans="1:85" hidden="1" outlineLevel="1">
      <c r="A401" s="62"/>
      <c r="B401" s="311" t="s">
        <v>521</v>
      </c>
      <c r="C401" s="313" t="s">
        <v>347</v>
      </c>
      <c r="D401" s="311"/>
      <c r="E401" s="311"/>
      <c r="F401" s="311"/>
      <c r="G401" s="320"/>
      <c r="H401" s="311"/>
      <c r="I401" s="320"/>
      <c r="J401" s="311"/>
      <c r="K401" s="311"/>
      <c r="L401" s="311"/>
      <c r="M401" s="311"/>
      <c r="N401" s="311"/>
      <c r="O401" s="311"/>
      <c r="P401" s="311"/>
      <c r="Q401" s="311"/>
      <c r="R401" s="311"/>
      <c r="S401" s="311"/>
      <c r="T401" s="311"/>
      <c r="U401" s="311"/>
      <c r="V401" s="311"/>
      <c r="W401" s="311"/>
      <c r="X401" s="311"/>
      <c r="Y401" s="311"/>
      <c r="Z401" s="311"/>
      <c r="AA401" s="311"/>
      <c r="AB401" s="311"/>
      <c r="AC401" s="311"/>
      <c r="AD401" s="311"/>
      <c r="AE401" s="311"/>
      <c r="AF401" s="311"/>
      <c r="AG401" s="311"/>
      <c r="AH401" s="311"/>
      <c r="AI401" s="311"/>
      <c r="AJ401" s="311"/>
      <c r="AK401" s="311"/>
      <c r="AL401" s="311"/>
      <c r="AM401" s="311"/>
      <c r="AN401" s="311"/>
      <c r="AO401" s="311"/>
      <c r="AP401" s="311"/>
      <c r="AQ401" s="311"/>
      <c r="AR401" s="311"/>
      <c r="AS401" s="311"/>
      <c r="AT401" s="311"/>
      <c r="AU401" s="311"/>
      <c r="AV401" s="311"/>
      <c r="AW401" s="311"/>
      <c r="AX401" s="311"/>
      <c r="AY401" s="311"/>
      <c r="AZ401" s="311"/>
      <c r="BA401" s="311"/>
      <c r="BB401" s="311"/>
      <c r="BC401" s="311"/>
      <c r="BD401" s="311"/>
      <c r="BE401" s="311"/>
      <c r="BF401" s="311"/>
      <c r="BG401" s="311"/>
      <c r="BH401" s="311"/>
      <c r="BI401" s="311"/>
      <c r="BJ401" s="311"/>
      <c r="BK401" s="311"/>
      <c r="BL401" s="311"/>
      <c r="BM401" s="311"/>
      <c r="BN401" s="311"/>
      <c r="BO401" s="311"/>
      <c r="BP401" s="311"/>
      <c r="BQ401" s="311"/>
      <c r="BR401" s="311"/>
      <c r="BS401" s="311"/>
      <c r="BT401" s="311"/>
      <c r="BU401" s="311"/>
      <c r="BV401" s="311"/>
      <c r="BW401" s="311"/>
      <c r="BX401" s="311"/>
      <c r="BY401" s="311"/>
      <c r="BZ401" s="311"/>
      <c r="CA401" s="311"/>
      <c r="CB401" s="311"/>
      <c r="CC401" s="311"/>
      <c r="CD401" s="311"/>
      <c r="CE401" s="311"/>
      <c r="CF401" s="311"/>
      <c r="CG401" s="311"/>
    </row>
    <row r="402" spans="1:85" hidden="1" outlineLevel="1">
      <c r="A402" s="62"/>
      <c r="B402" s="311"/>
      <c r="C402" s="311"/>
      <c r="D402" s="313"/>
      <c r="E402" s="311"/>
      <c r="F402" s="311"/>
      <c r="G402" s="311"/>
      <c r="H402" s="311"/>
      <c r="I402" s="311"/>
      <c r="J402" s="311"/>
      <c r="K402" s="311"/>
      <c r="L402" s="311"/>
      <c r="M402" s="311"/>
      <c r="N402" s="311"/>
      <c r="O402" s="311"/>
      <c r="P402" s="311"/>
      <c r="Q402" s="311"/>
      <c r="R402" s="311"/>
      <c r="S402" s="311"/>
      <c r="T402" s="311"/>
      <c r="U402" s="311"/>
      <c r="V402" s="311"/>
      <c r="W402" s="311"/>
      <c r="X402" s="311"/>
      <c r="Y402" s="311"/>
      <c r="Z402" s="311"/>
      <c r="AA402" s="311"/>
      <c r="AB402" s="311"/>
      <c r="AC402" s="311"/>
      <c r="AD402" s="311"/>
      <c r="AE402" s="311"/>
      <c r="AF402" s="311"/>
      <c r="AG402" s="311"/>
      <c r="AH402" s="311"/>
      <c r="AI402" s="311"/>
      <c r="AJ402" s="311"/>
      <c r="AK402" s="311"/>
      <c r="AL402" s="311"/>
      <c r="AM402" s="311"/>
      <c r="AN402" s="311"/>
      <c r="AO402" s="311"/>
      <c r="AP402" s="311"/>
      <c r="AQ402" s="311"/>
      <c r="AR402" s="311"/>
      <c r="AS402" s="311"/>
      <c r="AT402" s="311"/>
      <c r="AU402" s="311"/>
      <c r="AV402" s="311"/>
      <c r="AW402" s="311"/>
      <c r="AX402" s="311"/>
      <c r="AY402" s="311"/>
      <c r="AZ402" s="311"/>
      <c r="BA402" s="311"/>
      <c r="BB402" s="311"/>
      <c r="BC402" s="311"/>
      <c r="BD402" s="311"/>
      <c r="BE402" s="311"/>
      <c r="BF402" s="311"/>
      <c r="BG402" s="311"/>
      <c r="BH402" s="311"/>
      <c r="BI402" s="311"/>
      <c r="BJ402" s="311"/>
      <c r="BK402" s="311"/>
      <c r="BL402" s="311"/>
      <c r="BM402" s="311"/>
      <c r="BN402" s="311"/>
      <c r="BO402" s="311"/>
      <c r="BP402" s="311"/>
      <c r="BQ402" s="311"/>
      <c r="BR402" s="311"/>
      <c r="BS402" s="311"/>
      <c r="BT402" s="311"/>
      <c r="BU402" s="311"/>
      <c r="BV402" s="311"/>
      <c r="BW402" s="311"/>
      <c r="BX402" s="311"/>
      <c r="BY402" s="311"/>
      <c r="BZ402" s="311"/>
      <c r="CA402" s="311"/>
      <c r="CB402" s="311"/>
      <c r="CC402" s="311"/>
      <c r="CD402" s="311"/>
      <c r="CE402" s="311"/>
      <c r="CF402" s="311"/>
      <c r="CG402" s="311"/>
    </row>
    <row r="403" spans="1:85" hidden="1" outlineLevel="1">
      <c r="A403" s="62"/>
      <c r="B403" s="311" t="s">
        <v>486</v>
      </c>
      <c r="C403" s="311"/>
      <c r="D403" s="313"/>
      <c r="E403" s="311"/>
      <c r="F403" s="311"/>
      <c r="G403" s="311"/>
      <c r="H403" s="311"/>
      <c r="I403" s="311"/>
      <c r="J403" s="320">
        <f>($D$404*24*(J380-I380))*J382*50%</f>
        <v>845121</v>
      </c>
      <c r="K403" s="320">
        <f t="shared" ref="K403:X403" si="77">($D$404*24*(K380-J380))*K382</f>
        <v>1690242</v>
      </c>
      <c r="L403" s="320">
        <f t="shared" si="77"/>
        <v>1690242</v>
      </c>
      <c r="M403" s="320">
        <f t="shared" si="77"/>
        <v>1694872.8</v>
      </c>
      <c r="N403" s="320">
        <f t="shared" si="77"/>
        <v>1690242</v>
      </c>
      <c r="O403" s="320">
        <f t="shared" si="77"/>
        <v>1690242</v>
      </c>
      <c r="P403" s="320">
        <f t="shared" si="77"/>
        <v>1690242</v>
      </c>
      <c r="Q403" s="320">
        <f t="shared" si="77"/>
        <v>1694872.8</v>
      </c>
      <c r="R403" s="320">
        <f t="shared" si="77"/>
        <v>1690242</v>
      </c>
      <c r="S403" s="320">
        <f t="shared" si="77"/>
        <v>1690242</v>
      </c>
      <c r="T403" s="320">
        <f t="shared" si="77"/>
        <v>1690242</v>
      </c>
      <c r="U403" s="320">
        <f t="shared" si="77"/>
        <v>1694872.8</v>
      </c>
      <c r="V403" s="320">
        <f t="shared" si="77"/>
        <v>1690242</v>
      </c>
      <c r="W403" s="320">
        <f t="shared" si="77"/>
        <v>1690242</v>
      </c>
      <c r="X403" s="320">
        <f t="shared" si="77"/>
        <v>1690242</v>
      </c>
      <c r="Y403" s="320"/>
      <c r="Z403" s="320"/>
      <c r="AA403" s="320"/>
      <c r="AB403" s="320"/>
      <c r="AC403" s="320"/>
      <c r="AD403" s="320"/>
      <c r="AE403" s="320"/>
      <c r="AF403" s="320"/>
      <c r="AG403" s="320"/>
      <c r="AH403" s="320"/>
      <c r="AI403" s="320"/>
      <c r="AJ403" s="320"/>
      <c r="AK403" s="320"/>
      <c r="AL403" s="320"/>
      <c r="AM403" s="320"/>
      <c r="AN403" s="320"/>
      <c r="AO403" s="320"/>
      <c r="AP403" s="320"/>
      <c r="AQ403" s="320"/>
      <c r="AR403" s="320"/>
      <c r="AS403" s="320"/>
      <c r="AT403" s="320"/>
      <c r="AU403" s="320"/>
      <c r="AV403" s="320"/>
      <c r="AW403" s="320"/>
      <c r="AX403" s="320"/>
      <c r="AY403" s="320"/>
      <c r="AZ403" s="320"/>
      <c r="BA403" s="320"/>
      <c r="BB403" s="320"/>
      <c r="BC403" s="320"/>
      <c r="BD403" s="320"/>
      <c r="BE403" s="320"/>
      <c r="BF403" s="320"/>
      <c r="BG403" s="320"/>
      <c r="BH403" s="320"/>
      <c r="BI403" s="320"/>
      <c r="BJ403" s="320"/>
      <c r="BK403" s="320"/>
      <c r="BL403" s="320"/>
      <c r="BM403" s="320"/>
      <c r="BN403" s="320"/>
      <c r="BO403" s="320"/>
      <c r="BP403" s="320"/>
      <c r="BQ403" s="320"/>
      <c r="BR403" s="320"/>
      <c r="BS403" s="320"/>
      <c r="BT403" s="320"/>
      <c r="BU403" s="320"/>
      <c r="BV403" s="320"/>
      <c r="BW403" s="320"/>
      <c r="BX403" s="320"/>
      <c r="BY403" s="320"/>
      <c r="BZ403" s="320"/>
      <c r="CA403" s="320"/>
      <c r="CB403" s="320"/>
      <c r="CC403" s="320"/>
      <c r="CD403" s="320"/>
      <c r="CE403" s="320"/>
      <c r="CF403" s="320"/>
      <c r="CG403" s="320"/>
    </row>
    <row r="404" spans="1:85" hidden="1" outlineLevel="1">
      <c r="A404" s="62"/>
      <c r="B404" s="311" t="s">
        <v>89</v>
      </c>
      <c r="C404" s="313" t="s">
        <v>487</v>
      </c>
      <c r="D404" s="311">
        <f>IF([57]Input!B1="With FGD",227,0)</f>
        <v>227</v>
      </c>
      <c r="E404" s="316">
        <v>0.05</v>
      </c>
      <c r="F404" s="311"/>
      <c r="G404" s="313">
        <f>D405</f>
        <v>5.5</v>
      </c>
      <c r="H404" s="313">
        <f>G404*(1+$E$394)</f>
        <v>5.7750000000000004</v>
      </c>
      <c r="I404" s="313">
        <f>H404*(1+$E$394)</f>
        <v>6.0637500000000006</v>
      </c>
      <c r="J404" s="313">
        <f>I404*(1+$E$394)</f>
        <v>6.3669375000000006</v>
      </c>
      <c r="K404" s="313">
        <f>J404*(1+$E$394)</f>
        <v>6.6852843750000011</v>
      </c>
      <c r="L404" s="313">
        <f t="shared" ref="L404:X404" si="78">K404*(1+$E$394)</f>
        <v>7.0195485937500015</v>
      </c>
      <c r="M404" s="313">
        <f t="shared" si="78"/>
        <v>7.3705260234375016</v>
      </c>
      <c r="N404" s="313">
        <f t="shared" si="78"/>
        <v>7.7390523246093768</v>
      </c>
      <c r="O404" s="313">
        <f t="shared" si="78"/>
        <v>8.1260049408398451</v>
      </c>
      <c r="P404" s="313">
        <f t="shared" si="78"/>
        <v>8.5323051878818372</v>
      </c>
      <c r="Q404" s="313">
        <f t="shared" si="78"/>
        <v>8.9589204472759292</v>
      </c>
      <c r="R404" s="313">
        <f t="shared" si="78"/>
        <v>9.4068664696397253</v>
      </c>
      <c r="S404" s="313">
        <f t="shared" si="78"/>
        <v>9.8772097931217111</v>
      </c>
      <c r="T404" s="313">
        <f t="shared" si="78"/>
        <v>10.371070282777797</v>
      </c>
      <c r="U404" s="313">
        <f t="shared" si="78"/>
        <v>10.889623796916688</v>
      </c>
      <c r="V404" s="313">
        <f t="shared" si="78"/>
        <v>11.434104986762522</v>
      </c>
      <c r="W404" s="313">
        <f t="shared" si="78"/>
        <v>12.005810236100649</v>
      </c>
      <c r="X404" s="313">
        <f t="shared" si="78"/>
        <v>12.606100747905682</v>
      </c>
      <c r="Y404" s="313"/>
      <c r="Z404" s="313"/>
      <c r="AA404" s="313"/>
      <c r="AB404" s="313"/>
      <c r="AC404" s="313"/>
      <c r="AD404" s="313"/>
      <c r="AE404" s="313"/>
      <c r="AF404" s="313"/>
      <c r="AG404" s="313"/>
      <c r="AH404" s="313"/>
      <c r="AI404" s="313"/>
      <c r="AJ404" s="313"/>
      <c r="AK404" s="313"/>
      <c r="AL404" s="313"/>
      <c r="AM404" s="313"/>
      <c r="AN404" s="313"/>
      <c r="AO404" s="313"/>
      <c r="AP404" s="313"/>
      <c r="AQ404" s="313"/>
      <c r="AR404" s="313"/>
      <c r="AS404" s="313"/>
      <c r="AT404" s="313"/>
      <c r="AU404" s="313"/>
      <c r="AV404" s="313"/>
      <c r="AW404" s="313"/>
      <c r="AX404" s="313"/>
      <c r="AY404" s="313"/>
      <c r="AZ404" s="313"/>
      <c r="BA404" s="313"/>
      <c r="BB404" s="313"/>
      <c r="BC404" s="313"/>
      <c r="BD404" s="313"/>
      <c r="BE404" s="313"/>
      <c r="BF404" s="313"/>
      <c r="BG404" s="313"/>
      <c r="BH404" s="313"/>
      <c r="BI404" s="313"/>
      <c r="BJ404" s="313"/>
      <c r="BK404" s="313"/>
      <c r="BL404" s="313"/>
      <c r="BM404" s="313"/>
      <c r="BN404" s="313"/>
      <c r="BO404" s="313"/>
      <c r="BP404" s="313"/>
      <c r="BQ404" s="313"/>
      <c r="BR404" s="313"/>
      <c r="BS404" s="313"/>
      <c r="BT404" s="313"/>
      <c r="BU404" s="313"/>
      <c r="BV404" s="313"/>
      <c r="BW404" s="313"/>
      <c r="BX404" s="313"/>
      <c r="BY404" s="313"/>
      <c r="BZ404" s="313"/>
      <c r="CA404" s="313"/>
      <c r="CB404" s="313"/>
      <c r="CC404" s="313"/>
      <c r="CD404" s="313"/>
      <c r="CE404" s="313"/>
      <c r="CF404" s="313"/>
      <c r="CG404" s="313"/>
    </row>
    <row r="405" spans="1:85" hidden="1" outlineLevel="1">
      <c r="A405" s="62"/>
      <c r="B405" s="311" t="s">
        <v>522</v>
      </c>
      <c r="C405" s="313" t="s">
        <v>523</v>
      </c>
      <c r="D405" s="313">
        <v>5.5</v>
      </c>
      <c r="E405" s="311"/>
      <c r="F405" s="311"/>
      <c r="G405" s="311"/>
      <c r="H405" s="311"/>
      <c r="I405" s="311"/>
      <c r="J405" s="313">
        <f>J403*J404/10^7</f>
        <v>0.53808325869375007</v>
      </c>
      <c r="K405" s="313">
        <f>K403*K404/10^7</f>
        <v>1.129974843256875</v>
      </c>
      <c r="L405" s="313">
        <f>L403*L404/10^7</f>
        <v>1.1864735854197188</v>
      </c>
      <c r="M405" s="313">
        <f>M403*M404/10^7</f>
        <v>1.2492104078816384</v>
      </c>
      <c r="N405" s="313">
        <f>N403*N404/10^7</f>
        <v>1.3080871279252402</v>
      </c>
      <c r="O405" s="313">
        <f t="shared" ref="O405:X405" si="79">O403*O404/10^7</f>
        <v>1.3734914843215023</v>
      </c>
      <c r="P405" s="313">
        <f t="shared" si="79"/>
        <v>1.4421660585375773</v>
      </c>
      <c r="Q405" s="313">
        <f t="shared" si="79"/>
        <v>1.5184230583451808</v>
      </c>
      <c r="R405" s="313">
        <f t="shared" si="79"/>
        <v>1.5899880795376788</v>
      </c>
      <c r="S405" s="313">
        <f t="shared" si="79"/>
        <v>1.6694874835145628</v>
      </c>
      <c r="T405" s="313">
        <f t="shared" si="79"/>
        <v>1.752961857690291</v>
      </c>
      <c r="U405" s="313">
        <f t="shared" si="79"/>
        <v>1.8456527175626818</v>
      </c>
      <c r="V405" s="313">
        <f t="shared" si="79"/>
        <v>1.932640448103546</v>
      </c>
      <c r="W405" s="313">
        <f t="shared" si="79"/>
        <v>2.0292724705087233</v>
      </c>
      <c r="X405" s="313">
        <f t="shared" si="79"/>
        <v>2.1307360940341598</v>
      </c>
      <c r="Y405" s="313"/>
      <c r="Z405" s="313"/>
      <c r="AA405" s="313"/>
      <c r="AB405" s="313"/>
      <c r="AC405" s="313"/>
      <c r="AD405" s="313"/>
      <c r="AE405" s="313"/>
      <c r="AF405" s="313"/>
      <c r="AG405" s="313"/>
      <c r="AH405" s="313"/>
      <c r="AI405" s="313"/>
      <c r="AJ405" s="313"/>
      <c r="AK405" s="313"/>
      <c r="AL405" s="313"/>
      <c r="AM405" s="313"/>
      <c r="AN405" s="313"/>
      <c r="AO405" s="313"/>
      <c r="AP405" s="313"/>
      <c r="AQ405" s="313"/>
      <c r="AR405" s="313"/>
      <c r="AS405" s="313"/>
      <c r="AT405" s="313"/>
      <c r="AU405" s="313"/>
      <c r="AV405" s="313"/>
      <c r="AW405" s="313"/>
      <c r="AX405" s="313"/>
      <c r="AY405" s="313"/>
      <c r="AZ405" s="313"/>
      <c r="BA405" s="313"/>
      <c r="BB405" s="313"/>
      <c r="BC405" s="313"/>
      <c r="BD405" s="313"/>
      <c r="BE405" s="313"/>
      <c r="BF405" s="313"/>
      <c r="BG405" s="313"/>
      <c r="BH405" s="313"/>
      <c r="BI405" s="313"/>
      <c r="BJ405" s="313"/>
      <c r="BK405" s="313"/>
      <c r="BL405" s="313"/>
      <c r="BM405" s="313"/>
      <c r="BN405" s="313"/>
      <c r="BO405" s="313"/>
      <c r="BP405" s="313"/>
      <c r="BQ405" s="313"/>
      <c r="BR405" s="313"/>
      <c r="BS405" s="313"/>
      <c r="BT405" s="313"/>
      <c r="BU405" s="313"/>
      <c r="BV405" s="313"/>
      <c r="BW405" s="313"/>
      <c r="BX405" s="313"/>
      <c r="BY405" s="313"/>
      <c r="BZ405" s="313"/>
      <c r="CA405" s="313"/>
      <c r="CB405" s="313"/>
      <c r="CC405" s="313"/>
      <c r="CD405" s="313"/>
      <c r="CE405" s="313"/>
      <c r="CF405" s="313"/>
      <c r="CG405" s="313"/>
    </row>
    <row r="406" spans="1:85" hidden="1" outlineLevel="1">
      <c r="A406" s="62"/>
      <c r="B406" s="311" t="s">
        <v>524</v>
      </c>
      <c r="C406" s="313" t="s">
        <v>347</v>
      </c>
      <c r="D406" s="311"/>
      <c r="E406" s="311"/>
      <c r="F406" s="311"/>
      <c r="G406" s="311"/>
      <c r="H406" s="311"/>
      <c r="I406" s="311"/>
      <c r="J406" s="311"/>
      <c r="K406" s="311"/>
      <c r="L406" s="311"/>
      <c r="M406" s="311"/>
      <c r="N406" s="311"/>
      <c r="O406" s="311"/>
      <c r="P406" s="311"/>
      <c r="Q406" s="311"/>
      <c r="R406" s="311"/>
      <c r="S406" s="311"/>
      <c r="T406" s="311"/>
      <c r="U406" s="311"/>
      <c r="V406" s="311"/>
      <c r="W406" s="311"/>
      <c r="X406" s="311"/>
      <c r="Y406" s="311"/>
      <c r="Z406" s="311"/>
      <c r="AA406" s="311"/>
      <c r="AB406" s="311"/>
      <c r="AC406" s="311"/>
      <c r="AD406" s="311"/>
      <c r="AE406" s="311"/>
      <c r="AF406" s="311"/>
      <c r="AG406" s="311"/>
      <c r="AH406" s="311"/>
      <c r="AI406" s="311"/>
      <c r="AJ406" s="311"/>
      <c r="AK406" s="311"/>
      <c r="AL406" s="311"/>
      <c r="AM406" s="311"/>
      <c r="AN406" s="311"/>
      <c r="AO406" s="311"/>
      <c r="AP406" s="311"/>
      <c r="AQ406" s="311"/>
      <c r="AR406" s="311"/>
      <c r="AS406" s="311"/>
      <c r="AT406" s="311"/>
      <c r="AU406" s="311"/>
      <c r="AV406" s="311"/>
      <c r="AW406" s="311"/>
      <c r="AX406" s="311"/>
      <c r="AY406" s="311"/>
      <c r="AZ406" s="311"/>
      <c r="BA406" s="311"/>
      <c r="BB406" s="311"/>
      <c r="BC406" s="311"/>
      <c r="BD406" s="311"/>
      <c r="BE406" s="311"/>
      <c r="BF406" s="311"/>
      <c r="BG406" s="311"/>
      <c r="BH406" s="311"/>
      <c r="BI406" s="311"/>
      <c r="BJ406" s="311"/>
      <c r="BK406" s="311"/>
      <c r="BL406" s="311"/>
      <c r="BM406" s="311"/>
      <c r="BN406" s="311"/>
      <c r="BO406" s="311"/>
      <c r="BP406" s="311"/>
      <c r="BQ406" s="311"/>
      <c r="BR406" s="311"/>
      <c r="BS406" s="311"/>
      <c r="BT406" s="311"/>
      <c r="BU406" s="311"/>
      <c r="BV406" s="311"/>
      <c r="BW406" s="311"/>
      <c r="BX406" s="311"/>
      <c r="BY406" s="311"/>
      <c r="BZ406" s="311"/>
      <c r="CA406" s="311"/>
      <c r="CB406" s="311"/>
      <c r="CC406" s="311"/>
      <c r="CD406" s="311"/>
      <c r="CE406" s="311"/>
      <c r="CF406" s="311"/>
      <c r="CG406" s="311"/>
    </row>
    <row r="407" spans="1:85" hidden="1" outlineLevel="1">
      <c r="A407" s="62"/>
      <c r="B407" s="311"/>
      <c r="C407" s="311"/>
      <c r="D407" s="313"/>
      <c r="E407" s="311"/>
      <c r="F407" s="311"/>
      <c r="G407" s="311"/>
      <c r="H407" s="311"/>
      <c r="I407" s="311"/>
      <c r="J407" s="313">
        <f>($D$408*24*(J380-I380))*J382*50%/10^6</f>
        <v>26.433299999999999</v>
      </c>
      <c r="K407" s="313">
        <f>($D$408*24*(K380-J380))*K382/10^6</f>
        <v>52.866599999999998</v>
      </c>
      <c r="L407" s="313">
        <f t="shared" ref="L407:X407" si="80">($D$408*24*(L380-K380))*L382/10^6</f>
        <v>52.866599999999998</v>
      </c>
      <c r="M407" s="313">
        <f t="shared" si="80"/>
        <v>53.01144</v>
      </c>
      <c r="N407" s="313">
        <f t="shared" si="80"/>
        <v>52.866599999999998</v>
      </c>
      <c r="O407" s="313">
        <f t="shared" si="80"/>
        <v>52.866599999999998</v>
      </c>
      <c r="P407" s="313">
        <f t="shared" si="80"/>
        <v>52.866599999999998</v>
      </c>
      <c r="Q407" s="313">
        <f t="shared" si="80"/>
        <v>53.01144</v>
      </c>
      <c r="R407" s="313">
        <f t="shared" si="80"/>
        <v>52.866599999999998</v>
      </c>
      <c r="S407" s="313">
        <f t="shared" si="80"/>
        <v>52.866599999999998</v>
      </c>
      <c r="T407" s="313">
        <f t="shared" si="80"/>
        <v>52.866599999999998</v>
      </c>
      <c r="U407" s="313">
        <f t="shared" si="80"/>
        <v>53.01144</v>
      </c>
      <c r="V407" s="313">
        <f t="shared" si="80"/>
        <v>52.866599999999998</v>
      </c>
      <c r="W407" s="313">
        <f t="shared" si="80"/>
        <v>52.866599999999998</v>
      </c>
      <c r="X407" s="313">
        <f t="shared" si="80"/>
        <v>52.866599999999998</v>
      </c>
      <c r="Y407" s="313"/>
      <c r="Z407" s="313"/>
      <c r="AA407" s="313"/>
      <c r="AB407" s="313"/>
      <c r="AC407" s="313"/>
      <c r="AD407" s="313"/>
      <c r="AE407" s="313"/>
      <c r="AF407" s="313"/>
      <c r="AG407" s="313"/>
      <c r="AH407" s="313"/>
      <c r="AI407" s="313"/>
      <c r="AJ407" s="313"/>
      <c r="AK407" s="313"/>
      <c r="AL407" s="313"/>
      <c r="AM407" s="313"/>
      <c r="AN407" s="313"/>
      <c r="AO407" s="313"/>
      <c r="AP407" s="313"/>
      <c r="AQ407" s="313"/>
      <c r="AR407" s="313"/>
      <c r="AS407" s="313"/>
      <c r="AT407" s="313"/>
      <c r="AU407" s="313"/>
      <c r="AV407" s="313"/>
      <c r="AW407" s="313"/>
      <c r="AX407" s="313"/>
      <c r="AY407" s="313"/>
      <c r="AZ407" s="313"/>
      <c r="BA407" s="313"/>
      <c r="BB407" s="313"/>
      <c r="BC407" s="313"/>
      <c r="BD407" s="313"/>
      <c r="BE407" s="313"/>
      <c r="BF407" s="313"/>
      <c r="BG407" s="313"/>
      <c r="BH407" s="313"/>
      <c r="BI407" s="313"/>
      <c r="BJ407" s="313"/>
      <c r="BK407" s="313"/>
      <c r="BL407" s="313"/>
      <c r="BM407" s="313"/>
      <c r="BN407" s="313"/>
      <c r="BO407" s="313"/>
      <c r="BP407" s="313"/>
      <c r="BQ407" s="313"/>
      <c r="BR407" s="313"/>
      <c r="BS407" s="313"/>
      <c r="BT407" s="313"/>
      <c r="BU407" s="313"/>
      <c r="BV407" s="313"/>
      <c r="BW407" s="313"/>
      <c r="BX407" s="313"/>
      <c r="BY407" s="313"/>
      <c r="BZ407" s="313"/>
      <c r="CA407" s="313"/>
      <c r="CB407" s="313"/>
      <c r="CC407" s="313"/>
      <c r="CD407" s="313"/>
      <c r="CE407" s="313"/>
      <c r="CF407" s="313"/>
      <c r="CG407" s="313"/>
    </row>
    <row r="408" spans="1:85" hidden="1" outlineLevel="1">
      <c r="A408" s="62"/>
      <c r="B408" s="311" t="s">
        <v>525</v>
      </c>
      <c r="C408" s="313" t="s">
        <v>526</v>
      </c>
      <c r="D408" s="320">
        <f>IF([57]Input!B1="With FGD",7100,0)</f>
        <v>7100</v>
      </c>
      <c r="E408" s="311"/>
      <c r="F408" s="311"/>
      <c r="G408" s="311"/>
      <c r="H408" s="311"/>
      <c r="I408" s="311"/>
      <c r="J408" s="313">
        <f>($D$409*24*(J380-I380))*J382*50%/10^6</f>
        <v>53.611199999999997</v>
      </c>
      <c r="K408" s="313">
        <f>($D$409*24*(K380-J380))*K382/10^6</f>
        <v>107.22239999999999</v>
      </c>
      <c r="L408" s="313">
        <f t="shared" ref="L408:X408" si="81">($D$409*24*(L380-K380))*L382/10^6</f>
        <v>107.22239999999999</v>
      </c>
      <c r="M408" s="313">
        <f t="shared" si="81"/>
        <v>107.51616</v>
      </c>
      <c r="N408" s="313">
        <f t="shared" si="81"/>
        <v>107.22239999999999</v>
      </c>
      <c r="O408" s="313">
        <f t="shared" si="81"/>
        <v>107.22239999999999</v>
      </c>
      <c r="P408" s="313">
        <f t="shared" si="81"/>
        <v>107.22239999999999</v>
      </c>
      <c r="Q408" s="313">
        <f t="shared" si="81"/>
        <v>107.51616</v>
      </c>
      <c r="R408" s="313">
        <f t="shared" si="81"/>
        <v>107.22239999999999</v>
      </c>
      <c r="S408" s="313">
        <f t="shared" si="81"/>
        <v>107.22239999999999</v>
      </c>
      <c r="T408" s="313">
        <f t="shared" si="81"/>
        <v>107.22239999999999</v>
      </c>
      <c r="U408" s="313">
        <f t="shared" si="81"/>
        <v>107.51616</v>
      </c>
      <c r="V408" s="313">
        <f t="shared" si="81"/>
        <v>107.22239999999999</v>
      </c>
      <c r="W408" s="313">
        <f t="shared" si="81"/>
        <v>107.22239999999999</v>
      </c>
      <c r="X408" s="313">
        <f t="shared" si="81"/>
        <v>107.22239999999999</v>
      </c>
      <c r="Y408" s="313"/>
      <c r="Z408" s="313"/>
      <c r="AA408" s="313"/>
      <c r="AB408" s="313"/>
      <c r="AC408" s="313"/>
      <c r="AD408" s="313"/>
      <c r="AE408" s="313"/>
      <c r="AF408" s="313"/>
      <c r="AG408" s="313"/>
      <c r="AH408" s="313"/>
      <c r="AI408" s="313"/>
      <c r="AJ408" s="313"/>
      <c r="AK408" s="313"/>
      <c r="AL408" s="313"/>
      <c r="AM408" s="313"/>
      <c r="AN408" s="313"/>
      <c r="AO408" s="313"/>
      <c r="AP408" s="313"/>
      <c r="AQ408" s="313"/>
      <c r="AR408" s="313"/>
      <c r="AS408" s="313"/>
      <c r="AT408" s="313"/>
      <c r="AU408" s="313"/>
      <c r="AV408" s="313"/>
      <c r="AW408" s="313"/>
      <c r="AX408" s="313"/>
      <c r="AY408" s="313"/>
      <c r="AZ408" s="313"/>
      <c r="BA408" s="313"/>
      <c r="BB408" s="313"/>
      <c r="BC408" s="313"/>
      <c r="BD408" s="313"/>
      <c r="BE408" s="313"/>
      <c r="BF408" s="313"/>
      <c r="BG408" s="313"/>
      <c r="BH408" s="313"/>
      <c r="BI408" s="313"/>
      <c r="BJ408" s="313"/>
      <c r="BK408" s="313"/>
      <c r="BL408" s="313"/>
      <c r="BM408" s="313"/>
      <c r="BN408" s="313"/>
      <c r="BO408" s="313"/>
      <c r="BP408" s="313"/>
      <c r="BQ408" s="313"/>
      <c r="BR408" s="313"/>
      <c r="BS408" s="313"/>
      <c r="BT408" s="313"/>
      <c r="BU408" s="313"/>
      <c r="BV408" s="313"/>
      <c r="BW408" s="313"/>
      <c r="BX408" s="313"/>
      <c r="BY408" s="313"/>
      <c r="BZ408" s="313"/>
      <c r="CA408" s="313"/>
      <c r="CB408" s="313"/>
      <c r="CC408" s="313"/>
      <c r="CD408" s="313"/>
      <c r="CE408" s="313"/>
      <c r="CF408" s="313"/>
      <c r="CG408" s="313"/>
    </row>
    <row r="409" spans="1:85" hidden="1">
      <c r="A409" s="62"/>
      <c r="B409" s="311" t="s">
        <v>527</v>
      </c>
      <c r="C409" s="313" t="s">
        <v>526</v>
      </c>
      <c r="D409" s="320">
        <f>IF([57]Input!B1="With FGD",14400,0)</f>
        <v>14400</v>
      </c>
      <c r="E409" s="311"/>
      <c r="F409" s="311"/>
      <c r="G409" s="311"/>
      <c r="H409" s="311"/>
      <c r="I409" s="311"/>
      <c r="J409" s="311"/>
      <c r="K409" s="311"/>
      <c r="L409" s="311"/>
      <c r="M409" s="311"/>
      <c r="N409" s="311"/>
      <c r="O409" s="311"/>
      <c r="P409" s="311"/>
      <c r="Q409" s="311"/>
      <c r="R409" s="311"/>
      <c r="S409" s="311"/>
      <c r="T409" s="311"/>
      <c r="U409" s="311"/>
      <c r="V409" s="311"/>
      <c r="W409" s="311"/>
      <c r="X409" s="311"/>
      <c r="Y409" s="311"/>
      <c r="Z409" s="311"/>
      <c r="AA409" s="311"/>
      <c r="AB409" s="311"/>
      <c r="AC409" s="311"/>
      <c r="AD409" s="311"/>
      <c r="AE409" s="311"/>
      <c r="AF409" s="311"/>
      <c r="AG409" s="311"/>
      <c r="AH409" s="311"/>
      <c r="AI409" s="311"/>
      <c r="AJ409" s="311"/>
      <c r="AK409" s="311"/>
      <c r="AL409" s="311"/>
      <c r="AM409" s="311"/>
      <c r="AN409" s="311"/>
      <c r="AO409" s="311"/>
      <c r="AP409" s="311"/>
      <c r="AQ409" s="311"/>
      <c r="AR409" s="311"/>
      <c r="AS409" s="311"/>
      <c r="AT409" s="311"/>
      <c r="AU409" s="311"/>
      <c r="AV409" s="311"/>
      <c r="AW409" s="311"/>
      <c r="AX409" s="311"/>
      <c r="AY409" s="311"/>
      <c r="AZ409" s="311"/>
      <c r="BA409" s="311"/>
      <c r="BB409" s="311"/>
      <c r="BC409" s="311"/>
      <c r="BD409" s="311"/>
      <c r="BE409" s="311"/>
      <c r="BF409" s="311"/>
      <c r="BG409" s="311"/>
      <c r="BH409" s="311"/>
      <c r="BI409" s="311"/>
      <c r="BJ409" s="311"/>
      <c r="BK409" s="311"/>
      <c r="BL409" s="311"/>
      <c r="BM409" s="311"/>
      <c r="BN409" s="311"/>
      <c r="BO409" s="311"/>
      <c r="BP409" s="311"/>
      <c r="BQ409" s="311"/>
      <c r="BR409" s="311"/>
      <c r="BS409" s="311"/>
      <c r="BT409" s="311"/>
      <c r="BU409" s="311"/>
      <c r="BV409" s="311"/>
      <c r="BW409" s="311"/>
      <c r="BX409" s="311"/>
      <c r="BY409" s="311"/>
      <c r="BZ409" s="311"/>
      <c r="CA409" s="311"/>
      <c r="CB409" s="311"/>
      <c r="CC409" s="311"/>
      <c r="CD409" s="311"/>
      <c r="CE409" s="311"/>
      <c r="CF409" s="311"/>
      <c r="CG409" s="311"/>
    </row>
    <row r="410" spans="1:85" hidden="1">
      <c r="A410" s="62"/>
      <c r="B410" s="311"/>
      <c r="C410" s="311"/>
      <c r="D410" s="313"/>
      <c r="E410" s="323" t="s">
        <v>424</v>
      </c>
      <c r="F410" s="311"/>
      <c r="G410" s="311"/>
      <c r="H410" s="311"/>
      <c r="I410" s="311"/>
      <c r="J410" s="320"/>
      <c r="K410" s="311"/>
      <c r="L410" s="311"/>
      <c r="M410" s="311"/>
      <c r="N410" s="311"/>
      <c r="O410" s="311"/>
      <c r="P410" s="311"/>
      <c r="Q410" s="311"/>
      <c r="R410" s="311"/>
      <c r="S410" s="311"/>
      <c r="T410" s="311"/>
      <c r="U410" s="311"/>
      <c r="V410" s="311"/>
      <c r="W410" s="311"/>
      <c r="X410" s="311"/>
      <c r="Y410" s="311"/>
      <c r="Z410" s="311"/>
      <c r="AA410" s="311"/>
      <c r="AB410" s="311"/>
      <c r="AC410" s="311"/>
      <c r="AD410" s="311"/>
      <c r="AE410" s="311"/>
      <c r="AF410" s="311"/>
      <c r="AG410" s="311"/>
      <c r="AH410" s="311"/>
      <c r="AI410" s="311"/>
      <c r="AJ410" s="311"/>
      <c r="AK410" s="311"/>
      <c r="AL410" s="311"/>
      <c r="AM410" s="311"/>
      <c r="AN410" s="311"/>
      <c r="AO410" s="311"/>
      <c r="AP410" s="311"/>
      <c r="AQ410" s="311"/>
      <c r="AR410" s="311"/>
      <c r="AS410" s="311"/>
      <c r="AT410" s="311"/>
      <c r="AU410" s="311"/>
      <c r="AV410" s="311"/>
      <c r="AW410" s="311"/>
      <c r="AX410" s="311"/>
      <c r="AY410" s="311"/>
      <c r="AZ410" s="311"/>
      <c r="BA410" s="311"/>
      <c r="BB410" s="311"/>
      <c r="BC410" s="311"/>
      <c r="BD410" s="311"/>
      <c r="BE410" s="311"/>
      <c r="BF410" s="311"/>
      <c r="BG410" s="311"/>
      <c r="BH410" s="311"/>
      <c r="BI410" s="311"/>
      <c r="BJ410" s="311"/>
      <c r="BK410" s="311"/>
      <c r="BL410" s="311"/>
      <c r="BM410" s="311"/>
      <c r="BN410" s="311"/>
      <c r="BO410" s="311"/>
      <c r="BP410" s="311"/>
      <c r="BQ410" s="311"/>
      <c r="BR410" s="311"/>
      <c r="BS410" s="311"/>
      <c r="BT410" s="311"/>
      <c r="BU410" s="311"/>
      <c r="BV410" s="311"/>
      <c r="BW410" s="311"/>
      <c r="BX410" s="311"/>
      <c r="BY410" s="311"/>
      <c r="BZ410" s="311"/>
      <c r="CA410" s="311"/>
      <c r="CB410" s="311"/>
      <c r="CC410" s="311"/>
      <c r="CD410" s="311"/>
      <c r="CE410" s="311"/>
      <c r="CF410" s="311"/>
      <c r="CG410" s="311"/>
    </row>
    <row r="411" spans="1:85" hidden="1">
      <c r="A411" s="62"/>
      <c r="B411" s="311" t="s">
        <v>528</v>
      </c>
      <c r="C411" s="311">
        <f>IF([57]Input!B1="With FGD",60,0)</f>
        <v>60</v>
      </c>
      <c r="D411" s="313" t="s">
        <v>529</v>
      </c>
      <c r="E411" s="323" t="s">
        <v>425</v>
      </c>
      <c r="F411" s="311"/>
      <c r="G411" s="311"/>
      <c r="H411" s="311"/>
      <c r="I411" s="311"/>
      <c r="J411" s="320"/>
      <c r="K411" s="311"/>
      <c r="L411" s="311"/>
      <c r="M411" s="311"/>
      <c r="N411" s="311"/>
      <c r="O411" s="311"/>
      <c r="P411" s="311"/>
      <c r="Q411" s="311"/>
      <c r="R411" s="311"/>
      <c r="S411" s="311"/>
      <c r="T411" s="311"/>
      <c r="U411" s="311"/>
      <c r="V411" s="311"/>
      <c r="W411" s="311"/>
      <c r="X411" s="311"/>
      <c r="Y411" s="311"/>
      <c r="Z411" s="311"/>
      <c r="AA411" s="311"/>
      <c r="AB411" s="311"/>
      <c r="AC411" s="311"/>
      <c r="AD411" s="311"/>
      <c r="AE411" s="311"/>
      <c r="AF411" s="311"/>
      <c r="AG411" s="311"/>
      <c r="AH411" s="311"/>
      <c r="AI411" s="311"/>
      <c r="AJ411" s="311"/>
      <c r="AK411" s="311"/>
      <c r="AL411" s="311"/>
      <c r="AM411" s="311"/>
      <c r="AN411" s="311"/>
      <c r="AO411" s="311"/>
      <c r="AP411" s="311"/>
      <c r="AQ411" s="311"/>
      <c r="AR411" s="311"/>
      <c r="AS411" s="311"/>
      <c r="AT411" s="311"/>
      <c r="AU411" s="311"/>
      <c r="AV411" s="311"/>
      <c r="AW411" s="311"/>
      <c r="AX411" s="311"/>
      <c r="AY411" s="311"/>
      <c r="AZ411" s="311"/>
      <c r="BA411" s="311"/>
      <c r="BB411" s="311"/>
      <c r="BC411" s="311"/>
      <c r="BD411" s="311"/>
      <c r="BE411" s="311"/>
      <c r="BF411" s="311"/>
      <c r="BG411" s="311"/>
      <c r="BH411" s="311"/>
      <c r="BI411" s="311"/>
      <c r="BJ411" s="311"/>
      <c r="BK411" s="311"/>
      <c r="BL411" s="311"/>
      <c r="BM411" s="311"/>
      <c r="BN411" s="311"/>
      <c r="BO411" s="311"/>
      <c r="BP411" s="311"/>
      <c r="BQ411" s="311"/>
      <c r="BR411" s="311"/>
      <c r="BS411" s="311"/>
      <c r="BT411" s="311"/>
      <c r="BU411" s="311"/>
      <c r="BV411" s="311"/>
      <c r="BW411" s="311"/>
      <c r="BX411" s="311"/>
      <c r="BY411" s="311"/>
      <c r="BZ411" s="311"/>
      <c r="CA411" s="311"/>
      <c r="CB411" s="311"/>
      <c r="CC411" s="311"/>
      <c r="CD411" s="311"/>
      <c r="CE411" s="311"/>
      <c r="CF411" s="311"/>
      <c r="CG411" s="311"/>
    </row>
    <row r="412" spans="1:85" hidden="1">
      <c r="B412" s="311"/>
      <c r="C412" s="311">
        <f>IF([57]Input!B1="With FGD",60,0)</f>
        <v>60</v>
      </c>
      <c r="D412" s="313" t="s">
        <v>529</v>
      </c>
      <c r="J412" s="324"/>
    </row>
  </sheetData>
  <mergeCells count="2">
    <mergeCell ref="C20:D20"/>
    <mergeCell ref="F20:G20"/>
  </mergeCells>
  <dataValidations disablePrompts="1" count="3">
    <dataValidation type="list" allowBlank="1" showInputMessage="1" showErrorMessage="1" sqref="C51:D51">
      <formula1>"Existing Proprtionate, Equal Co-Terminus, Equal Specified, Structured Co-Terminus,Structured Specified"</formula1>
    </dataValidation>
    <dataValidation type="list" allowBlank="1" showInputMessage="1" showErrorMessage="1" sqref="D377">
      <formula1>"Equal,Structure"</formula1>
    </dataValidation>
    <dataValidation type="list" allowBlank="1" showInputMessage="1" showErrorMessage="1" sqref="C231">
      <formula1>"Repayment,Depreciation"</formula1>
    </dataValidation>
  </dataValidations>
  <pageMargins left="0.7" right="0.7" top="0.75" bottom="0.75" header="0.3" footer="0.3"/>
  <pageSetup paperSize="9" orientation="portrait" r:id="rId1"/>
  <ignoredErrors>
    <ignoredError sqref="F185" formula="1"/>
    <ignoredError sqref="G25 AG61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112"/>
  <sheetViews>
    <sheetView topLeftCell="A95" zoomScaleNormal="100" workbookViewId="0">
      <selection activeCell="D117" sqref="D117"/>
    </sheetView>
  </sheetViews>
  <sheetFormatPr defaultRowHeight="12.75"/>
  <cols>
    <col min="1" max="1" width="35.42578125" style="333" customWidth="1"/>
    <col min="2" max="2" width="10.140625" style="333" customWidth="1"/>
    <col min="3" max="3" width="10.7109375" style="333" bestFit="1" customWidth="1"/>
    <col min="4" max="4" width="10.140625" style="399" customWidth="1"/>
    <col min="5" max="5" width="8.85546875" style="333" customWidth="1"/>
    <col min="6" max="6" width="8.7109375" style="333" bestFit="1" customWidth="1"/>
    <col min="7" max="7" width="9" style="333" bestFit="1" customWidth="1"/>
    <col min="8" max="8" width="8.42578125" style="333" bestFit="1" customWidth="1"/>
    <col min="9" max="9" width="8.7109375" style="333" bestFit="1" customWidth="1"/>
    <col min="10" max="10" width="8.85546875" style="333" bestFit="1" customWidth="1"/>
    <col min="11" max="12" width="8.5703125" style="333" bestFit="1" customWidth="1"/>
    <col min="13" max="13" width="8.42578125" style="333" bestFit="1" customWidth="1"/>
    <col min="14" max="14" width="8.7109375" style="333" bestFit="1" customWidth="1"/>
    <col min="15" max="15" width="8.5703125" style="333" bestFit="1" customWidth="1"/>
    <col min="16" max="16" width="9.140625" style="333"/>
    <col min="17" max="18" width="8.7109375" style="333" bestFit="1" customWidth="1"/>
    <col min="19" max="19" width="9" style="333" bestFit="1" customWidth="1"/>
    <col min="20" max="20" width="8.42578125" style="333" bestFit="1" customWidth="1"/>
    <col min="21" max="21" width="8.7109375" style="333" bestFit="1" customWidth="1"/>
    <col min="22" max="22" width="8.85546875" style="333" bestFit="1" customWidth="1"/>
    <col min="23" max="23" width="8.5703125" style="333" bestFit="1" customWidth="1"/>
    <col min="24" max="24" width="8.140625" style="333" bestFit="1" customWidth="1"/>
    <col min="25" max="25" width="8.42578125" style="333" bestFit="1" customWidth="1"/>
    <col min="26" max="26" width="8.7109375" style="333" bestFit="1" customWidth="1"/>
    <col min="27" max="27" width="8.5703125" style="333" bestFit="1" customWidth="1"/>
    <col min="28" max="28" width="9.140625" style="333"/>
    <col min="29" max="29" width="8.7109375" style="333" bestFit="1" customWidth="1"/>
    <col min="30" max="16384" width="9.140625" style="333"/>
  </cols>
  <sheetData>
    <row r="1" spans="1:90" s="15" customFormat="1" ht="18.75">
      <c r="A1" s="21" t="s">
        <v>29</v>
      </c>
      <c r="B1" s="4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</row>
    <row r="2" spans="1:90" s="17" customFormat="1" ht="15.75">
      <c r="A2" s="22" t="s">
        <v>530</v>
      </c>
      <c r="B2" s="4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</row>
    <row r="4" spans="1:90" s="329" customFormat="1" ht="13.5" thickBot="1">
      <c r="A4" s="653" t="s">
        <v>531</v>
      </c>
      <c r="B4" s="653"/>
      <c r="C4" s="653"/>
      <c r="D4" s="327"/>
      <c r="E4" s="328">
        <v>0</v>
      </c>
      <c r="F4" s="329">
        <v>1</v>
      </c>
      <c r="G4" s="328">
        <v>2</v>
      </c>
      <c r="H4" s="329">
        <v>3</v>
      </c>
      <c r="I4" s="328">
        <v>4</v>
      </c>
      <c r="J4" s="329">
        <v>5</v>
      </c>
      <c r="K4" s="328">
        <v>6</v>
      </c>
      <c r="L4" s="329">
        <v>7</v>
      </c>
      <c r="M4" s="328">
        <v>8</v>
      </c>
      <c r="N4" s="329">
        <v>9</v>
      </c>
      <c r="O4" s="328">
        <v>10</v>
      </c>
      <c r="P4" s="329">
        <v>11</v>
      </c>
      <c r="Q4" s="328">
        <v>12</v>
      </c>
      <c r="R4" s="329">
        <v>13</v>
      </c>
      <c r="S4" s="328">
        <v>14</v>
      </c>
      <c r="T4" s="329">
        <v>15</v>
      </c>
      <c r="U4" s="328">
        <v>16</v>
      </c>
      <c r="V4" s="329">
        <v>17</v>
      </c>
      <c r="W4" s="328">
        <v>18</v>
      </c>
      <c r="X4" s="329">
        <v>19</v>
      </c>
      <c r="Y4" s="328">
        <v>20</v>
      </c>
      <c r="Z4" s="329">
        <v>21</v>
      </c>
      <c r="AA4" s="328">
        <v>22</v>
      </c>
      <c r="AB4" s="329">
        <v>23</v>
      </c>
      <c r="AC4" s="328">
        <v>24</v>
      </c>
    </row>
    <row r="5" spans="1:90" ht="13.5" thickTop="1">
      <c r="A5" s="330" t="s">
        <v>0</v>
      </c>
      <c r="B5" s="331" t="s">
        <v>532</v>
      </c>
      <c r="C5" s="331" t="s">
        <v>347</v>
      </c>
      <c r="D5" s="331" t="s">
        <v>533</v>
      </c>
      <c r="E5" s="521">
        <v>44104</v>
      </c>
      <c r="F5" s="332">
        <f>EOMONTH(E5,1)</f>
        <v>44135</v>
      </c>
      <c r="G5" s="332">
        <f t="shared" ref="G5:AC5" si="0">EOMONTH(F5,1)</f>
        <v>44165</v>
      </c>
      <c r="H5" s="332">
        <f t="shared" si="0"/>
        <v>44196</v>
      </c>
      <c r="I5" s="332">
        <f t="shared" si="0"/>
        <v>44227</v>
      </c>
      <c r="J5" s="332">
        <f t="shared" si="0"/>
        <v>44255</v>
      </c>
      <c r="K5" s="332">
        <f t="shared" si="0"/>
        <v>44286</v>
      </c>
      <c r="L5" s="332">
        <f t="shared" si="0"/>
        <v>44316</v>
      </c>
      <c r="M5" s="332">
        <f t="shared" si="0"/>
        <v>44347</v>
      </c>
      <c r="N5" s="332">
        <f t="shared" si="0"/>
        <v>44377</v>
      </c>
      <c r="O5" s="332">
        <f t="shared" si="0"/>
        <v>44408</v>
      </c>
      <c r="P5" s="332">
        <f t="shared" si="0"/>
        <v>44439</v>
      </c>
      <c r="Q5" s="332">
        <f t="shared" si="0"/>
        <v>44469</v>
      </c>
      <c r="R5" s="332">
        <f t="shared" si="0"/>
        <v>44500</v>
      </c>
      <c r="S5" s="332">
        <f t="shared" si="0"/>
        <v>44530</v>
      </c>
      <c r="T5" s="332">
        <f t="shared" si="0"/>
        <v>44561</v>
      </c>
      <c r="U5" s="332">
        <f t="shared" si="0"/>
        <v>44592</v>
      </c>
      <c r="V5" s="332">
        <f t="shared" si="0"/>
        <v>44620</v>
      </c>
      <c r="W5" s="332">
        <f t="shared" si="0"/>
        <v>44651</v>
      </c>
      <c r="X5" s="332">
        <f t="shared" si="0"/>
        <v>44681</v>
      </c>
      <c r="Y5" s="332">
        <f t="shared" si="0"/>
        <v>44712</v>
      </c>
      <c r="Z5" s="332">
        <f t="shared" si="0"/>
        <v>44742</v>
      </c>
      <c r="AA5" s="332">
        <f t="shared" si="0"/>
        <v>44773</v>
      </c>
      <c r="AB5" s="332">
        <f t="shared" si="0"/>
        <v>44804</v>
      </c>
      <c r="AC5" s="332">
        <f t="shared" si="0"/>
        <v>44834</v>
      </c>
    </row>
    <row r="6" spans="1:90">
      <c r="A6" s="447"/>
      <c r="B6" s="448"/>
      <c r="C6" s="448"/>
      <c r="D6" s="448"/>
      <c r="E6" s="449">
        <f t="shared" ref="E6:K6" si="1">IF(AND(MONTH(E5)&gt;6,MONTH(E5)&lt;=9),DATE(YEAR(E5),9,30),IF(AND(MONTH(E5)&gt;9,MONTH(E5)&lt;=12),DATE(YEAR(E5),12,31),IF(AND(MONTH(E5)&gt;0,MONTH(E5)&lt;=3),DATE(YEAR(E5),3,31),IF(AND(MONTH(E5)&gt;3,MONTH(E5)&lt;=6),DATE(YEAR(E5),6,30)))))</f>
        <v>44104</v>
      </c>
      <c r="F6" s="449">
        <f t="shared" si="1"/>
        <v>44196</v>
      </c>
      <c r="G6" s="449">
        <f t="shared" si="1"/>
        <v>44196</v>
      </c>
      <c r="H6" s="449">
        <f t="shared" si="1"/>
        <v>44196</v>
      </c>
      <c r="I6" s="449">
        <f t="shared" si="1"/>
        <v>44286</v>
      </c>
      <c r="J6" s="449">
        <f t="shared" si="1"/>
        <v>44286</v>
      </c>
      <c r="K6" s="449">
        <f t="shared" si="1"/>
        <v>44286</v>
      </c>
      <c r="L6" s="449">
        <f>IF(AND(MONTH(L5)&gt;6,MONTH(L5)&lt;=9),DATE(YEAR(L5),9,30),IF(AND(MONTH(L5)&gt;9,MONTH(L5)&lt;=12),DATE(YEAR(L5),12,31),IF(AND(MONTH(L5)&gt;0,MONTH(L5)&lt;=3),DATE(YEAR(L5),3,31),IF(AND(MONTH(L5)&gt;3,MONTH(L5)&lt;=6),DATE(YEAR(L5),6,30)))))</f>
        <v>44377</v>
      </c>
      <c r="M6" s="449">
        <f t="shared" ref="M6:AC6" si="2">IF(AND(MONTH(M5)&gt;6,MONTH(M5)&lt;=9),DATE(YEAR(M5),9,30),IF(AND(MONTH(M5)&gt;9,MONTH(M5)&lt;=12),DATE(YEAR(M5),12,31),IF(AND(MONTH(M5)&gt;0,MONTH(M5)&lt;=3),DATE(YEAR(M5),3,31),IF(AND(MONTH(M5)&gt;3,MONTH(M5)&lt;=6),DATE(YEAR(M5),6,30)))))</f>
        <v>44377</v>
      </c>
      <c r="N6" s="449">
        <f t="shared" si="2"/>
        <v>44377</v>
      </c>
      <c r="O6" s="449">
        <f t="shared" si="2"/>
        <v>44469</v>
      </c>
      <c r="P6" s="449">
        <f t="shared" si="2"/>
        <v>44469</v>
      </c>
      <c r="Q6" s="449">
        <f t="shared" si="2"/>
        <v>44469</v>
      </c>
      <c r="R6" s="449">
        <f t="shared" si="2"/>
        <v>44561</v>
      </c>
      <c r="S6" s="449">
        <f t="shared" si="2"/>
        <v>44561</v>
      </c>
      <c r="T6" s="449">
        <f t="shared" si="2"/>
        <v>44561</v>
      </c>
      <c r="U6" s="449">
        <f t="shared" si="2"/>
        <v>44651</v>
      </c>
      <c r="V6" s="449">
        <f t="shared" si="2"/>
        <v>44651</v>
      </c>
      <c r="W6" s="449">
        <f t="shared" si="2"/>
        <v>44651</v>
      </c>
      <c r="X6" s="449">
        <f t="shared" si="2"/>
        <v>44742</v>
      </c>
      <c r="Y6" s="449">
        <f t="shared" si="2"/>
        <v>44742</v>
      </c>
      <c r="Z6" s="449">
        <f t="shared" si="2"/>
        <v>44742</v>
      </c>
      <c r="AA6" s="449">
        <f t="shared" si="2"/>
        <v>44834</v>
      </c>
      <c r="AB6" s="449">
        <f t="shared" si="2"/>
        <v>44834</v>
      </c>
      <c r="AC6" s="449">
        <f t="shared" si="2"/>
        <v>44834</v>
      </c>
    </row>
    <row r="7" spans="1:90">
      <c r="A7" s="334" t="s">
        <v>534</v>
      </c>
      <c r="B7" s="335">
        <f>'FGD Input'!D14/10^6</f>
        <v>18.173999999999999</v>
      </c>
      <c r="C7" s="336">
        <f>(B7*70)/10</f>
        <v>127.218</v>
      </c>
      <c r="D7" s="337">
        <f>SUM(E7:AC7)</f>
        <v>1.0000000000000004</v>
      </c>
      <c r="E7" s="338">
        <v>7.4999999999999997E-2</v>
      </c>
      <c r="F7" s="338">
        <v>2.5000000000000001E-2</v>
      </c>
      <c r="G7" s="337">
        <v>0.01</v>
      </c>
      <c r="H7" s="337">
        <v>0.01</v>
      </c>
      <c r="I7" s="337">
        <v>0.02</v>
      </c>
      <c r="J7" s="337">
        <v>0.02</v>
      </c>
      <c r="K7" s="337">
        <v>0.03</v>
      </c>
      <c r="L7" s="337">
        <v>0.05</v>
      </c>
      <c r="M7" s="337">
        <v>0.05</v>
      </c>
      <c r="N7" s="337">
        <v>7.0000000000000007E-2</v>
      </c>
      <c r="O7" s="337">
        <v>7.0000000000000007E-2</v>
      </c>
      <c r="P7" s="337">
        <v>0.05</v>
      </c>
      <c r="Q7" s="337">
        <v>0.04</v>
      </c>
      <c r="R7" s="337">
        <v>0.04</v>
      </c>
      <c r="S7" s="337">
        <v>0.06</v>
      </c>
      <c r="T7" s="337">
        <v>7.0000000000000007E-2</v>
      </c>
      <c r="U7" s="337">
        <v>0.05</v>
      </c>
      <c r="V7" s="337">
        <v>0.04</v>
      </c>
      <c r="W7" s="337">
        <v>0.03</v>
      </c>
      <c r="X7" s="337">
        <v>0.03</v>
      </c>
      <c r="Y7" s="337">
        <v>0.02</v>
      </c>
      <c r="Z7" s="337">
        <v>0.02</v>
      </c>
      <c r="AA7" s="337">
        <v>0.02</v>
      </c>
      <c r="AB7" s="337">
        <v>0.05</v>
      </c>
      <c r="AC7" s="337">
        <v>0.05</v>
      </c>
    </row>
    <row r="8" spans="1:90">
      <c r="A8" s="339" t="s">
        <v>535</v>
      </c>
      <c r="B8" s="340"/>
      <c r="C8" s="341">
        <f>'FGD Input'!D15/10^7</f>
        <v>157.1626</v>
      </c>
      <c r="D8" s="342">
        <f>SUM(E8:AC8)</f>
        <v>1.0000000000000004</v>
      </c>
      <c r="E8" s="343">
        <v>7.4999999999999997E-2</v>
      </c>
      <c r="F8" s="343">
        <v>2.5000000000000001E-2</v>
      </c>
      <c r="G8" s="342">
        <v>0.01</v>
      </c>
      <c r="H8" s="342">
        <v>0.01</v>
      </c>
      <c r="I8" s="342">
        <v>0.02</v>
      </c>
      <c r="J8" s="342">
        <v>0.02</v>
      </c>
      <c r="K8" s="342">
        <v>0.03</v>
      </c>
      <c r="L8" s="342">
        <v>0.05</v>
      </c>
      <c r="M8" s="342">
        <v>0.05</v>
      </c>
      <c r="N8" s="342">
        <v>7.0000000000000007E-2</v>
      </c>
      <c r="O8" s="342">
        <v>7.0000000000000007E-2</v>
      </c>
      <c r="P8" s="342">
        <v>0.05</v>
      </c>
      <c r="Q8" s="342">
        <v>0.04</v>
      </c>
      <c r="R8" s="342">
        <v>0.04</v>
      </c>
      <c r="S8" s="342">
        <v>0.06</v>
      </c>
      <c r="T8" s="342">
        <v>7.0000000000000007E-2</v>
      </c>
      <c r="U8" s="342">
        <v>0.05</v>
      </c>
      <c r="V8" s="342">
        <v>0.04</v>
      </c>
      <c r="W8" s="342">
        <v>0.03</v>
      </c>
      <c r="X8" s="342">
        <v>0.03</v>
      </c>
      <c r="Y8" s="342">
        <v>0.02</v>
      </c>
      <c r="Z8" s="342">
        <v>0.02</v>
      </c>
      <c r="AA8" s="342">
        <v>0.02</v>
      </c>
      <c r="AB8" s="342">
        <v>0.05</v>
      </c>
      <c r="AC8" s="342">
        <v>0.05</v>
      </c>
    </row>
    <row r="9" spans="1:90">
      <c r="A9" s="339" t="s">
        <v>536</v>
      </c>
      <c r="B9" s="344">
        <f>'FGD Input'!F27/100</f>
        <v>0.29012349999999998</v>
      </c>
      <c r="C9" s="345">
        <f>C7*B9</f>
        <v>36.908931422999999</v>
      </c>
      <c r="D9" s="346">
        <f t="shared" ref="D9:D10" si="3">SUM(E9:AC9)</f>
        <v>1</v>
      </c>
      <c r="E9" s="347"/>
      <c r="F9" s="339"/>
      <c r="G9" s="348">
        <f>G7/0.8</f>
        <v>1.2499999999999999E-2</v>
      </c>
      <c r="H9" s="348">
        <f t="shared" ref="H9:AA9" si="4">H7/0.8</f>
        <v>1.2499999999999999E-2</v>
      </c>
      <c r="I9" s="348">
        <f t="shared" si="4"/>
        <v>2.4999999999999998E-2</v>
      </c>
      <c r="J9" s="348">
        <f t="shared" si="4"/>
        <v>2.4999999999999998E-2</v>
      </c>
      <c r="K9" s="348">
        <f t="shared" si="4"/>
        <v>3.7499999999999999E-2</v>
      </c>
      <c r="L9" s="348">
        <f t="shared" si="4"/>
        <v>6.25E-2</v>
      </c>
      <c r="M9" s="348">
        <f t="shared" si="4"/>
        <v>6.25E-2</v>
      </c>
      <c r="N9" s="348">
        <f t="shared" si="4"/>
        <v>8.7500000000000008E-2</v>
      </c>
      <c r="O9" s="348">
        <f t="shared" si="4"/>
        <v>8.7500000000000008E-2</v>
      </c>
      <c r="P9" s="348">
        <f t="shared" si="4"/>
        <v>6.25E-2</v>
      </c>
      <c r="Q9" s="348">
        <f t="shared" si="4"/>
        <v>4.9999999999999996E-2</v>
      </c>
      <c r="R9" s="348">
        <f t="shared" si="4"/>
        <v>4.9999999999999996E-2</v>
      </c>
      <c r="S9" s="348">
        <f t="shared" si="4"/>
        <v>7.4999999999999997E-2</v>
      </c>
      <c r="T9" s="348">
        <f t="shared" si="4"/>
        <v>8.7500000000000008E-2</v>
      </c>
      <c r="U9" s="348">
        <f t="shared" si="4"/>
        <v>6.25E-2</v>
      </c>
      <c r="V9" s="348">
        <f t="shared" si="4"/>
        <v>4.9999999999999996E-2</v>
      </c>
      <c r="W9" s="348">
        <f t="shared" si="4"/>
        <v>3.7499999999999999E-2</v>
      </c>
      <c r="X9" s="348">
        <f t="shared" si="4"/>
        <v>3.7499999999999999E-2</v>
      </c>
      <c r="Y9" s="348">
        <f t="shared" si="4"/>
        <v>2.4999999999999998E-2</v>
      </c>
      <c r="Z9" s="348">
        <f t="shared" si="4"/>
        <v>2.4999999999999998E-2</v>
      </c>
      <c r="AA9" s="348">
        <f t="shared" si="4"/>
        <v>2.4999999999999998E-2</v>
      </c>
      <c r="AB9" s="339"/>
      <c r="AC9" s="339"/>
    </row>
    <row r="10" spans="1:90">
      <c r="A10" s="339" t="s">
        <v>537</v>
      </c>
      <c r="B10" s="349">
        <f>'FGD Input'!G27/100</f>
        <v>0.18</v>
      </c>
      <c r="C10" s="341">
        <f>C8*B10</f>
        <v>28.289268</v>
      </c>
      <c r="D10" s="342">
        <f t="shared" si="3"/>
        <v>1</v>
      </c>
      <c r="E10" s="340"/>
      <c r="F10" s="350"/>
      <c r="G10" s="348">
        <f t="shared" ref="G10:AA10" si="5">G8/0.8</f>
        <v>1.2499999999999999E-2</v>
      </c>
      <c r="H10" s="348">
        <f t="shared" si="5"/>
        <v>1.2499999999999999E-2</v>
      </c>
      <c r="I10" s="348">
        <f t="shared" si="5"/>
        <v>2.4999999999999998E-2</v>
      </c>
      <c r="J10" s="348">
        <f t="shared" si="5"/>
        <v>2.4999999999999998E-2</v>
      </c>
      <c r="K10" s="348">
        <f t="shared" si="5"/>
        <v>3.7499999999999999E-2</v>
      </c>
      <c r="L10" s="348">
        <f t="shared" si="5"/>
        <v>6.25E-2</v>
      </c>
      <c r="M10" s="348">
        <f t="shared" si="5"/>
        <v>6.25E-2</v>
      </c>
      <c r="N10" s="348">
        <f t="shared" si="5"/>
        <v>8.7500000000000008E-2</v>
      </c>
      <c r="O10" s="348">
        <f t="shared" si="5"/>
        <v>8.7500000000000008E-2</v>
      </c>
      <c r="P10" s="348">
        <f t="shared" si="5"/>
        <v>6.25E-2</v>
      </c>
      <c r="Q10" s="348">
        <f t="shared" si="5"/>
        <v>4.9999999999999996E-2</v>
      </c>
      <c r="R10" s="348">
        <f t="shared" si="5"/>
        <v>4.9999999999999996E-2</v>
      </c>
      <c r="S10" s="348">
        <f t="shared" si="5"/>
        <v>7.4999999999999997E-2</v>
      </c>
      <c r="T10" s="348">
        <f t="shared" si="5"/>
        <v>8.7500000000000008E-2</v>
      </c>
      <c r="U10" s="348">
        <f t="shared" si="5"/>
        <v>6.25E-2</v>
      </c>
      <c r="V10" s="348">
        <f t="shared" si="5"/>
        <v>4.9999999999999996E-2</v>
      </c>
      <c r="W10" s="348">
        <f t="shared" si="5"/>
        <v>3.7499999999999999E-2</v>
      </c>
      <c r="X10" s="348">
        <f t="shared" si="5"/>
        <v>3.7499999999999999E-2</v>
      </c>
      <c r="Y10" s="348">
        <f t="shared" si="5"/>
        <v>2.4999999999999998E-2</v>
      </c>
      <c r="Z10" s="348">
        <f t="shared" si="5"/>
        <v>2.4999999999999998E-2</v>
      </c>
      <c r="AA10" s="348">
        <f t="shared" si="5"/>
        <v>2.4999999999999998E-2</v>
      </c>
      <c r="AB10" s="350"/>
      <c r="AC10" s="350"/>
    </row>
    <row r="11" spans="1:90">
      <c r="A11" s="339" t="s">
        <v>538</v>
      </c>
      <c r="B11" s="441"/>
      <c r="C11" s="442">
        <f>SUM(C7:C10)</f>
        <v>349.57879942300002</v>
      </c>
      <c r="D11" s="443"/>
      <c r="E11" s="441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</row>
    <row r="12" spans="1:90" ht="25.5">
      <c r="A12" s="352" t="s">
        <v>539</v>
      </c>
      <c r="B12" s="350"/>
      <c r="C12" s="353">
        <f>30</f>
        <v>30</v>
      </c>
      <c r="D12" s="342">
        <f t="shared" ref="D12" si="6">SUM(E12:AC12)</f>
        <v>1.0000000000000002</v>
      </c>
      <c r="E12" s="354"/>
      <c r="F12" s="350"/>
      <c r="G12" s="350"/>
      <c r="H12" s="355">
        <v>0.05</v>
      </c>
      <c r="I12" s="355">
        <v>0.05</v>
      </c>
      <c r="J12" s="356">
        <v>0.01</v>
      </c>
      <c r="K12" s="356">
        <v>0.01</v>
      </c>
      <c r="L12" s="356">
        <v>0.01</v>
      </c>
      <c r="M12" s="356">
        <v>0.01</v>
      </c>
      <c r="N12" s="356">
        <v>0.01</v>
      </c>
      <c r="O12" s="356">
        <v>0.05</v>
      </c>
      <c r="P12" s="356">
        <v>0.1</v>
      </c>
      <c r="Q12" s="356">
        <v>0.15</v>
      </c>
      <c r="R12" s="356">
        <v>0.3</v>
      </c>
      <c r="S12" s="356">
        <v>0.04</v>
      </c>
      <c r="T12" s="356">
        <v>0.01</v>
      </c>
      <c r="U12" s="356">
        <v>0.01</v>
      </c>
      <c r="V12" s="356">
        <v>0.01</v>
      </c>
      <c r="W12" s="356">
        <v>0.01</v>
      </c>
      <c r="X12" s="356">
        <v>0.01</v>
      </c>
      <c r="Y12" s="356">
        <v>0.01</v>
      </c>
      <c r="Z12" s="356">
        <v>0.01</v>
      </c>
      <c r="AA12" s="356">
        <v>0.04</v>
      </c>
      <c r="AB12" s="356">
        <v>0.05</v>
      </c>
      <c r="AC12" s="356">
        <v>0.05</v>
      </c>
    </row>
    <row r="13" spans="1:90">
      <c r="A13" s="339" t="s">
        <v>234</v>
      </c>
      <c r="B13" s="340"/>
      <c r="C13" s="341">
        <f>SUM(C11:C12)</f>
        <v>379.57879942300002</v>
      </c>
      <c r="D13" s="342"/>
      <c r="E13" s="34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</row>
    <row r="14" spans="1:90">
      <c r="A14" s="339" t="s">
        <v>540</v>
      </c>
      <c r="B14" s="339"/>
      <c r="C14" s="345">
        <f ca="1">Sheet1!D54</f>
        <v>61.239003803631611</v>
      </c>
      <c r="D14" s="346">
        <f t="shared" ref="D14:D18" si="7">SUM(E14:AC14)</f>
        <v>1.0000000000000002</v>
      </c>
      <c r="E14" s="346">
        <v>0.04</v>
      </c>
      <c r="F14" s="346">
        <v>0.04</v>
      </c>
      <c r="G14" s="346">
        <v>0.04</v>
      </c>
      <c r="H14" s="346">
        <v>0.04</v>
      </c>
      <c r="I14" s="346">
        <v>0.04</v>
      </c>
      <c r="J14" s="346">
        <v>0.04</v>
      </c>
      <c r="K14" s="346">
        <v>0.04</v>
      </c>
      <c r="L14" s="346">
        <v>0.04</v>
      </c>
      <c r="M14" s="346">
        <v>0.04</v>
      </c>
      <c r="N14" s="346">
        <v>0.04</v>
      </c>
      <c r="O14" s="346">
        <v>0.04</v>
      </c>
      <c r="P14" s="346">
        <v>0.04</v>
      </c>
      <c r="Q14" s="346">
        <v>0.04</v>
      </c>
      <c r="R14" s="346">
        <v>0.04</v>
      </c>
      <c r="S14" s="346">
        <v>0.04</v>
      </c>
      <c r="T14" s="346">
        <v>0.04</v>
      </c>
      <c r="U14" s="346">
        <v>0.04</v>
      </c>
      <c r="V14" s="346">
        <v>0.04</v>
      </c>
      <c r="W14" s="346">
        <v>0.04</v>
      </c>
      <c r="X14" s="346">
        <v>0.04</v>
      </c>
      <c r="Y14" s="346">
        <v>0.04</v>
      </c>
      <c r="Z14" s="346">
        <v>0.04</v>
      </c>
      <c r="AA14" s="346">
        <v>0.04</v>
      </c>
      <c r="AB14" s="346">
        <v>0.04</v>
      </c>
      <c r="AC14" s="346">
        <v>0.04</v>
      </c>
    </row>
    <row r="15" spans="1:90">
      <c r="A15" s="339" t="s">
        <v>541</v>
      </c>
      <c r="B15" s="339"/>
      <c r="C15" s="345">
        <f>Sheet1!C98</f>
        <v>20.36695168</v>
      </c>
      <c r="D15" s="346">
        <f t="shared" si="7"/>
        <v>1</v>
      </c>
      <c r="E15" s="351"/>
      <c r="F15" s="339"/>
      <c r="G15" s="351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57">
        <v>0.2</v>
      </c>
      <c r="Z15" s="357">
        <v>0.2</v>
      </c>
      <c r="AA15" s="357">
        <v>0.2</v>
      </c>
      <c r="AB15" s="357">
        <v>0.2</v>
      </c>
      <c r="AC15" s="357">
        <v>0.2</v>
      </c>
    </row>
    <row r="16" spans="1:90">
      <c r="A16" s="339" t="s">
        <v>542</v>
      </c>
      <c r="B16" s="339"/>
      <c r="C16" s="358">
        <v>0</v>
      </c>
      <c r="D16" s="346">
        <f t="shared" si="7"/>
        <v>1</v>
      </c>
      <c r="E16" s="35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57">
        <v>0.2</v>
      </c>
      <c r="Z16" s="357">
        <v>0.2</v>
      </c>
      <c r="AA16" s="357">
        <v>0.2</v>
      </c>
      <c r="AB16" s="357">
        <v>0.2</v>
      </c>
      <c r="AC16" s="357">
        <v>0.2</v>
      </c>
    </row>
    <row r="17" spans="1:29">
      <c r="A17" s="339" t="s">
        <v>543</v>
      </c>
      <c r="B17" s="339"/>
      <c r="C17" s="360">
        <v>6</v>
      </c>
      <c r="D17" s="346">
        <f t="shared" si="7"/>
        <v>1</v>
      </c>
      <c r="E17" s="361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57">
        <v>0.5</v>
      </c>
      <c r="AC17" s="357">
        <v>0.5</v>
      </c>
    </row>
    <row r="18" spans="1:29">
      <c r="A18" s="339" t="s">
        <v>463</v>
      </c>
      <c r="B18" s="339"/>
      <c r="C18" s="345">
        <f>Sheet1!C105</f>
        <v>25</v>
      </c>
      <c r="D18" s="346">
        <f t="shared" si="7"/>
        <v>1</v>
      </c>
      <c r="E18" s="351"/>
      <c r="F18" s="351"/>
      <c r="G18" s="362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57">
        <v>0.2</v>
      </c>
      <c r="Z18" s="357">
        <v>0.2</v>
      </c>
      <c r="AA18" s="357">
        <v>0.2</v>
      </c>
      <c r="AB18" s="357">
        <v>0.2</v>
      </c>
      <c r="AC18" s="357">
        <v>0.2</v>
      </c>
    </row>
    <row r="19" spans="1:29" ht="13.5" thickBot="1">
      <c r="A19" s="363" t="s">
        <v>544</v>
      </c>
      <c r="B19" s="363"/>
      <c r="C19" s="364" t="s">
        <v>545</v>
      </c>
      <c r="D19" s="365"/>
      <c r="E19" s="366"/>
      <c r="F19" s="366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</row>
    <row r="20" spans="1:29">
      <c r="A20" s="339"/>
      <c r="B20" s="339"/>
      <c r="C20" s="345"/>
      <c r="D20" s="346"/>
      <c r="E20" s="351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</row>
    <row r="21" spans="1:29" ht="13.5" thickBot="1">
      <c r="A21" s="339"/>
      <c r="B21" s="345"/>
      <c r="C21" s="345"/>
      <c r="D21" s="346"/>
      <c r="E21" s="439">
        <v>2021</v>
      </c>
      <c r="F21" s="439">
        <v>2021</v>
      </c>
      <c r="G21" s="439">
        <v>2021</v>
      </c>
      <c r="H21" s="439">
        <v>2021</v>
      </c>
      <c r="I21" s="439">
        <v>2021</v>
      </c>
      <c r="J21" s="439">
        <v>2021</v>
      </c>
      <c r="K21" s="439">
        <v>2021</v>
      </c>
      <c r="L21" s="439">
        <v>2022</v>
      </c>
      <c r="M21" s="439">
        <v>2022</v>
      </c>
      <c r="N21" s="439">
        <v>2022</v>
      </c>
      <c r="O21" s="439">
        <v>2022</v>
      </c>
      <c r="P21" s="439">
        <v>2022</v>
      </c>
      <c r="Q21" s="439">
        <v>2022</v>
      </c>
      <c r="R21" s="439">
        <v>2022</v>
      </c>
      <c r="S21" s="439">
        <v>2022</v>
      </c>
      <c r="T21" s="439">
        <v>2022</v>
      </c>
      <c r="U21" s="439">
        <v>2022</v>
      </c>
      <c r="V21" s="439">
        <v>2022</v>
      </c>
      <c r="W21" s="439">
        <v>2022</v>
      </c>
      <c r="X21" s="439">
        <v>2023</v>
      </c>
      <c r="Y21" s="439">
        <v>2023</v>
      </c>
      <c r="Z21" s="439">
        <v>2023</v>
      </c>
      <c r="AA21" s="439">
        <v>2023</v>
      </c>
      <c r="AB21" s="439">
        <v>2023</v>
      </c>
      <c r="AC21" s="439">
        <v>2023</v>
      </c>
    </row>
    <row r="22" spans="1:29" ht="13.5" thickTop="1">
      <c r="A22" s="367" t="s">
        <v>0</v>
      </c>
      <c r="B22" s="654" t="s">
        <v>546</v>
      </c>
      <c r="C22" s="654"/>
      <c r="D22" s="368" t="s">
        <v>533</v>
      </c>
      <c r="E22" s="332">
        <f>E5</f>
        <v>44104</v>
      </c>
      <c r="F22" s="332">
        <f t="shared" ref="F22:AC22" si="8">F5</f>
        <v>44135</v>
      </c>
      <c r="G22" s="332">
        <f t="shared" si="8"/>
        <v>44165</v>
      </c>
      <c r="H22" s="332">
        <f t="shared" si="8"/>
        <v>44196</v>
      </c>
      <c r="I22" s="332">
        <f t="shared" si="8"/>
        <v>44227</v>
      </c>
      <c r="J22" s="332">
        <f t="shared" si="8"/>
        <v>44255</v>
      </c>
      <c r="K22" s="332">
        <f t="shared" si="8"/>
        <v>44286</v>
      </c>
      <c r="L22" s="332">
        <f t="shared" si="8"/>
        <v>44316</v>
      </c>
      <c r="M22" s="332">
        <f t="shared" si="8"/>
        <v>44347</v>
      </c>
      <c r="N22" s="332">
        <f t="shared" si="8"/>
        <v>44377</v>
      </c>
      <c r="O22" s="332">
        <f t="shared" si="8"/>
        <v>44408</v>
      </c>
      <c r="P22" s="332">
        <f t="shared" si="8"/>
        <v>44439</v>
      </c>
      <c r="Q22" s="332">
        <f t="shared" si="8"/>
        <v>44469</v>
      </c>
      <c r="R22" s="332">
        <f t="shared" si="8"/>
        <v>44500</v>
      </c>
      <c r="S22" s="332">
        <f t="shared" si="8"/>
        <v>44530</v>
      </c>
      <c r="T22" s="332">
        <f t="shared" si="8"/>
        <v>44561</v>
      </c>
      <c r="U22" s="332">
        <f t="shared" si="8"/>
        <v>44592</v>
      </c>
      <c r="V22" s="332">
        <f t="shared" si="8"/>
        <v>44620</v>
      </c>
      <c r="W22" s="332">
        <f t="shared" si="8"/>
        <v>44651</v>
      </c>
      <c r="X22" s="332">
        <f t="shared" si="8"/>
        <v>44681</v>
      </c>
      <c r="Y22" s="332">
        <f t="shared" si="8"/>
        <v>44712</v>
      </c>
      <c r="Z22" s="332">
        <f t="shared" si="8"/>
        <v>44742</v>
      </c>
      <c r="AA22" s="332">
        <f t="shared" si="8"/>
        <v>44773</v>
      </c>
      <c r="AB22" s="332">
        <f t="shared" si="8"/>
        <v>44804</v>
      </c>
      <c r="AC22" s="332">
        <f t="shared" si="8"/>
        <v>44834</v>
      </c>
    </row>
    <row r="23" spans="1:29">
      <c r="A23" s="339" t="s">
        <v>534</v>
      </c>
      <c r="B23" s="369"/>
      <c r="C23" s="369"/>
      <c r="D23" s="370">
        <f>SUM(E23:AC23)</f>
        <v>132.74062425</v>
      </c>
      <c r="E23" s="370">
        <f>($B$7*E7*'FGD Input'!C30)/10</f>
        <v>9.5413499999999978</v>
      </c>
      <c r="F23" s="370">
        <f>($B$7*F7*'FGD Input'!D30)/10</f>
        <v>3.1918087500000003</v>
      </c>
      <c r="G23" s="370">
        <f>($B$7*G7*'FGD Input'!E30)/10</f>
        <v>1.2812669999999999</v>
      </c>
      <c r="H23" s="370">
        <f>($B$7*H7*'FGD Input'!F30)/10</f>
        <v>1.2858104999999997</v>
      </c>
      <c r="I23" s="370">
        <f>($B$7*I7*'FGD Input'!G30)/10</f>
        <v>2.580708</v>
      </c>
      <c r="J23" s="370">
        <f>($B$7*J7*'FGD Input'!H30)/10</f>
        <v>2.5897949999999996</v>
      </c>
      <c r="K23" s="370">
        <f>($B$7*K7*'FGD Input'!I30)/10</f>
        <v>3.8983229999999991</v>
      </c>
      <c r="L23" s="370">
        <f>($B$7*L7*'FGD Input'!J30)/10</f>
        <v>6.5199224999999998</v>
      </c>
      <c r="M23" s="370">
        <f>($B$7*M7*'FGD Input'!K30)/10</f>
        <v>6.5426400000000005</v>
      </c>
      <c r="N23" s="370">
        <f>($B$7*N7*'FGD Input'!L30)/10</f>
        <v>9.1915005000000001</v>
      </c>
      <c r="O23" s="370">
        <f>($B$7*O7*'FGD Input'!M30)/10</f>
        <v>9.2233049999999999</v>
      </c>
      <c r="P23" s="370">
        <f>($B$7*P7*'FGD Input'!N30)/10</f>
        <v>6.6107925000000005</v>
      </c>
      <c r="Q23" s="370">
        <f>($B$7*Q7*'FGD Input'!O30)/10</f>
        <v>5.3068079999999993</v>
      </c>
      <c r="R23" s="370">
        <f>($B$7*R7*'FGD Input'!P30)/10</f>
        <v>5.3249819999999994</v>
      </c>
      <c r="S23" s="370">
        <f>($B$7*S7*'FGD Input'!Q30)/10</f>
        <v>8.0147339999999989</v>
      </c>
      <c r="T23" s="370">
        <f>($B$7*T7*'FGD Input'!R30)/10</f>
        <v>9.3823275000000006</v>
      </c>
      <c r="U23" s="370">
        <f>($B$7*U7*'FGD Input'!S30)/10</f>
        <v>6.7243800000000009</v>
      </c>
      <c r="V23" s="370">
        <f>($B$7*V7*'FGD Input'!T30)/10</f>
        <v>5.397678</v>
      </c>
      <c r="W23" s="370">
        <f>($B$7*W7*'FGD Input'!U30)/10</f>
        <v>4.061888999999999</v>
      </c>
      <c r="X23" s="370">
        <f>($B$7*X7*'FGD Input'!V30)/10</f>
        <v>4.0755194999999995</v>
      </c>
      <c r="Y23" s="370">
        <f>($B$7*Y7*'FGD Input'!W30)/10</f>
        <v>2.7260999999999997</v>
      </c>
      <c r="Z23" s="370">
        <f>($B$7*Z7*'FGD Input'!X30)/10</f>
        <v>2.7351869999999998</v>
      </c>
      <c r="AA23" s="370">
        <f>($B$7*AA7*'FGD Input'!Y30)/10</f>
        <v>2.7442739999999999</v>
      </c>
      <c r="AB23" s="370">
        <f>($B$7*AB7*'FGD Input'!Z30)/10</f>
        <v>6.8834025000000008</v>
      </c>
      <c r="AC23" s="370">
        <f>($B$7*AC7*'FGD Input'!AA30)/10</f>
        <v>6.9061199999999996</v>
      </c>
    </row>
    <row r="24" spans="1:29">
      <c r="A24" s="339" t="s">
        <v>535</v>
      </c>
      <c r="B24" s="369"/>
      <c r="C24" s="369"/>
      <c r="D24" s="370">
        <f>SUM(E24:AC24)</f>
        <v>157.16259999999994</v>
      </c>
      <c r="E24" s="370">
        <f t="shared" ref="E24:AC24" si="9">$C$8*E8</f>
        <v>11.787194999999999</v>
      </c>
      <c r="F24" s="370">
        <f t="shared" si="9"/>
        <v>3.929065</v>
      </c>
      <c r="G24" s="370">
        <f t="shared" si="9"/>
        <v>1.571626</v>
      </c>
      <c r="H24" s="370">
        <f t="shared" si="9"/>
        <v>1.571626</v>
      </c>
      <c r="I24" s="370">
        <f t="shared" si="9"/>
        <v>3.1432519999999999</v>
      </c>
      <c r="J24" s="370">
        <f t="shared" si="9"/>
        <v>3.1432519999999999</v>
      </c>
      <c r="K24" s="370">
        <f t="shared" si="9"/>
        <v>4.7148779999999997</v>
      </c>
      <c r="L24" s="370">
        <f t="shared" si="9"/>
        <v>7.8581300000000001</v>
      </c>
      <c r="M24" s="370">
        <f t="shared" si="9"/>
        <v>7.8581300000000001</v>
      </c>
      <c r="N24" s="370">
        <f t="shared" si="9"/>
        <v>11.001382000000001</v>
      </c>
      <c r="O24" s="370">
        <f t="shared" si="9"/>
        <v>11.001382000000001</v>
      </c>
      <c r="P24" s="370">
        <f t="shared" si="9"/>
        <v>7.8581300000000001</v>
      </c>
      <c r="Q24" s="370">
        <f t="shared" si="9"/>
        <v>6.2865039999999999</v>
      </c>
      <c r="R24" s="370">
        <f t="shared" si="9"/>
        <v>6.2865039999999999</v>
      </c>
      <c r="S24" s="370">
        <f t="shared" si="9"/>
        <v>9.4297559999999994</v>
      </c>
      <c r="T24" s="370">
        <f t="shared" si="9"/>
        <v>11.001382000000001</v>
      </c>
      <c r="U24" s="370">
        <f t="shared" si="9"/>
        <v>7.8581300000000001</v>
      </c>
      <c r="V24" s="370">
        <f t="shared" si="9"/>
        <v>6.2865039999999999</v>
      </c>
      <c r="W24" s="370">
        <f t="shared" si="9"/>
        <v>4.7148779999999997</v>
      </c>
      <c r="X24" s="370">
        <f t="shared" si="9"/>
        <v>4.7148779999999997</v>
      </c>
      <c r="Y24" s="370">
        <f t="shared" si="9"/>
        <v>3.1432519999999999</v>
      </c>
      <c r="Z24" s="370">
        <f t="shared" si="9"/>
        <v>3.1432519999999999</v>
      </c>
      <c r="AA24" s="370">
        <f t="shared" si="9"/>
        <v>3.1432519999999999</v>
      </c>
      <c r="AB24" s="370">
        <f t="shared" si="9"/>
        <v>7.8581300000000001</v>
      </c>
      <c r="AC24" s="370">
        <f t="shared" si="9"/>
        <v>7.8581300000000001</v>
      </c>
    </row>
    <row r="25" spans="1:29">
      <c r="A25" s="339" t="s">
        <v>536</v>
      </c>
      <c r="B25" s="369"/>
      <c r="C25" s="369"/>
      <c r="D25" s="370">
        <f t="shared" ref="D25:D26" si="10">SUM(E25:AC25)</f>
        <v>38.520401732450622</v>
      </c>
      <c r="E25" s="371"/>
      <c r="F25" s="371"/>
      <c r="G25" s="370">
        <f t="shared" ref="G25:AA25" si="11">G23*$B$9/(1-SUM($E$7,$F$7,$AB$7,$AC$7))</f>
        <v>0.46465708309312492</v>
      </c>
      <c r="H25" s="370">
        <f t="shared" si="11"/>
        <v>0.46630480324593732</v>
      </c>
      <c r="I25" s="370">
        <f t="shared" si="11"/>
        <v>0.93590504679749997</v>
      </c>
      <c r="J25" s="370">
        <f t="shared" si="11"/>
        <v>0.93920048710312476</v>
      </c>
      <c r="K25" s="370">
        <f t="shared" si="11"/>
        <v>1.4137438911131244</v>
      </c>
      <c r="L25" s="370">
        <f t="shared" si="11"/>
        <v>2.3644784192859372</v>
      </c>
      <c r="M25" s="370">
        <f t="shared" si="11"/>
        <v>2.3727170200500001</v>
      </c>
      <c r="N25" s="370">
        <f t="shared" si="11"/>
        <v>3.3333378691396875</v>
      </c>
      <c r="O25" s="370">
        <f t="shared" si="11"/>
        <v>3.3448719102093749</v>
      </c>
      <c r="P25" s="370">
        <f t="shared" si="11"/>
        <v>2.3974328223421875</v>
      </c>
      <c r="Q25" s="370">
        <f t="shared" si="11"/>
        <v>1.9245371384849996</v>
      </c>
      <c r="R25" s="370">
        <f t="shared" si="11"/>
        <v>1.9311280190962494</v>
      </c>
      <c r="S25" s="370">
        <f t="shared" si="11"/>
        <v>2.9065783495612494</v>
      </c>
      <c r="T25" s="370">
        <f t="shared" si="11"/>
        <v>3.4025421155578122</v>
      </c>
      <c r="U25" s="370">
        <f t="shared" si="11"/>
        <v>2.4386258261625002</v>
      </c>
      <c r="V25" s="370">
        <f t="shared" si="11"/>
        <v>1.9574915415412497</v>
      </c>
      <c r="W25" s="370">
        <f t="shared" si="11"/>
        <v>1.4730618166143743</v>
      </c>
      <c r="X25" s="370">
        <f t="shared" si="11"/>
        <v>1.4780049770728121</v>
      </c>
      <c r="Y25" s="370">
        <f t="shared" si="11"/>
        <v>0.98863209168749977</v>
      </c>
      <c r="Z25" s="370">
        <f t="shared" si="11"/>
        <v>0.99192753199312489</v>
      </c>
      <c r="AA25" s="370">
        <f t="shared" si="11"/>
        <v>0.9952229722987499</v>
      </c>
      <c r="AB25" s="371"/>
      <c r="AC25" s="371"/>
    </row>
    <row r="26" spans="1:29">
      <c r="A26" s="339" t="s">
        <v>537</v>
      </c>
      <c r="B26" s="369"/>
      <c r="C26" s="369"/>
      <c r="D26" s="370">
        <f t="shared" si="10"/>
        <v>28.289268</v>
      </c>
      <c r="E26" s="371"/>
      <c r="F26" s="371"/>
      <c r="G26" s="370">
        <f t="shared" ref="G26:AA26" si="12">G24*$B$10/(1-SUM($E$8,$F$8,$AB$8,$AC$8))</f>
        <v>0.35361585000000001</v>
      </c>
      <c r="H26" s="370">
        <f t="shared" si="12"/>
        <v>0.35361585000000001</v>
      </c>
      <c r="I26" s="370">
        <f t="shared" si="12"/>
        <v>0.70723170000000002</v>
      </c>
      <c r="J26" s="370">
        <f t="shared" si="12"/>
        <v>0.70723170000000002</v>
      </c>
      <c r="K26" s="370">
        <f t="shared" si="12"/>
        <v>1.0608475499999999</v>
      </c>
      <c r="L26" s="370">
        <f t="shared" si="12"/>
        <v>1.76807925</v>
      </c>
      <c r="M26" s="370">
        <f t="shared" si="12"/>
        <v>1.76807925</v>
      </c>
      <c r="N26" s="370">
        <f t="shared" si="12"/>
        <v>2.4753109500000003</v>
      </c>
      <c r="O26" s="370">
        <f t="shared" si="12"/>
        <v>2.4753109500000003</v>
      </c>
      <c r="P26" s="370">
        <f t="shared" si="12"/>
        <v>1.76807925</v>
      </c>
      <c r="Q26" s="370">
        <f t="shared" si="12"/>
        <v>1.4144634</v>
      </c>
      <c r="R26" s="370">
        <f t="shared" si="12"/>
        <v>1.4144634</v>
      </c>
      <c r="S26" s="370">
        <f t="shared" si="12"/>
        <v>2.1216950999999997</v>
      </c>
      <c r="T26" s="370">
        <f t="shared" si="12"/>
        <v>2.4753109500000003</v>
      </c>
      <c r="U26" s="370">
        <f t="shared" si="12"/>
        <v>1.76807925</v>
      </c>
      <c r="V26" s="370">
        <f t="shared" si="12"/>
        <v>1.4144634</v>
      </c>
      <c r="W26" s="370">
        <f t="shared" si="12"/>
        <v>1.0608475499999999</v>
      </c>
      <c r="X26" s="370">
        <f t="shared" si="12"/>
        <v>1.0608475499999999</v>
      </c>
      <c r="Y26" s="370">
        <f t="shared" si="12"/>
        <v>0.70723170000000002</v>
      </c>
      <c r="Z26" s="370">
        <f t="shared" si="12"/>
        <v>0.70723170000000002</v>
      </c>
      <c r="AA26" s="370">
        <f t="shared" si="12"/>
        <v>0.70723170000000002</v>
      </c>
      <c r="AB26" s="371"/>
      <c r="AC26" s="371"/>
    </row>
    <row r="27" spans="1:29" s="329" customFormat="1">
      <c r="A27" s="372" t="s">
        <v>538</v>
      </c>
      <c r="B27" s="373"/>
      <c r="C27" s="373"/>
      <c r="D27" s="373">
        <f>SUM(D23:D26)</f>
        <v>356.71289398245057</v>
      </c>
      <c r="E27" s="373">
        <f>SUM(E23:E26)</f>
        <v>21.328544999999998</v>
      </c>
      <c r="F27" s="373">
        <f t="shared" ref="F27:AC27" si="13">SUM(F23:F26)</f>
        <v>7.1208737500000003</v>
      </c>
      <c r="G27" s="373">
        <f t="shared" si="13"/>
        <v>3.6711659330931252</v>
      </c>
      <c r="H27" s="373">
        <f t="shared" si="13"/>
        <v>3.677357153245937</v>
      </c>
      <c r="I27" s="373">
        <f t="shared" si="13"/>
        <v>7.3670967467975004</v>
      </c>
      <c r="J27" s="373">
        <f t="shared" si="13"/>
        <v>7.379479187103124</v>
      </c>
      <c r="K27" s="373">
        <f t="shared" si="13"/>
        <v>11.087792441113123</v>
      </c>
      <c r="L27" s="373">
        <f t="shared" si="13"/>
        <v>18.510610169285936</v>
      </c>
      <c r="M27" s="373">
        <f t="shared" si="13"/>
        <v>18.541566270050001</v>
      </c>
      <c r="N27" s="373">
        <f t="shared" si="13"/>
        <v>26.001531319139691</v>
      </c>
      <c r="O27" s="373">
        <f t="shared" si="13"/>
        <v>26.044869860209378</v>
      </c>
      <c r="P27" s="373">
        <f t="shared" si="13"/>
        <v>18.634434572342187</v>
      </c>
      <c r="Q27" s="373">
        <f t="shared" si="13"/>
        <v>14.932312538485</v>
      </c>
      <c r="R27" s="373">
        <f t="shared" si="13"/>
        <v>14.957077419096249</v>
      </c>
      <c r="S27" s="373">
        <f t="shared" si="13"/>
        <v>22.472763449561249</v>
      </c>
      <c r="T27" s="373">
        <f t="shared" si="13"/>
        <v>26.261562565557814</v>
      </c>
      <c r="U27" s="373">
        <f t="shared" si="13"/>
        <v>18.789215076162499</v>
      </c>
      <c r="V27" s="373">
        <f t="shared" si="13"/>
        <v>15.056136941541251</v>
      </c>
      <c r="W27" s="373">
        <f t="shared" si="13"/>
        <v>11.310676366614373</v>
      </c>
      <c r="X27" s="373">
        <f t="shared" si="13"/>
        <v>11.329250027072812</v>
      </c>
      <c r="Y27" s="373">
        <f t="shared" si="13"/>
        <v>7.5652157916874989</v>
      </c>
      <c r="Z27" s="373">
        <f t="shared" si="13"/>
        <v>7.5775982319931252</v>
      </c>
      <c r="AA27" s="373">
        <f t="shared" si="13"/>
        <v>7.5899806722987497</v>
      </c>
      <c r="AB27" s="373">
        <f t="shared" si="13"/>
        <v>14.741532500000002</v>
      </c>
      <c r="AC27" s="373">
        <f t="shared" si="13"/>
        <v>14.764250000000001</v>
      </c>
    </row>
    <row r="28" spans="1:29" ht="25.5">
      <c r="A28" s="352" t="s">
        <v>539</v>
      </c>
      <c r="B28" s="374"/>
      <c r="C28" s="374"/>
      <c r="D28" s="370">
        <f t="shared" ref="D28" si="14">SUM(E28:AC28)</f>
        <v>30.000000000000004</v>
      </c>
      <c r="E28" s="375"/>
      <c r="F28" s="371"/>
      <c r="G28" s="371"/>
      <c r="H28" s="376">
        <f t="shared" ref="H28:AC28" si="15">$C$12*H12</f>
        <v>1.5</v>
      </c>
      <c r="I28" s="376">
        <f t="shared" si="15"/>
        <v>1.5</v>
      </c>
      <c r="J28" s="376">
        <f t="shared" si="15"/>
        <v>0.3</v>
      </c>
      <c r="K28" s="376">
        <f t="shared" si="15"/>
        <v>0.3</v>
      </c>
      <c r="L28" s="376">
        <f t="shared" si="15"/>
        <v>0.3</v>
      </c>
      <c r="M28" s="376">
        <f t="shared" si="15"/>
        <v>0.3</v>
      </c>
      <c r="N28" s="376">
        <f t="shared" si="15"/>
        <v>0.3</v>
      </c>
      <c r="O28" s="376">
        <f t="shared" si="15"/>
        <v>1.5</v>
      </c>
      <c r="P28" s="376">
        <f t="shared" si="15"/>
        <v>3</v>
      </c>
      <c r="Q28" s="376">
        <f t="shared" si="15"/>
        <v>4.5</v>
      </c>
      <c r="R28" s="376">
        <f t="shared" si="15"/>
        <v>9</v>
      </c>
      <c r="S28" s="376">
        <f t="shared" si="15"/>
        <v>1.2</v>
      </c>
      <c r="T28" s="376">
        <f t="shared" si="15"/>
        <v>0.3</v>
      </c>
      <c r="U28" s="376">
        <f t="shared" si="15"/>
        <v>0.3</v>
      </c>
      <c r="V28" s="376">
        <f t="shared" si="15"/>
        <v>0.3</v>
      </c>
      <c r="W28" s="376">
        <f t="shared" si="15"/>
        <v>0.3</v>
      </c>
      <c r="X28" s="376">
        <f t="shared" si="15"/>
        <v>0.3</v>
      </c>
      <c r="Y28" s="376">
        <f t="shared" si="15"/>
        <v>0.3</v>
      </c>
      <c r="Z28" s="376">
        <f t="shared" si="15"/>
        <v>0.3</v>
      </c>
      <c r="AA28" s="376">
        <f t="shared" si="15"/>
        <v>1.2</v>
      </c>
      <c r="AB28" s="376">
        <f t="shared" si="15"/>
        <v>1.5</v>
      </c>
      <c r="AC28" s="376">
        <f t="shared" si="15"/>
        <v>1.5</v>
      </c>
    </row>
    <row r="29" spans="1:29" s="329" customFormat="1">
      <c r="A29" s="372" t="s">
        <v>547</v>
      </c>
      <c r="B29" s="373"/>
      <c r="C29" s="373"/>
      <c r="D29" s="373">
        <f>SUM(D27:D28)</f>
        <v>386.71289398245057</v>
      </c>
      <c r="E29" s="373">
        <f>SUM(E27:E28)</f>
        <v>21.328544999999998</v>
      </c>
      <c r="F29" s="373">
        <f t="shared" ref="F29:AC29" si="16">SUM(F27:F28)</f>
        <v>7.1208737500000003</v>
      </c>
      <c r="G29" s="373">
        <f t="shared" si="16"/>
        <v>3.6711659330931252</v>
      </c>
      <c r="H29" s="373">
        <f t="shared" si="16"/>
        <v>5.1773571532459375</v>
      </c>
      <c r="I29" s="373">
        <f t="shared" si="16"/>
        <v>8.8670967467975004</v>
      </c>
      <c r="J29" s="373">
        <f t="shared" si="16"/>
        <v>7.6794791871031238</v>
      </c>
      <c r="K29" s="373">
        <f t="shared" si="16"/>
        <v>11.387792441113124</v>
      </c>
      <c r="L29" s="373">
        <f t="shared" si="16"/>
        <v>18.810610169285937</v>
      </c>
      <c r="M29" s="373">
        <f t="shared" si="16"/>
        <v>18.841566270050002</v>
      </c>
      <c r="N29" s="373">
        <f t="shared" si="16"/>
        <v>26.301531319139691</v>
      </c>
      <c r="O29" s="373">
        <f t="shared" si="16"/>
        <v>27.544869860209378</v>
      </c>
      <c r="P29" s="373">
        <f t="shared" si="16"/>
        <v>21.634434572342187</v>
      </c>
      <c r="Q29" s="373">
        <f t="shared" si="16"/>
        <v>19.432312538485</v>
      </c>
      <c r="R29" s="373">
        <f t="shared" si="16"/>
        <v>23.957077419096251</v>
      </c>
      <c r="S29" s="373">
        <f t="shared" si="16"/>
        <v>23.672763449561248</v>
      </c>
      <c r="T29" s="373">
        <f t="shared" si="16"/>
        <v>26.561562565557814</v>
      </c>
      <c r="U29" s="373">
        <f t="shared" si="16"/>
        <v>19.0892150761625</v>
      </c>
      <c r="V29" s="373">
        <f t="shared" si="16"/>
        <v>15.356136941541251</v>
      </c>
      <c r="W29" s="373">
        <f t="shared" si="16"/>
        <v>11.610676366614374</v>
      </c>
      <c r="X29" s="373">
        <f t="shared" si="16"/>
        <v>11.629250027072812</v>
      </c>
      <c r="Y29" s="373">
        <f t="shared" si="16"/>
        <v>7.8652157916874987</v>
      </c>
      <c r="Z29" s="373">
        <f t="shared" si="16"/>
        <v>7.877598231993125</v>
      </c>
      <c r="AA29" s="373">
        <f t="shared" si="16"/>
        <v>8.7899806722987499</v>
      </c>
      <c r="AB29" s="373">
        <f t="shared" si="16"/>
        <v>16.241532500000002</v>
      </c>
      <c r="AC29" s="373">
        <f t="shared" si="16"/>
        <v>16.264250000000001</v>
      </c>
    </row>
    <row r="30" spans="1:29">
      <c r="A30" s="339" t="s">
        <v>540</v>
      </c>
      <c r="B30" s="377">
        <v>5.5E-2</v>
      </c>
      <c r="C30" s="378">
        <f>D29*B30+((216-194.0085))</f>
        <v>43.260709169034783</v>
      </c>
      <c r="D30" s="370">
        <f t="shared" ref="D30:D33" ca="1" si="17">SUM(E30:AC30)</f>
        <v>61.239003803631633</v>
      </c>
      <c r="E30" s="370">
        <f t="shared" ref="E30:AC30" ca="1" si="18">$C$14*E14</f>
        <v>2.4495601521452643</v>
      </c>
      <c r="F30" s="370">
        <f t="shared" ca="1" si="18"/>
        <v>2.4495601521452643</v>
      </c>
      <c r="G30" s="370">
        <f t="shared" ca="1" si="18"/>
        <v>2.4495601521452643</v>
      </c>
      <c r="H30" s="370">
        <f t="shared" ca="1" si="18"/>
        <v>2.4495601521452643</v>
      </c>
      <c r="I30" s="370">
        <f t="shared" ca="1" si="18"/>
        <v>2.4495601521452643</v>
      </c>
      <c r="J30" s="370">
        <f t="shared" ca="1" si="18"/>
        <v>2.4495601521452643</v>
      </c>
      <c r="K30" s="370">
        <f t="shared" ca="1" si="18"/>
        <v>2.4495601521452643</v>
      </c>
      <c r="L30" s="370">
        <f t="shared" ca="1" si="18"/>
        <v>2.4495601521452643</v>
      </c>
      <c r="M30" s="370">
        <f t="shared" ca="1" si="18"/>
        <v>2.4495601521452643</v>
      </c>
      <c r="N30" s="370">
        <f t="shared" ca="1" si="18"/>
        <v>2.4495601521452643</v>
      </c>
      <c r="O30" s="370">
        <f t="shared" ca="1" si="18"/>
        <v>2.4495601521452643</v>
      </c>
      <c r="P30" s="370">
        <f t="shared" ca="1" si="18"/>
        <v>2.4495601521452643</v>
      </c>
      <c r="Q30" s="370">
        <f t="shared" ca="1" si="18"/>
        <v>2.4495601521452643</v>
      </c>
      <c r="R30" s="370">
        <f t="shared" ca="1" si="18"/>
        <v>2.4495601521452643</v>
      </c>
      <c r="S30" s="370">
        <f t="shared" ca="1" si="18"/>
        <v>2.4495601521452643</v>
      </c>
      <c r="T30" s="370">
        <f t="shared" ca="1" si="18"/>
        <v>2.4495601521452643</v>
      </c>
      <c r="U30" s="370">
        <f t="shared" ca="1" si="18"/>
        <v>2.4495601521452643</v>
      </c>
      <c r="V30" s="370">
        <f t="shared" ca="1" si="18"/>
        <v>2.4495601521452643</v>
      </c>
      <c r="W30" s="370">
        <f t="shared" ca="1" si="18"/>
        <v>2.4495601521452643</v>
      </c>
      <c r="X30" s="370">
        <f t="shared" ca="1" si="18"/>
        <v>2.4495601521452643</v>
      </c>
      <c r="Y30" s="370">
        <f t="shared" ca="1" si="18"/>
        <v>2.4495601521452643</v>
      </c>
      <c r="Z30" s="370">
        <f t="shared" ca="1" si="18"/>
        <v>2.4495601521452643</v>
      </c>
      <c r="AA30" s="370">
        <f t="shared" ca="1" si="18"/>
        <v>2.4495601521452643</v>
      </c>
      <c r="AB30" s="370">
        <f t="shared" ca="1" si="18"/>
        <v>2.4495601521452643</v>
      </c>
      <c r="AC30" s="370">
        <f t="shared" ca="1" si="18"/>
        <v>2.4495601521452643</v>
      </c>
    </row>
    <row r="31" spans="1:29">
      <c r="A31" s="339" t="s">
        <v>541</v>
      </c>
      <c r="B31" s="379">
        <v>0.03</v>
      </c>
      <c r="C31" s="380">
        <f>D29*B31</f>
        <v>11.601386819473516</v>
      </c>
      <c r="D31" s="370">
        <f t="shared" si="17"/>
        <v>20.36695168</v>
      </c>
      <c r="E31" s="370">
        <f t="shared" ref="E31:AC31" si="19">$C$15*E15</f>
        <v>0</v>
      </c>
      <c r="F31" s="370">
        <f t="shared" si="19"/>
        <v>0</v>
      </c>
      <c r="G31" s="370">
        <f t="shared" si="19"/>
        <v>0</v>
      </c>
      <c r="H31" s="370">
        <f t="shared" si="19"/>
        <v>0</v>
      </c>
      <c r="I31" s="370">
        <f t="shared" si="19"/>
        <v>0</v>
      </c>
      <c r="J31" s="370">
        <f t="shared" si="19"/>
        <v>0</v>
      </c>
      <c r="K31" s="370">
        <f t="shared" si="19"/>
        <v>0</v>
      </c>
      <c r="L31" s="370">
        <f t="shared" si="19"/>
        <v>0</v>
      </c>
      <c r="M31" s="370">
        <f t="shared" si="19"/>
        <v>0</v>
      </c>
      <c r="N31" s="370">
        <f t="shared" si="19"/>
        <v>0</v>
      </c>
      <c r="O31" s="370">
        <f t="shared" si="19"/>
        <v>0</v>
      </c>
      <c r="P31" s="370">
        <f t="shared" si="19"/>
        <v>0</v>
      </c>
      <c r="Q31" s="370">
        <f t="shared" si="19"/>
        <v>0</v>
      </c>
      <c r="R31" s="370">
        <f t="shared" si="19"/>
        <v>0</v>
      </c>
      <c r="S31" s="370">
        <f t="shared" si="19"/>
        <v>0</v>
      </c>
      <c r="T31" s="370">
        <f t="shared" si="19"/>
        <v>0</v>
      </c>
      <c r="U31" s="370">
        <f t="shared" si="19"/>
        <v>0</v>
      </c>
      <c r="V31" s="370">
        <f t="shared" si="19"/>
        <v>0</v>
      </c>
      <c r="W31" s="370">
        <f t="shared" si="19"/>
        <v>0</v>
      </c>
      <c r="X31" s="370">
        <f t="shared" si="19"/>
        <v>0</v>
      </c>
      <c r="Y31" s="370">
        <f t="shared" si="19"/>
        <v>4.0733903360000001</v>
      </c>
      <c r="Z31" s="370">
        <f t="shared" si="19"/>
        <v>4.0733903360000001</v>
      </c>
      <c r="AA31" s="370">
        <f t="shared" si="19"/>
        <v>4.0733903360000001</v>
      </c>
      <c r="AB31" s="370">
        <f t="shared" si="19"/>
        <v>4.0733903360000001</v>
      </c>
      <c r="AC31" s="370">
        <f t="shared" si="19"/>
        <v>4.0733903360000001</v>
      </c>
    </row>
    <row r="32" spans="1:29">
      <c r="A32" s="339" t="s">
        <v>543</v>
      </c>
      <c r="B32" s="381"/>
      <c r="C32" s="382"/>
      <c r="D32" s="370">
        <f t="shared" si="17"/>
        <v>6</v>
      </c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0">
        <f t="shared" ref="S32:AC32" si="20">$C$17*S17</f>
        <v>0</v>
      </c>
      <c r="T32" s="370">
        <f t="shared" si="20"/>
        <v>0</v>
      </c>
      <c r="U32" s="370">
        <f t="shared" si="20"/>
        <v>0</v>
      </c>
      <c r="V32" s="370">
        <f t="shared" si="20"/>
        <v>0</v>
      </c>
      <c r="W32" s="370">
        <f t="shared" si="20"/>
        <v>0</v>
      </c>
      <c r="X32" s="370">
        <f t="shared" si="20"/>
        <v>0</v>
      </c>
      <c r="Y32" s="370">
        <f t="shared" si="20"/>
        <v>0</v>
      </c>
      <c r="Z32" s="370">
        <f t="shared" si="20"/>
        <v>0</v>
      </c>
      <c r="AA32" s="370">
        <f t="shared" si="20"/>
        <v>0</v>
      </c>
      <c r="AB32" s="370">
        <f t="shared" si="20"/>
        <v>3</v>
      </c>
      <c r="AC32" s="370">
        <f t="shared" si="20"/>
        <v>3</v>
      </c>
    </row>
    <row r="33" spans="1:29">
      <c r="A33" s="339" t="s">
        <v>463</v>
      </c>
      <c r="B33" s="379">
        <v>0.05</v>
      </c>
      <c r="C33" s="380">
        <f>D29*B33</f>
        <v>19.335644699122529</v>
      </c>
      <c r="D33" s="370">
        <f t="shared" si="17"/>
        <v>25</v>
      </c>
      <c r="E33" s="370">
        <f t="shared" ref="E33:AC33" si="21">$C$18*E18</f>
        <v>0</v>
      </c>
      <c r="F33" s="370">
        <f t="shared" si="21"/>
        <v>0</v>
      </c>
      <c r="G33" s="370">
        <f t="shared" si="21"/>
        <v>0</v>
      </c>
      <c r="H33" s="370">
        <f t="shared" si="21"/>
        <v>0</v>
      </c>
      <c r="I33" s="370">
        <f t="shared" si="21"/>
        <v>0</v>
      </c>
      <c r="J33" s="370">
        <f t="shared" si="21"/>
        <v>0</v>
      </c>
      <c r="K33" s="370">
        <f t="shared" si="21"/>
        <v>0</v>
      </c>
      <c r="L33" s="370">
        <f t="shared" si="21"/>
        <v>0</v>
      </c>
      <c r="M33" s="370">
        <f t="shared" si="21"/>
        <v>0</v>
      </c>
      <c r="N33" s="370">
        <f t="shared" si="21"/>
        <v>0</v>
      </c>
      <c r="O33" s="370">
        <f t="shared" si="21"/>
        <v>0</v>
      </c>
      <c r="P33" s="370">
        <f t="shared" si="21"/>
        <v>0</v>
      </c>
      <c r="Q33" s="370">
        <f t="shared" si="21"/>
        <v>0</v>
      </c>
      <c r="R33" s="370">
        <f t="shared" si="21"/>
        <v>0</v>
      </c>
      <c r="S33" s="370">
        <f t="shared" si="21"/>
        <v>0</v>
      </c>
      <c r="T33" s="370">
        <f t="shared" si="21"/>
        <v>0</v>
      </c>
      <c r="U33" s="370">
        <f t="shared" si="21"/>
        <v>0</v>
      </c>
      <c r="V33" s="370">
        <f t="shared" si="21"/>
        <v>0</v>
      </c>
      <c r="W33" s="370">
        <f t="shared" si="21"/>
        <v>0</v>
      </c>
      <c r="X33" s="370">
        <f t="shared" si="21"/>
        <v>0</v>
      </c>
      <c r="Y33" s="370">
        <f t="shared" si="21"/>
        <v>5</v>
      </c>
      <c r="Z33" s="370">
        <f t="shared" si="21"/>
        <v>5</v>
      </c>
      <c r="AA33" s="370">
        <f t="shared" si="21"/>
        <v>5</v>
      </c>
      <c r="AB33" s="370">
        <f t="shared" si="21"/>
        <v>5</v>
      </c>
      <c r="AC33" s="370">
        <f t="shared" si="21"/>
        <v>5</v>
      </c>
    </row>
    <row r="34" spans="1:29">
      <c r="A34" s="339" t="s">
        <v>544</v>
      </c>
      <c r="B34" s="379"/>
      <c r="C34" s="369"/>
      <c r="D34" s="370">
        <f ca="1">SUM(E34:AC34)</f>
        <v>40.950980169013739</v>
      </c>
      <c r="E34" s="371">
        <f t="shared" ref="E34:AC34" si="22">E54</f>
        <v>0</v>
      </c>
      <c r="F34" s="371">
        <f t="shared" ca="1" si="22"/>
        <v>0.20267484952557849</v>
      </c>
      <c r="G34" s="371">
        <f t="shared" ca="1" si="22"/>
        <v>0.25137346860999699</v>
      </c>
      <c r="H34" s="371">
        <f t="shared" ca="1" si="22"/>
        <v>0.31034008138721048</v>
      </c>
      <c r="I34" s="371">
        <f t="shared" ca="1" si="22"/>
        <v>0.37975046536854584</v>
      </c>
      <c r="J34" s="371">
        <f t="shared" ca="1" si="22"/>
        <v>0.41401437069464292</v>
      </c>
      <c r="K34" s="371">
        <f t="shared" ca="1" si="22"/>
        <v>0.54649648390994254</v>
      </c>
      <c r="L34" s="371">
        <f t="shared" ca="1" si="22"/>
        <v>0.65304828636619527</v>
      </c>
      <c r="M34" s="371">
        <f t="shared" ca="1" si="22"/>
        <v>0.83049177502298277</v>
      </c>
      <c r="N34" s="371">
        <f t="shared" ca="1" si="22"/>
        <v>0.98110569567106065</v>
      </c>
      <c r="O34" s="371">
        <f t="shared" ca="1" si="22"/>
        <v>1.2293051398638077</v>
      </c>
      <c r="P34" s="371">
        <f t="shared" ca="1" si="22"/>
        <v>1.4298881641912671</v>
      </c>
      <c r="Q34" s="371">
        <f t="shared" ca="1" si="22"/>
        <v>1.5512217475864034</v>
      </c>
      <c r="R34" s="371">
        <f t="shared" ca="1" si="22"/>
        <v>1.7854382599572658</v>
      </c>
      <c r="S34" s="371">
        <f t="shared" ca="1" si="22"/>
        <v>1.9202352583937794</v>
      </c>
      <c r="T34" s="371">
        <f t="shared" ca="1" si="22"/>
        <v>2.1936988222133116</v>
      </c>
      <c r="U34" s="371">
        <f t="shared" ca="1" si="22"/>
        <v>2.3886062646476729</v>
      </c>
      <c r="V34" s="371">
        <f t="shared" ca="1" si="22"/>
        <v>2.2980488443964964</v>
      </c>
      <c r="W34" s="371">
        <f t="shared" ca="1" si="22"/>
        <v>2.6745025004987846</v>
      </c>
      <c r="X34" s="371">
        <f t="shared" ca="1" si="22"/>
        <v>2.7028957897935357</v>
      </c>
      <c r="Y34" s="371">
        <f t="shared" ca="1" si="22"/>
        <v>2.9312254089698553</v>
      </c>
      <c r="Z34" s="371">
        <f t="shared" ca="1" si="22"/>
        <v>2.9896316083051286</v>
      </c>
      <c r="AA34" s="371">
        <f t="shared" ca="1" si="22"/>
        <v>3.2517490175114956</v>
      </c>
      <c r="AB34" s="371">
        <f t="shared" ca="1" si="22"/>
        <v>3.4560355264509512</v>
      </c>
      <c r="AC34" s="371">
        <f t="shared" ca="1" si="22"/>
        <v>3.5792023396778303</v>
      </c>
    </row>
    <row r="35" spans="1:29" s="329" customFormat="1">
      <c r="A35" s="372" t="s">
        <v>548</v>
      </c>
      <c r="B35" s="373"/>
      <c r="C35" s="373"/>
      <c r="D35" s="373">
        <f ca="1">SUM(E35:AC35)</f>
        <v>153.55693565264534</v>
      </c>
      <c r="E35" s="373">
        <f t="shared" ref="E35:AC35" ca="1" si="23">SUM(E30:E34)</f>
        <v>2.4495601521452643</v>
      </c>
      <c r="F35" s="373">
        <f t="shared" ca="1" si="23"/>
        <v>2.6522350016708427</v>
      </c>
      <c r="G35" s="373">
        <f t="shared" ca="1" si="23"/>
        <v>2.7009336207552614</v>
      </c>
      <c r="H35" s="373">
        <f t="shared" ca="1" si="23"/>
        <v>2.7599002335324747</v>
      </c>
      <c r="I35" s="373">
        <f t="shared" ca="1" si="23"/>
        <v>2.8293106175138103</v>
      </c>
      <c r="J35" s="373">
        <f t="shared" ca="1" si="23"/>
        <v>2.8635745228399072</v>
      </c>
      <c r="K35" s="373">
        <f t="shared" ca="1" si="23"/>
        <v>2.996056636055207</v>
      </c>
      <c r="L35" s="373">
        <f t="shared" ca="1" si="23"/>
        <v>3.1026084385114596</v>
      </c>
      <c r="M35" s="373">
        <f t="shared" ca="1" si="23"/>
        <v>3.2800519271682473</v>
      </c>
      <c r="N35" s="373">
        <f t="shared" ca="1" si="23"/>
        <v>3.430665847816325</v>
      </c>
      <c r="O35" s="373">
        <f t="shared" ca="1" si="23"/>
        <v>3.6788652920090721</v>
      </c>
      <c r="P35" s="373">
        <f t="shared" ca="1" si="23"/>
        <v>3.8794483163365312</v>
      </c>
      <c r="Q35" s="373">
        <f t="shared" ca="1" si="23"/>
        <v>4.0007818997316678</v>
      </c>
      <c r="R35" s="373">
        <f t="shared" ca="1" si="23"/>
        <v>4.2349984121025299</v>
      </c>
      <c r="S35" s="373">
        <f t="shared" ca="1" si="23"/>
        <v>4.3697954105390435</v>
      </c>
      <c r="T35" s="373">
        <f t="shared" ca="1" si="23"/>
        <v>4.6432589743585755</v>
      </c>
      <c r="U35" s="373">
        <f t="shared" ca="1" si="23"/>
        <v>4.8381664167929372</v>
      </c>
      <c r="V35" s="373">
        <f t="shared" ca="1" si="23"/>
        <v>4.7476089965417607</v>
      </c>
      <c r="W35" s="373">
        <f t="shared" ca="1" si="23"/>
        <v>5.1240626526440494</v>
      </c>
      <c r="X35" s="373">
        <f t="shared" ca="1" si="23"/>
        <v>5.1524559419388005</v>
      </c>
      <c r="Y35" s="373">
        <f t="shared" ca="1" si="23"/>
        <v>14.454175897115119</v>
      </c>
      <c r="Z35" s="373">
        <f t="shared" ca="1" si="23"/>
        <v>14.512582096450393</v>
      </c>
      <c r="AA35" s="373">
        <f t="shared" ca="1" si="23"/>
        <v>14.774699505656759</v>
      </c>
      <c r="AB35" s="373">
        <f t="shared" ca="1" si="23"/>
        <v>17.978986014596217</v>
      </c>
      <c r="AC35" s="373">
        <f t="shared" ca="1" si="23"/>
        <v>18.102152827823094</v>
      </c>
    </row>
    <row r="36" spans="1:29" s="329" customFormat="1">
      <c r="A36" s="372"/>
      <c r="B36" s="383"/>
      <c r="C36" s="384"/>
      <c r="D36" s="385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</row>
    <row r="37" spans="1:29" s="329" customFormat="1" ht="13.5" thickBot="1">
      <c r="A37" s="387" t="s">
        <v>549</v>
      </c>
      <c r="B37" s="74"/>
      <c r="C37" s="74"/>
      <c r="D37" s="74">
        <f ca="1">SUM(E37:AC37)</f>
        <v>540.26982963509602</v>
      </c>
      <c r="E37" s="74">
        <f t="shared" ref="E37:AC37" ca="1" si="24">E29+E35</f>
        <v>23.778105152145262</v>
      </c>
      <c r="F37" s="74">
        <f t="shared" ca="1" si="24"/>
        <v>9.7731087516708435</v>
      </c>
      <c r="G37" s="74">
        <f t="shared" ca="1" si="24"/>
        <v>6.3720995538483862</v>
      </c>
      <c r="H37" s="74">
        <f t="shared" ca="1" si="24"/>
        <v>7.9372573867784126</v>
      </c>
      <c r="I37" s="74">
        <f t="shared" ca="1" si="24"/>
        <v>11.696407364311311</v>
      </c>
      <c r="J37" s="74">
        <f t="shared" ca="1" si="24"/>
        <v>10.543053709943031</v>
      </c>
      <c r="K37" s="74">
        <f t="shared" ca="1" si="24"/>
        <v>14.383849077168332</v>
      </c>
      <c r="L37" s="74">
        <f t="shared" ca="1" si="24"/>
        <v>21.913218607797397</v>
      </c>
      <c r="M37" s="74">
        <f t="shared" ca="1" si="24"/>
        <v>22.12161819721825</v>
      </c>
      <c r="N37" s="74">
        <f t="shared" ca="1" si="24"/>
        <v>29.732197166956016</v>
      </c>
      <c r="O37" s="74">
        <f t="shared" ca="1" si="24"/>
        <v>31.223735152218449</v>
      </c>
      <c r="P37" s="74">
        <f t="shared" ca="1" si="24"/>
        <v>25.513882888678719</v>
      </c>
      <c r="Q37" s="74">
        <f t="shared" ca="1" si="24"/>
        <v>23.433094438216667</v>
      </c>
      <c r="R37" s="74">
        <f t="shared" ca="1" si="24"/>
        <v>28.192075831198782</v>
      </c>
      <c r="S37" s="74">
        <f t="shared" ca="1" si="24"/>
        <v>28.042558860100293</v>
      </c>
      <c r="T37" s="74">
        <f t="shared" ca="1" si="24"/>
        <v>31.204821539916388</v>
      </c>
      <c r="U37" s="74">
        <f t="shared" ca="1" si="24"/>
        <v>23.927381492955437</v>
      </c>
      <c r="V37" s="74">
        <f t="shared" ca="1" si="24"/>
        <v>20.103745938083012</v>
      </c>
      <c r="W37" s="74">
        <f t="shared" ca="1" si="24"/>
        <v>16.734739019258424</v>
      </c>
      <c r="X37" s="74">
        <f t="shared" ca="1" si="24"/>
        <v>16.781705969011611</v>
      </c>
      <c r="Y37" s="74">
        <f t="shared" ca="1" si="24"/>
        <v>22.319391688802618</v>
      </c>
      <c r="Z37" s="74">
        <f t="shared" ca="1" si="24"/>
        <v>22.390180328443517</v>
      </c>
      <c r="AA37" s="74">
        <f t="shared" ca="1" si="24"/>
        <v>23.564680177955509</v>
      </c>
      <c r="AB37" s="74">
        <f t="shared" ca="1" si="24"/>
        <v>34.220518514596222</v>
      </c>
      <c r="AC37" s="74">
        <f t="shared" ca="1" si="24"/>
        <v>34.366402827823094</v>
      </c>
    </row>
    <row r="38" spans="1:29">
      <c r="A38" s="372"/>
      <c r="B38" s="339"/>
      <c r="C38" s="345"/>
      <c r="D38" s="34"/>
      <c r="E38" s="439">
        <f>IF(MONTH(E22)&gt;3,YEAR(E22)+1,YEAR(E22))</f>
        <v>2021</v>
      </c>
      <c r="F38" s="439">
        <f t="shared" ref="F38:AC38" si="25">IF(MONTH(F22)&gt;3,YEAR(F22)+1,YEAR(F22))</f>
        <v>2021</v>
      </c>
      <c r="G38" s="439">
        <f t="shared" si="25"/>
        <v>2021</v>
      </c>
      <c r="H38" s="439">
        <f t="shared" si="25"/>
        <v>2021</v>
      </c>
      <c r="I38" s="439">
        <f t="shared" si="25"/>
        <v>2021</v>
      </c>
      <c r="J38" s="439">
        <f t="shared" si="25"/>
        <v>2021</v>
      </c>
      <c r="K38" s="439">
        <f t="shared" si="25"/>
        <v>2021</v>
      </c>
      <c r="L38" s="439">
        <f t="shared" si="25"/>
        <v>2022</v>
      </c>
      <c r="M38" s="439">
        <f t="shared" si="25"/>
        <v>2022</v>
      </c>
      <c r="N38" s="439">
        <f t="shared" si="25"/>
        <v>2022</v>
      </c>
      <c r="O38" s="439">
        <f t="shared" si="25"/>
        <v>2022</v>
      </c>
      <c r="P38" s="439">
        <f t="shared" si="25"/>
        <v>2022</v>
      </c>
      <c r="Q38" s="439">
        <f t="shared" si="25"/>
        <v>2022</v>
      </c>
      <c r="R38" s="439">
        <f t="shared" si="25"/>
        <v>2022</v>
      </c>
      <c r="S38" s="439">
        <f t="shared" si="25"/>
        <v>2022</v>
      </c>
      <c r="T38" s="439">
        <f t="shared" si="25"/>
        <v>2022</v>
      </c>
      <c r="U38" s="439">
        <f t="shared" si="25"/>
        <v>2022</v>
      </c>
      <c r="V38" s="439">
        <f t="shared" si="25"/>
        <v>2022</v>
      </c>
      <c r="W38" s="439">
        <f t="shared" si="25"/>
        <v>2022</v>
      </c>
      <c r="X38" s="439">
        <f t="shared" si="25"/>
        <v>2023</v>
      </c>
      <c r="Y38" s="439">
        <f t="shared" si="25"/>
        <v>2023</v>
      </c>
      <c r="Z38" s="439">
        <f t="shared" si="25"/>
        <v>2023</v>
      </c>
      <c r="AA38" s="439">
        <f t="shared" si="25"/>
        <v>2023</v>
      </c>
      <c r="AB38" s="439">
        <f t="shared" si="25"/>
        <v>2023</v>
      </c>
      <c r="AC38" s="439">
        <f t="shared" si="25"/>
        <v>2023</v>
      </c>
    </row>
    <row r="39" spans="1:29">
      <c r="A39" s="372" t="s">
        <v>550</v>
      </c>
      <c r="B39" s="339"/>
      <c r="C39" s="345"/>
      <c r="D39" s="34"/>
      <c r="E39" s="351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</row>
    <row r="40" spans="1:29">
      <c r="A40" s="351" t="s">
        <v>158</v>
      </c>
      <c r="B40" s="388">
        <f>'FGD Input'!E35</f>
        <v>0.25</v>
      </c>
      <c r="C40" s="389">
        <f ca="1">'FGD Input'!I35+'FGD Input'!L35</f>
        <v>135.067457408774</v>
      </c>
      <c r="D40" s="34"/>
      <c r="E40" s="351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</row>
    <row r="41" spans="1:29">
      <c r="A41" s="351" t="s">
        <v>342</v>
      </c>
      <c r="B41" s="388">
        <f>'FGD Input'!E36</f>
        <v>0.75</v>
      </c>
      <c r="C41" s="389">
        <f ca="1">'FGD Input'!I36+'FGD Input'!L36</f>
        <v>405.20237222632204</v>
      </c>
      <c r="D41" s="34"/>
      <c r="E41" s="351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</row>
    <row r="42" spans="1:29">
      <c r="A42" s="351"/>
      <c r="B42" s="390"/>
      <c r="C42" s="390"/>
      <c r="D42" s="34"/>
      <c r="E42" s="351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</row>
    <row r="43" spans="1:29">
      <c r="A43" s="351" t="s">
        <v>420</v>
      </c>
      <c r="B43" s="388"/>
      <c r="C43" s="388">
        <v>0</v>
      </c>
      <c r="D43" s="34"/>
      <c r="E43" s="351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</row>
    <row r="44" spans="1:29">
      <c r="A44" s="351"/>
      <c r="B44" s="390"/>
      <c r="C44" s="351"/>
      <c r="D44" s="34"/>
      <c r="E44" s="351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</row>
    <row r="45" spans="1:29">
      <c r="A45" s="351" t="s">
        <v>158</v>
      </c>
      <c r="C45" s="391">
        <f ca="1">C40*C43</f>
        <v>0</v>
      </c>
      <c r="D45" s="392">
        <f ca="1">C45-SUM(E45:AC45)</f>
        <v>0</v>
      </c>
      <c r="E45" s="393">
        <f t="shared" ref="E45:AC45" ca="1" si="26">IF((D51+E37)&lt;$C$45,E37,IF(AND(D51&lt;$C$45,(D51+E37)&gt;$C$45),($C$45-D51),))</f>
        <v>0</v>
      </c>
      <c r="F45" s="393">
        <f t="shared" ca="1" si="26"/>
        <v>0</v>
      </c>
      <c r="G45" s="393">
        <f t="shared" ca="1" si="26"/>
        <v>0</v>
      </c>
      <c r="H45" s="393">
        <f t="shared" ca="1" si="26"/>
        <v>0</v>
      </c>
      <c r="I45" s="393">
        <f t="shared" ca="1" si="26"/>
        <v>0</v>
      </c>
      <c r="J45" s="393">
        <f t="shared" ca="1" si="26"/>
        <v>0</v>
      </c>
      <c r="K45" s="393">
        <f t="shared" ca="1" si="26"/>
        <v>0</v>
      </c>
      <c r="L45" s="393">
        <f t="shared" ca="1" si="26"/>
        <v>0</v>
      </c>
      <c r="M45" s="393">
        <f t="shared" ca="1" si="26"/>
        <v>0</v>
      </c>
      <c r="N45" s="393">
        <f t="shared" ca="1" si="26"/>
        <v>0</v>
      </c>
      <c r="O45" s="393">
        <f t="shared" ca="1" si="26"/>
        <v>0</v>
      </c>
      <c r="P45" s="393">
        <f t="shared" ca="1" si="26"/>
        <v>0</v>
      </c>
      <c r="Q45" s="393">
        <f t="shared" ca="1" si="26"/>
        <v>0</v>
      </c>
      <c r="R45" s="393">
        <f t="shared" ca="1" si="26"/>
        <v>0</v>
      </c>
      <c r="S45" s="393">
        <f t="shared" ca="1" si="26"/>
        <v>0</v>
      </c>
      <c r="T45" s="393">
        <f t="shared" ca="1" si="26"/>
        <v>0</v>
      </c>
      <c r="U45" s="393">
        <f t="shared" ca="1" si="26"/>
        <v>0</v>
      </c>
      <c r="V45" s="393">
        <f t="shared" ca="1" si="26"/>
        <v>0</v>
      </c>
      <c r="W45" s="393">
        <f t="shared" ca="1" si="26"/>
        <v>0</v>
      </c>
      <c r="X45" s="393">
        <f t="shared" ca="1" si="26"/>
        <v>0</v>
      </c>
      <c r="Y45" s="393">
        <f t="shared" ca="1" si="26"/>
        <v>0</v>
      </c>
      <c r="Z45" s="393">
        <f t="shared" ca="1" si="26"/>
        <v>0</v>
      </c>
      <c r="AA45" s="393">
        <f t="shared" ca="1" si="26"/>
        <v>0</v>
      </c>
      <c r="AB45" s="393">
        <f t="shared" ca="1" si="26"/>
        <v>0</v>
      </c>
      <c r="AC45" s="393">
        <f t="shared" ca="1" si="26"/>
        <v>0</v>
      </c>
    </row>
    <row r="46" spans="1:29">
      <c r="A46" s="351" t="s">
        <v>342</v>
      </c>
      <c r="C46" s="391">
        <f ca="1">C41*C43</f>
        <v>0</v>
      </c>
      <c r="D46" s="392">
        <f ca="1">C46-SUM(E46:AC46)</f>
        <v>0</v>
      </c>
      <c r="E46" s="393" t="b">
        <f t="shared" ref="E46:AC46" ca="1" si="27">IF((D52+E37-E45)&lt;$C$46,(E37-E45),IF(AND(D52&lt;$C$46,(D52+E37)&gt;$C$46),($C$46-D52)))</f>
        <v>0</v>
      </c>
      <c r="F46" s="393" t="b">
        <f t="shared" ca="1" si="27"/>
        <v>0</v>
      </c>
      <c r="G46" s="393" t="b">
        <f t="shared" ca="1" si="27"/>
        <v>0</v>
      </c>
      <c r="H46" s="393" t="b">
        <f t="shared" ca="1" si="27"/>
        <v>0</v>
      </c>
      <c r="I46" s="393" t="b">
        <f t="shared" ca="1" si="27"/>
        <v>0</v>
      </c>
      <c r="J46" s="393" t="b">
        <f t="shared" ca="1" si="27"/>
        <v>0</v>
      </c>
      <c r="K46" s="393" t="b">
        <f t="shared" ca="1" si="27"/>
        <v>0</v>
      </c>
      <c r="L46" s="393" t="b">
        <f t="shared" ca="1" si="27"/>
        <v>0</v>
      </c>
      <c r="M46" s="393" t="b">
        <f ca="1">IF((L52+M37-M45)&lt;$C$46,(M37-M45),IF(AND(L52&lt;$C$46,(L52+M37)&gt;$C$46),($C$46-L52)))</f>
        <v>0</v>
      </c>
      <c r="N46" s="393" t="b">
        <f t="shared" ca="1" si="27"/>
        <v>0</v>
      </c>
      <c r="O46" s="393" t="b">
        <f t="shared" ca="1" si="27"/>
        <v>0</v>
      </c>
      <c r="P46" s="393" t="b">
        <f t="shared" ca="1" si="27"/>
        <v>0</v>
      </c>
      <c r="Q46" s="393" t="b">
        <f t="shared" ca="1" si="27"/>
        <v>0</v>
      </c>
      <c r="R46" s="393" t="b">
        <f t="shared" ca="1" si="27"/>
        <v>0</v>
      </c>
      <c r="S46" s="393" t="b">
        <f t="shared" ca="1" si="27"/>
        <v>0</v>
      </c>
      <c r="T46" s="393" t="b">
        <f t="shared" ca="1" si="27"/>
        <v>0</v>
      </c>
      <c r="U46" s="393" t="b">
        <f t="shared" ca="1" si="27"/>
        <v>0</v>
      </c>
      <c r="V46" s="393" t="b">
        <f t="shared" ca="1" si="27"/>
        <v>0</v>
      </c>
      <c r="W46" s="393" t="b">
        <f t="shared" ca="1" si="27"/>
        <v>0</v>
      </c>
      <c r="X46" s="393" t="b">
        <f t="shared" ca="1" si="27"/>
        <v>0</v>
      </c>
      <c r="Y46" s="393" t="b">
        <f t="shared" ca="1" si="27"/>
        <v>0</v>
      </c>
      <c r="Z46" s="393" t="b">
        <f t="shared" ca="1" si="27"/>
        <v>0</v>
      </c>
      <c r="AA46" s="393" t="b">
        <f t="shared" ca="1" si="27"/>
        <v>0</v>
      </c>
      <c r="AB46" s="393" t="b">
        <f t="shared" ca="1" si="27"/>
        <v>0</v>
      </c>
      <c r="AC46" s="393" t="b">
        <f t="shared" ca="1" si="27"/>
        <v>0</v>
      </c>
    </row>
    <row r="47" spans="1:29">
      <c r="A47" s="351"/>
      <c r="B47" s="351"/>
      <c r="C47" s="351"/>
      <c r="D47" s="392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</row>
    <row r="48" spans="1:29">
      <c r="A48" s="351" t="s">
        <v>551</v>
      </c>
      <c r="B48" s="388">
        <f>'FGD Input'!F35</f>
        <v>0.25</v>
      </c>
      <c r="C48" s="394">
        <f ca="1">C40-C45</f>
        <v>135.067457408774</v>
      </c>
      <c r="D48" s="392">
        <f ca="1">C48-SUM(E48:AC48)</f>
        <v>0</v>
      </c>
      <c r="E48" s="457">
        <f t="shared" ref="E48:AC48" ca="1" si="28">(E37-E45-E46)*$B$48</f>
        <v>5.9445262880363154</v>
      </c>
      <c r="F48" s="457">
        <f t="shared" ca="1" si="28"/>
        <v>2.4432771879177109</v>
      </c>
      <c r="G48" s="457">
        <f t="shared" ca="1" si="28"/>
        <v>1.5930248884620966</v>
      </c>
      <c r="H48" s="457">
        <f t="shared" ca="1" si="28"/>
        <v>1.9843143466946032</v>
      </c>
      <c r="I48" s="457">
        <f t="shared" ca="1" si="28"/>
        <v>2.9241018410778277</v>
      </c>
      <c r="J48" s="457">
        <f t="shared" ca="1" si="28"/>
        <v>2.6357634274857578</v>
      </c>
      <c r="K48" s="457">
        <f t="shared" ca="1" si="28"/>
        <v>3.595962269292083</v>
      </c>
      <c r="L48" s="457">
        <f t="shared" ca="1" si="28"/>
        <v>5.4783046519493492</v>
      </c>
      <c r="M48" s="393">
        <f t="shared" ca="1" si="28"/>
        <v>5.5304045493045626</v>
      </c>
      <c r="N48" s="393">
        <f t="shared" ca="1" si="28"/>
        <v>7.4330492917390041</v>
      </c>
      <c r="O48" s="393">
        <f t="shared" ca="1" si="28"/>
        <v>7.8059337880546122</v>
      </c>
      <c r="P48" s="393">
        <f t="shared" ca="1" si="28"/>
        <v>6.3784707221696797</v>
      </c>
      <c r="Q48" s="393">
        <f t="shared" ca="1" si="28"/>
        <v>5.8582736095541668</v>
      </c>
      <c r="R48" s="393">
        <f t="shared" ca="1" si="28"/>
        <v>7.0480189577996954</v>
      </c>
      <c r="S48" s="393">
        <f t="shared" ca="1" si="28"/>
        <v>7.0106397150250732</v>
      </c>
      <c r="T48" s="393">
        <f t="shared" ca="1" si="28"/>
        <v>7.801205384979097</v>
      </c>
      <c r="U48" s="393">
        <f t="shared" ca="1" si="28"/>
        <v>5.9818453732388592</v>
      </c>
      <c r="V48" s="393">
        <f t="shared" ca="1" si="28"/>
        <v>5.025936484520753</v>
      </c>
      <c r="W48" s="393">
        <f t="shared" ca="1" si="28"/>
        <v>4.1836847548146059</v>
      </c>
      <c r="X48" s="393">
        <f t="shared" ca="1" si="28"/>
        <v>4.1954264922529028</v>
      </c>
      <c r="Y48" s="393">
        <f t="shared" ca="1" si="28"/>
        <v>5.5798479222006545</v>
      </c>
      <c r="Z48" s="393">
        <f t="shared" ca="1" si="28"/>
        <v>5.5975450821108792</v>
      </c>
      <c r="AA48" s="393">
        <f t="shared" ca="1" si="28"/>
        <v>5.8911700444888773</v>
      </c>
      <c r="AB48" s="393">
        <f t="shared" ca="1" si="28"/>
        <v>8.5551296286490555</v>
      </c>
      <c r="AC48" s="393">
        <f t="shared" ca="1" si="28"/>
        <v>8.5916007069557736</v>
      </c>
    </row>
    <row r="49" spans="1:30">
      <c r="A49" s="351" t="s">
        <v>552</v>
      </c>
      <c r="B49" s="388">
        <f>1-B48</f>
        <v>0.75</v>
      </c>
      <c r="C49" s="394">
        <f ca="1">C41-C46</f>
        <v>405.20237222632204</v>
      </c>
      <c r="D49" s="392">
        <f ca="1">C49-SUM(E49:AC49)</f>
        <v>0</v>
      </c>
      <c r="E49" s="457">
        <f t="shared" ref="E49:AC49" ca="1" si="29">(E37-E45-E46)*$B$49</f>
        <v>17.833578864108947</v>
      </c>
      <c r="F49" s="457">
        <f t="shared" ca="1" si="29"/>
        <v>7.3298315637531326</v>
      </c>
      <c r="G49" s="457">
        <f t="shared" ca="1" si="29"/>
        <v>4.7790746653862897</v>
      </c>
      <c r="H49" s="457">
        <f t="shared" ca="1" si="29"/>
        <v>5.9529430400838095</v>
      </c>
      <c r="I49" s="457">
        <f t="shared" ca="1" si="29"/>
        <v>8.7723055232334826</v>
      </c>
      <c r="J49" s="457">
        <f t="shared" ca="1" si="29"/>
        <v>7.9072902824572733</v>
      </c>
      <c r="K49" s="457">
        <f t="shared" ca="1" si="29"/>
        <v>10.787886807876248</v>
      </c>
      <c r="L49" s="457">
        <f t="shared" ca="1" si="29"/>
        <v>16.434913955848046</v>
      </c>
      <c r="M49" s="393">
        <f t="shared" ca="1" si="29"/>
        <v>16.591213647913687</v>
      </c>
      <c r="N49" s="393">
        <f t="shared" ca="1" si="29"/>
        <v>22.299147875217013</v>
      </c>
      <c r="O49" s="393">
        <f t="shared" ca="1" si="29"/>
        <v>23.417801364163836</v>
      </c>
      <c r="P49" s="393">
        <f t="shared" ca="1" si="29"/>
        <v>19.135412166509038</v>
      </c>
      <c r="Q49" s="393">
        <f t="shared" ca="1" si="29"/>
        <v>17.574820828662499</v>
      </c>
      <c r="R49" s="393">
        <f t="shared" ca="1" si="29"/>
        <v>21.144056873399087</v>
      </c>
      <c r="S49" s="393">
        <f t="shared" ca="1" si="29"/>
        <v>21.031919145075221</v>
      </c>
      <c r="T49" s="393">
        <f t="shared" ca="1" si="29"/>
        <v>23.403616154937289</v>
      </c>
      <c r="U49" s="393">
        <f t="shared" ca="1" si="29"/>
        <v>17.945536119716579</v>
      </c>
      <c r="V49" s="393">
        <f t="shared" ca="1" si="29"/>
        <v>15.07780945356226</v>
      </c>
      <c r="W49" s="393">
        <f t="shared" ca="1" si="29"/>
        <v>12.551054264443817</v>
      </c>
      <c r="X49" s="393">
        <f t="shared" ca="1" si="29"/>
        <v>12.586279476758708</v>
      </c>
      <c r="Y49" s="393">
        <f t="shared" ca="1" si="29"/>
        <v>16.739543766601962</v>
      </c>
      <c r="Z49" s="393">
        <f t="shared" ca="1" si="29"/>
        <v>16.792635246332637</v>
      </c>
      <c r="AA49" s="393">
        <f t="shared" ca="1" si="29"/>
        <v>17.673510133466632</v>
      </c>
      <c r="AB49" s="393">
        <f t="shared" ca="1" si="29"/>
        <v>25.665388885947166</v>
      </c>
      <c r="AC49" s="393">
        <f t="shared" ca="1" si="29"/>
        <v>25.774802120867321</v>
      </c>
    </row>
    <row r="50" spans="1:30">
      <c r="A50" s="339"/>
      <c r="B50" s="339"/>
      <c r="C50" s="345"/>
      <c r="D50" s="34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393"/>
      <c r="Z50" s="393"/>
      <c r="AA50" s="393"/>
      <c r="AB50" s="393"/>
      <c r="AC50" s="393"/>
    </row>
    <row r="51" spans="1:30">
      <c r="A51" s="339" t="s">
        <v>553</v>
      </c>
      <c r="B51" s="339"/>
      <c r="C51" s="345"/>
      <c r="D51" s="450">
        <v>0</v>
      </c>
      <c r="E51" s="393">
        <f t="shared" ref="E51:AC52" ca="1" si="30">D51+E45+E48</f>
        <v>5.9445262880363154</v>
      </c>
      <c r="F51" s="393">
        <f t="shared" ca="1" si="30"/>
        <v>8.3878034759540263</v>
      </c>
      <c r="G51" s="393">
        <f t="shared" ca="1" si="30"/>
        <v>9.9808283644161229</v>
      </c>
      <c r="H51" s="393">
        <f t="shared" ca="1" si="30"/>
        <v>11.965142711110726</v>
      </c>
      <c r="I51" s="393">
        <f t="shared" ca="1" si="30"/>
        <v>14.889244552188554</v>
      </c>
      <c r="J51" s="393">
        <f t="shared" ca="1" si="30"/>
        <v>17.525007979674314</v>
      </c>
      <c r="K51" s="393">
        <f t="shared" ca="1" si="30"/>
        <v>21.120970248966398</v>
      </c>
      <c r="L51" s="393">
        <f t="shared" ca="1" si="30"/>
        <v>26.599274900915745</v>
      </c>
      <c r="M51" s="393">
        <f t="shared" ca="1" si="30"/>
        <v>32.129679450220308</v>
      </c>
      <c r="N51" s="393">
        <f t="shared" ca="1" si="30"/>
        <v>39.562728741959312</v>
      </c>
      <c r="O51" s="393">
        <f t="shared" ca="1" si="30"/>
        <v>47.368662530013921</v>
      </c>
      <c r="P51" s="393">
        <f t="shared" ca="1" si="30"/>
        <v>53.747133252183602</v>
      </c>
      <c r="Q51" s="393">
        <f t="shared" ca="1" si="30"/>
        <v>59.605406861737769</v>
      </c>
      <c r="R51" s="393">
        <f t="shared" ca="1" si="30"/>
        <v>66.65342581953746</v>
      </c>
      <c r="S51" s="393">
        <f t="shared" ca="1" si="30"/>
        <v>73.664065534562539</v>
      </c>
      <c r="T51" s="393">
        <f t="shared" ca="1" si="30"/>
        <v>81.465270919541638</v>
      </c>
      <c r="U51" s="393">
        <f t="shared" ca="1" si="30"/>
        <v>87.447116292780493</v>
      </c>
      <c r="V51" s="393">
        <f t="shared" ca="1" si="30"/>
        <v>92.473052777301248</v>
      </c>
      <c r="W51" s="393">
        <f t="shared" ca="1" si="30"/>
        <v>96.656737532115855</v>
      </c>
      <c r="X51" s="393">
        <f t="shared" ca="1" si="30"/>
        <v>100.85216402436876</v>
      </c>
      <c r="Y51" s="393">
        <f t="shared" ca="1" si="30"/>
        <v>106.43201194656942</v>
      </c>
      <c r="Z51" s="393">
        <f t="shared" ca="1" si="30"/>
        <v>112.0295570286803</v>
      </c>
      <c r="AA51" s="393">
        <f t="shared" ca="1" si="30"/>
        <v>117.92072707316918</v>
      </c>
      <c r="AB51" s="393">
        <f t="shared" ca="1" si="30"/>
        <v>126.47585670181823</v>
      </c>
      <c r="AC51" s="393">
        <f t="shared" ca="1" si="30"/>
        <v>135.067457408774</v>
      </c>
    </row>
    <row r="52" spans="1:30">
      <c r="A52" s="339" t="s">
        <v>554</v>
      </c>
      <c r="B52" s="339"/>
      <c r="C52" s="345"/>
      <c r="D52" s="450">
        <v>0</v>
      </c>
      <c r="E52" s="393">
        <f t="shared" ca="1" si="30"/>
        <v>17.833578864108947</v>
      </c>
      <c r="F52" s="393">
        <f t="shared" ca="1" si="30"/>
        <v>25.163410427862079</v>
      </c>
      <c r="G52" s="393">
        <f t="shared" ca="1" si="30"/>
        <v>29.942485093248369</v>
      </c>
      <c r="H52" s="393">
        <f t="shared" ca="1" si="30"/>
        <v>35.895428133332175</v>
      </c>
      <c r="I52" s="393">
        <f t="shared" ca="1" si="30"/>
        <v>44.667733656565659</v>
      </c>
      <c r="J52" s="393">
        <f t="shared" ca="1" si="30"/>
        <v>52.575023939022934</v>
      </c>
      <c r="K52" s="393">
        <f t="shared" ca="1" si="30"/>
        <v>63.362910746899182</v>
      </c>
      <c r="L52" s="393">
        <f t="shared" ca="1" si="30"/>
        <v>79.797824702747221</v>
      </c>
      <c r="M52" s="393">
        <f t="shared" ca="1" si="30"/>
        <v>96.389038350660911</v>
      </c>
      <c r="N52" s="393">
        <f t="shared" ca="1" si="30"/>
        <v>118.68818622587793</v>
      </c>
      <c r="O52" s="393">
        <f t="shared" ca="1" si="30"/>
        <v>142.10598759004176</v>
      </c>
      <c r="P52" s="393">
        <f t="shared" ca="1" si="30"/>
        <v>161.24139975655081</v>
      </c>
      <c r="Q52" s="393">
        <f t="shared" ca="1" si="30"/>
        <v>178.8162205852133</v>
      </c>
      <c r="R52" s="393">
        <f t="shared" ca="1" si="30"/>
        <v>199.96027745861238</v>
      </c>
      <c r="S52" s="393">
        <f t="shared" ca="1" si="30"/>
        <v>220.9921966036876</v>
      </c>
      <c r="T52" s="393">
        <f t="shared" ca="1" si="30"/>
        <v>244.39581275862488</v>
      </c>
      <c r="U52" s="393">
        <f t="shared" ca="1" si="30"/>
        <v>262.34134887834148</v>
      </c>
      <c r="V52" s="393">
        <f t="shared" ca="1" si="30"/>
        <v>277.41915833190376</v>
      </c>
      <c r="W52" s="393">
        <f t="shared" ca="1" si="30"/>
        <v>289.97021259634755</v>
      </c>
      <c r="X52" s="393">
        <f t="shared" ca="1" si="30"/>
        <v>302.55649207310626</v>
      </c>
      <c r="Y52" s="393">
        <f t="shared" ca="1" si="30"/>
        <v>319.29603583970822</v>
      </c>
      <c r="Z52" s="393">
        <f t="shared" ca="1" si="30"/>
        <v>336.08867108604085</v>
      </c>
      <c r="AA52" s="393">
        <f t="shared" ca="1" si="30"/>
        <v>353.76218121950745</v>
      </c>
      <c r="AB52" s="393">
        <f t="shared" ca="1" si="30"/>
        <v>379.42757010545461</v>
      </c>
      <c r="AC52" s="393">
        <f t="shared" ca="1" si="30"/>
        <v>405.20237222632193</v>
      </c>
    </row>
    <row r="53" spans="1:30">
      <c r="A53" s="339"/>
      <c r="B53" s="339"/>
      <c r="C53" s="345"/>
      <c r="D53" s="34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393"/>
      <c r="Z53" s="393"/>
      <c r="AA53" s="393"/>
      <c r="AB53" s="393"/>
      <c r="AC53" s="393"/>
    </row>
    <row r="54" spans="1:30">
      <c r="A54" s="339" t="s">
        <v>555</v>
      </c>
      <c r="B54" s="395">
        <f>'FGD Input'!D38</f>
        <v>0.111</v>
      </c>
      <c r="C54" s="345"/>
      <c r="D54" s="34"/>
      <c r="E54" s="393"/>
      <c r="F54" s="393">
        <f t="shared" ref="F54:AC54" ca="1" si="31">AVERAGE(E52:F52)*$B$54*(F22-E22)/365</f>
        <v>0.20267484952557849</v>
      </c>
      <c r="G54" s="393">
        <f t="shared" ca="1" si="31"/>
        <v>0.25137346860999699</v>
      </c>
      <c r="H54" s="393">
        <f t="shared" ca="1" si="31"/>
        <v>0.31034008138721048</v>
      </c>
      <c r="I54" s="393">
        <f t="shared" ca="1" si="31"/>
        <v>0.37975046536854584</v>
      </c>
      <c r="J54" s="393">
        <f t="shared" ca="1" si="31"/>
        <v>0.41401437069464292</v>
      </c>
      <c r="K54" s="393">
        <f t="shared" ca="1" si="31"/>
        <v>0.54649648390994254</v>
      </c>
      <c r="L54" s="393">
        <f t="shared" ca="1" si="31"/>
        <v>0.65304828636619527</v>
      </c>
      <c r="M54" s="393">
        <f t="shared" ca="1" si="31"/>
        <v>0.83049177502298277</v>
      </c>
      <c r="N54" s="393">
        <f t="shared" ca="1" si="31"/>
        <v>0.98110569567106065</v>
      </c>
      <c r="O54" s="393">
        <f t="shared" ca="1" si="31"/>
        <v>1.2293051398638077</v>
      </c>
      <c r="P54" s="393">
        <f t="shared" ca="1" si="31"/>
        <v>1.4298881641912671</v>
      </c>
      <c r="Q54" s="393">
        <f t="shared" ca="1" si="31"/>
        <v>1.5512217475864034</v>
      </c>
      <c r="R54" s="393">
        <f t="shared" ca="1" si="31"/>
        <v>1.7854382599572658</v>
      </c>
      <c r="S54" s="393">
        <f t="shared" ca="1" si="31"/>
        <v>1.9202352583937794</v>
      </c>
      <c r="T54" s="393">
        <f t="shared" ca="1" si="31"/>
        <v>2.1936988222133116</v>
      </c>
      <c r="U54" s="393">
        <f t="shared" ca="1" si="31"/>
        <v>2.3886062646476729</v>
      </c>
      <c r="V54" s="393">
        <f t="shared" ca="1" si="31"/>
        <v>2.2980488443964964</v>
      </c>
      <c r="W54" s="393">
        <f t="shared" ca="1" si="31"/>
        <v>2.6745025004987846</v>
      </c>
      <c r="X54" s="393">
        <f t="shared" ca="1" si="31"/>
        <v>2.7028957897935357</v>
      </c>
      <c r="Y54" s="393">
        <f t="shared" ca="1" si="31"/>
        <v>2.9312254089698553</v>
      </c>
      <c r="Z54" s="393">
        <f t="shared" ca="1" si="31"/>
        <v>2.9896316083051286</v>
      </c>
      <c r="AA54" s="393">
        <f t="shared" ca="1" si="31"/>
        <v>3.2517490175114956</v>
      </c>
      <c r="AB54" s="393">
        <f t="shared" ca="1" si="31"/>
        <v>3.4560355264509512</v>
      </c>
      <c r="AC54" s="393">
        <f t="shared" ca="1" si="31"/>
        <v>3.5792023396778303</v>
      </c>
    </row>
    <row r="55" spans="1:30" ht="13.5" thickBot="1">
      <c r="A55" s="396"/>
      <c r="B55" s="396"/>
      <c r="C55" s="397"/>
      <c r="D55" s="89"/>
      <c r="E55" s="398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</row>
    <row r="56" spans="1:30" ht="13.5" thickTop="1">
      <c r="A56" s="339"/>
      <c r="B56" s="339"/>
      <c r="C56" s="345"/>
      <c r="D56" s="346"/>
      <c r="E56" s="351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</row>
    <row r="57" spans="1:30">
      <c r="A57" s="339" t="s">
        <v>651</v>
      </c>
      <c r="B57" s="339"/>
      <c r="C57" s="345"/>
      <c r="D57" s="452">
        <f ca="1">SUM(E57:AC57)</f>
        <v>41.75</v>
      </c>
      <c r="E57" s="351">
        <f ca="1">IF(AND(E51&gt;'FGD Input'!$I$35,D51&lt;'FGD Input'!$I$35),('FGD Input'!$I$35-'FGD Phasing'!D51),IF(E51&lt;'FGD Input'!$I$35,(E48+E45),0))</f>
        <v>5.9445262880363154</v>
      </c>
      <c r="F57" s="351">
        <f ca="1">IF(AND(F51&gt;'FGD Input'!$I$35,E51&lt;'FGD Input'!$I$35),('FGD Input'!$I$35-'FGD Phasing'!E51),IF(F51&lt;'FGD Input'!$I$35,(F48+F45),0))</f>
        <v>2.4432771879177109</v>
      </c>
      <c r="G57" s="351">
        <f ca="1">IF(AND(G51&gt;'FGD Input'!$I$35,F51&lt;'FGD Input'!$I$35),('FGD Input'!$I$35-'FGD Phasing'!F51),IF(G51&lt;'FGD Input'!$I$35,(G48+G45),0))</f>
        <v>1.5930248884620966</v>
      </c>
      <c r="H57" s="351">
        <f ca="1">IF(AND(H51&gt;'FGD Input'!$I$35,G51&lt;'FGD Input'!$I$35),('FGD Input'!$I$35-'FGD Phasing'!G51),IF(H51&lt;'FGD Input'!$I$35,(H48+H45),0))</f>
        <v>1.9843143466946032</v>
      </c>
      <c r="I57" s="351">
        <f ca="1">IF(AND(I51&gt;'FGD Input'!$I$35,H51&lt;'FGD Input'!$I$35),('FGD Input'!$I$35-'FGD Phasing'!H51),IF(I51&lt;'FGD Input'!$I$35,(I48+I45),0))</f>
        <v>2.9241018410778277</v>
      </c>
      <c r="J57" s="351">
        <f ca="1">IF(AND(J51&gt;'FGD Input'!$I$35,I51&lt;'FGD Input'!$I$35),('FGD Input'!$I$35-'FGD Phasing'!I51),IF(J51&lt;'FGD Input'!$I$35,(J48+J45),0))</f>
        <v>2.6357634274857578</v>
      </c>
      <c r="K57" s="351">
        <f ca="1">IF(AND(K51&gt;'FGD Input'!$I$35,J51&lt;'FGD Input'!$I$35),('FGD Input'!$I$35-'FGD Phasing'!J51),IF(K51&lt;'FGD Input'!$I$35,(K48+K45),0))</f>
        <v>3.595962269292083</v>
      </c>
      <c r="L57" s="351">
        <f ca="1">IF(AND(L51&gt;'FGD Input'!$I$35,K51&lt;'FGD Input'!$I$35),('FGD Input'!$I$35-'FGD Phasing'!K51),IF(L51&lt;'FGD Input'!$I$35,(L48+L45),0))</f>
        <v>5.4783046519493492</v>
      </c>
      <c r="M57" s="351">
        <f ca="1">IF(AND(M51&gt;'FGD Input'!$I$35,L51&lt;'FGD Input'!$I$35),('FGD Input'!$I$35-'FGD Phasing'!L51),IF(M51&lt;'FGD Input'!$I$35,(M48+M45),0))</f>
        <v>5.5304045493045626</v>
      </c>
      <c r="N57" s="351">
        <f ca="1">IF(AND(N51&gt;'FGD Input'!$I$35,M51&lt;'FGD Input'!$I$35),('FGD Input'!$I$35-'FGD Phasing'!M51),IF(N51&lt;'FGD Input'!$I$35,(N48+N45),0))</f>
        <v>7.4330492917390041</v>
      </c>
      <c r="O57" s="351">
        <f ca="1">IF(AND(O51&gt;'FGD Input'!$I$35,N51&lt;'FGD Input'!$I$35),('FGD Input'!$I$35-'FGD Phasing'!N51),IF(O51&lt;'FGD Input'!$I$35,(O48+O45),0))</f>
        <v>2.1872712580406883</v>
      </c>
      <c r="P57" s="351">
        <f ca="1">IF(AND(P51&gt;'FGD Input'!$I$35,O51&lt;'FGD Input'!$I$35),('FGD Input'!$I$35-'FGD Phasing'!O51),IF(P51&lt;'FGD Input'!$I$35,(P48+P45),0))</f>
        <v>0</v>
      </c>
      <c r="Q57" s="351">
        <f ca="1">IF(AND(Q51&gt;'FGD Input'!$I$35,P51&lt;'FGD Input'!$I$35),('FGD Input'!$I$35-'FGD Phasing'!P51),IF(Q51&lt;'FGD Input'!$I$35,(Q48+Q45),0))</f>
        <v>0</v>
      </c>
      <c r="R57" s="351">
        <f ca="1">IF(AND(R51&gt;'FGD Input'!$I$35,Q51&lt;'FGD Input'!$I$35),('FGD Input'!$I$35-'FGD Phasing'!Q51),IF(R51&lt;'FGD Input'!$I$35,(R48+R45),0))</f>
        <v>0</v>
      </c>
      <c r="S57" s="351">
        <f ca="1">IF(AND(S51&gt;'FGD Input'!$I$35,R51&lt;'FGD Input'!$I$35),('FGD Input'!$I$35-'FGD Phasing'!R51),IF(S51&lt;'FGD Input'!$I$35,(S48+S45),0))</f>
        <v>0</v>
      </c>
      <c r="T57" s="351">
        <f ca="1">IF(AND(T51&gt;'FGD Input'!$I$35,S51&lt;'FGD Input'!$I$35),('FGD Input'!$I$35-'FGD Phasing'!S51),IF(T51&lt;'FGD Input'!$I$35,(T48+T45),0))</f>
        <v>0</v>
      </c>
      <c r="U57" s="351">
        <f ca="1">IF(AND(U51&gt;'FGD Input'!$I$35,T51&lt;'FGD Input'!$I$35),('FGD Input'!$I$35-'FGD Phasing'!T51),IF(U51&lt;'FGD Input'!$I$35,(U48+U45),0))</f>
        <v>0</v>
      </c>
      <c r="V57" s="351">
        <f ca="1">IF(AND(V51&gt;'FGD Input'!$I$35,U51&lt;'FGD Input'!$I$35),('FGD Input'!$I$35-'FGD Phasing'!U51),IF(V51&lt;'FGD Input'!$I$35,(V48+V45),0))</f>
        <v>0</v>
      </c>
      <c r="W57" s="351">
        <f ca="1">IF(AND(W51&gt;'FGD Input'!$I$35,V51&lt;'FGD Input'!$I$35),('FGD Input'!$I$35-'FGD Phasing'!V51),IF(W51&lt;'FGD Input'!$I$35,(W48+W45),0))</f>
        <v>0</v>
      </c>
      <c r="X57" s="351">
        <f ca="1">IF(AND(X51&gt;'FGD Input'!$I$35,W51&lt;'FGD Input'!$I$35),('FGD Input'!$I$35-'FGD Phasing'!W51),IF(X51&lt;'FGD Input'!$I$35,(X48+X45),0))</f>
        <v>0</v>
      </c>
      <c r="Y57" s="351">
        <f ca="1">IF(AND(Y51&gt;'FGD Input'!$I$35,X51&lt;'FGD Input'!$I$35),('FGD Input'!$I$35-'FGD Phasing'!X51),IF(Y51&lt;'FGD Input'!$I$35,(Y48+Y45),0))</f>
        <v>0</v>
      </c>
      <c r="Z57" s="351">
        <f ca="1">IF(AND(Z51&gt;'FGD Input'!$I$35,Y51&lt;'FGD Input'!$I$35),('FGD Input'!$I$35-'FGD Phasing'!Y51),IF(Z51&lt;'FGD Input'!$I$35,(Z48+Z45),0))</f>
        <v>0</v>
      </c>
      <c r="AA57" s="351">
        <f ca="1">IF(AND(AA51&gt;'FGD Input'!$I$35,Z51&lt;'FGD Input'!$I$35),('FGD Input'!$I$35-'FGD Phasing'!Z51),IF(AA51&lt;'FGD Input'!$I$35,(AA48+AA45),0))</f>
        <v>0</v>
      </c>
      <c r="AB57" s="351">
        <f ca="1">IF(AND(AB51&gt;'FGD Input'!$I$35,AA51&lt;'FGD Input'!$I$35),('FGD Input'!$I$35-'FGD Phasing'!AA51),IF(AB51&lt;'FGD Input'!$I$35,(AB48+AB45),0))</f>
        <v>0</v>
      </c>
      <c r="AC57" s="351">
        <f ca="1">IF(AND(AC51&gt;'FGD Input'!$I$35,AB51&lt;'FGD Input'!$I$35),('FGD Input'!$I$35-'FGD Phasing'!AB51),IF(AC51&lt;'FGD Input'!$I$35,(AC48+AC45),0))</f>
        <v>0</v>
      </c>
    </row>
    <row r="58" spans="1:30">
      <c r="A58" s="339" t="s">
        <v>650</v>
      </c>
      <c r="B58" s="339"/>
      <c r="C58" s="345"/>
      <c r="D58" s="392">
        <v>0</v>
      </c>
      <c r="E58" s="351">
        <f ca="1">E57+D58</f>
        <v>5.9445262880363154</v>
      </c>
      <c r="F58" s="351">
        <f t="shared" ref="F58:AC58" ca="1" si="32">F57+E58</f>
        <v>8.3878034759540263</v>
      </c>
      <c r="G58" s="351">
        <f t="shared" ca="1" si="32"/>
        <v>9.9808283644161229</v>
      </c>
      <c r="H58" s="351">
        <f t="shared" ca="1" si="32"/>
        <v>11.965142711110726</v>
      </c>
      <c r="I58" s="351">
        <f t="shared" ca="1" si="32"/>
        <v>14.889244552188554</v>
      </c>
      <c r="J58" s="351">
        <f t="shared" ca="1" si="32"/>
        <v>17.525007979674314</v>
      </c>
      <c r="K58" s="351">
        <f t="shared" ca="1" si="32"/>
        <v>21.120970248966398</v>
      </c>
      <c r="L58" s="351">
        <f t="shared" ca="1" si="32"/>
        <v>26.599274900915745</v>
      </c>
      <c r="M58" s="351">
        <f t="shared" ca="1" si="32"/>
        <v>32.129679450220308</v>
      </c>
      <c r="N58" s="351">
        <f t="shared" ca="1" si="32"/>
        <v>39.562728741959312</v>
      </c>
      <c r="O58" s="351">
        <f t="shared" ca="1" si="32"/>
        <v>41.75</v>
      </c>
      <c r="P58" s="351">
        <f t="shared" ca="1" si="32"/>
        <v>41.75</v>
      </c>
      <c r="Q58" s="351">
        <f t="shared" ca="1" si="32"/>
        <v>41.75</v>
      </c>
      <c r="R58" s="351">
        <f t="shared" ca="1" si="32"/>
        <v>41.75</v>
      </c>
      <c r="S58" s="351">
        <f t="shared" ca="1" si="32"/>
        <v>41.75</v>
      </c>
      <c r="T58" s="351">
        <f t="shared" ca="1" si="32"/>
        <v>41.75</v>
      </c>
      <c r="U58" s="351">
        <f t="shared" ca="1" si="32"/>
        <v>41.75</v>
      </c>
      <c r="V58" s="351">
        <f t="shared" ca="1" si="32"/>
        <v>41.75</v>
      </c>
      <c r="W58" s="351">
        <f t="shared" ca="1" si="32"/>
        <v>41.75</v>
      </c>
      <c r="X58" s="351">
        <f t="shared" ca="1" si="32"/>
        <v>41.75</v>
      </c>
      <c r="Y58" s="351">
        <f t="shared" ca="1" si="32"/>
        <v>41.75</v>
      </c>
      <c r="Z58" s="351">
        <f t="shared" ca="1" si="32"/>
        <v>41.75</v>
      </c>
      <c r="AA58" s="351">
        <f t="shared" ca="1" si="32"/>
        <v>41.75</v>
      </c>
      <c r="AB58" s="351">
        <f t="shared" ca="1" si="32"/>
        <v>41.75</v>
      </c>
      <c r="AC58" s="351">
        <f t="shared" ca="1" si="32"/>
        <v>41.75</v>
      </c>
    </row>
    <row r="59" spans="1:30" ht="13.5" thickBot="1">
      <c r="A59" s="396" t="s">
        <v>649</v>
      </c>
      <c r="B59" s="396"/>
      <c r="C59" s="397"/>
      <c r="D59" s="89"/>
      <c r="E59" s="398"/>
      <c r="F59" s="451">
        <f ca="1">AVERAGE(E58:F58)*$B$54*(F5-E5)/365</f>
        <v>6.7558283175192829E-2</v>
      </c>
      <c r="G59" s="451">
        <f t="shared" ref="G59:AC59" ca="1" si="33">AVERAGE(F58:G58)*$B$54*(G5-F5)/365</f>
        <v>8.3791156203332315E-2</v>
      </c>
      <c r="H59" s="451">
        <f t="shared" ca="1" si="33"/>
        <v>0.10344669379573683</v>
      </c>
      <c r="I59" s="451">
        <f t="shared" ca="1" si="33"/>
        <v>0.12658348845618195</v>
      </c>
      <c r="J59" s="451">
        <f t="shared" ca="1" si="33"/>
        <v>0.13800479023154769</v>
      </c>
      <c r="K59" s="451">
        <f t="shared" ca="1" si="33"/>
        <v>0.18216549463664752</v>
      </c>
      <c r="L59" s="451">
        <f t="shared" ca="1" si="33"/>
        <v>0.21768276212206511</v>
      </c>
      <c r="M59" s="451">
        <f t="shared" ca="1" si="33"/>
        <v>0.27683059167432766</v>
      </c>
      <c r="N59" s="451">
        <f t="shared" ca="1" si="33"/>
        <v>0.32703523189035361</v>
      </c>
      <c r="O59" s="451">
        <f t="shared" ca="1" si="33"/>
        <v>0.38328369808367396</v>
      </c>
      <c r="P59" s="451">
        <f t="shared" ca="1" si="33"/>
        <v>0.39359383561643829</v>
      </c>
      <c r="Q59" s="451">
        <f t="shared" ca="1" si="33"/>
        <v>0.38089726027397264</v>
      </c>
      <c r="R59" s="451">
        <f t="shared" ca="1" si="33"/>
        <v>0.39359383561643829</v>
      </c>
      <c r="S59" s="451">
        <f t="shared" ca="1" si="33"/>
        <v>0.38089726027397264</v>
      </c>
      <c r="T59" s="451">
        <f t="shared" ca="1" si="33"/>
        <v>0.39359383561643829</v>
      </c>
      <c r="U59" s="451">
        <f t="shared" ca="1" si="33"/>
        <v>0.39359383561643829</v>
      </c>
      <c r="V59" s="451">
        <f t="shared" ca="1" si="33"/>
        <v>0.35550410958904105</v>
      </c>
      <c r="W59" s="451">
        <f t="shared" ca="1" si="33"/>
        <v>0.39359383561643829</v>
      </c>
      <c r="X59" s="451">
        <f t="shared" ca="1" si="33"/>
        <v>0.38089726027397264</v>
      </c>
      <c r="Y59" s="451">
        <f t="shared" ca="1" si="33"/>
        <v>0.39359383561643829</v>
      </c>
      <c r="Z59" s="451">
        <f t="shared" ca="1" si="33"/>
        <v>0.38089726027397264</v>
      </c>
      <c r="AA59" s="451">
        <f t="shared" ca="1" si="33"/>
        <v>0.39359383561643829</v>
      </c>
      <c r="AB59" s="451">
        <f t="shared" ca="1" si="33"/>
        <v>0.39359383561643829</v>
      </c>
      <c r="AC59" s="451">
        <f t="shared" ca="1" si="33"/>
        <v>0.38089726027397264</v>
      </c>
    </row>
    <row r="60" spans="1:30" ht="13.5" thickTop="1">
      <c r="A60" s="339"/>
      <c r="B60" s="339"/>
      <c r="C60" s="345"/>
      <c r="D60" s="346"/>
      <c r="E60" s="351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</row>
    <row r="61" spans="1:30">
      <c r="A61" s="339" t="s">
        <v>652</v>
      </c>
      <c r="B61" s="339"/>
      <c r="C61" s="345"/>
      <c r="D61" s="34"/>
      <c r="E61" s="455">
        <v>0</v>
      </c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39"/>
      <c r="AA61" s="339"/>
      <c r="AB61" s="339"/>
      <c r="AC61" s="339"/>
    </row>
    <row r="62" spans="1:30">
      <c r="A62" s="339" t="s">
        <v>342</v>
      </c>
      <c r="B62" s="339"/>
      <c r="C62" s="345"/>
      <c r="D62" s="458"/>
      <c r="E62" s="351">
        <f>E61*75%</f>
        <v>0</v>
      </c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39"/>
    </row>
    <row r="63" spans="1:30">
      <c r="A63" s="339" t="s">
        <v>158</v>
      </c>
      <c r="B63" s="339"/>
      <c r="C63" s="345"/>
      <c r="D63" s="34"/>
      <c r="E63" s="351">
        <f>E61-E62</f>
        <v>0</v>
      </c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  <c r="AA63" s="339"/>
      <c r="AB63" s="339"/>
      <c r="AC63" s="339"/>
    </row>
    <row r="64" spans="1:30">
      <c r="A64" s="339"/>
      <c r="B64" s="339"/>
      <c r="C64" s="345"/>
      <c r="D64" s="34"/>
      <c r="E64" s="351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  <c r="AA64" s="339"/>
      <c r="AB64" s="339"/>
      <c r="AC64" s="339"/>
      <c r="AD64" s="475"/>
    </row>
    <row r="65" spans="1:29">
      <c r="A65" s="339" t="s">
        <v>653</v>
      </c>
      <c r="B65" s="339"/>
      <c r="C65" s="345"/>
      <c r="D65" s="34"/>
      <c r="E65" s="351">
        <f ca="1">IF(AND(D52&lt;$E$62,E52&gt;$E$62),($E$62-D52),IF(E52&lt;$E$62,(E49+E46),0))</f>
        <v>0</v>
      </c>
      <c r="F65" s="351">
        <f t="shared" ref="F65:AC65" ca="1" si="34">IF(AND(E52&lt;$E$62,F52&gt;$E$62),($E$62-E52),IF(F52&lt;$E$62,(F49+F46),0))</f>
        <v>0</v>
      </c>
      <c r="G65" s="351">
        <f t="shared" ca="1" si="34"/>
        <v>0</v>
      </c>
      <c r="H65" s="351">
        <f t="shared" ca="1" si="34"/>
        <v>0</v>
      </c>
      <c r="I65" s="351">
        <f t="shared" ca="1" si="34"/>
        <v>0</v>
      </c>
      <c r="J65" s="351">
        <f t="shared" ca="1" si="34"/>
        <v>0</v>
      </c>
      <c r="K65" s="351">
        <f t="shared" ca="1" si="34"/>
        <v>0</v>
      </c>
      <c r="L65" s="351">
        <f t="shared" ca="1" si="34"/>
        <v>0</v>
      </c>
      <c r="M65" s="351">
        <f t="shared" ca="1" si="34"/>
        <v>0</v>
      </c>
      <c r="N65" s="351">
        <f t="shared" ca="1" si="34"/>
        <v>0</v>
      </c>
      <c r="O65" s="351">
        <f t="shared" ca="1" si="34"/>
        <v>0</v>
      </c>
      <c r="P65" s="351">
        <f t="shared" ca="1" si="34"/>
        <v>0</v>
      </c>
      <c r="Q65" s="351">
        <f t="shared" ca="1" si="34"/>
        <v>0</v>
      </c>
      <c r="R65" s="351">
        <f t="shared" ca="1" si="34"/>
        <v>0</v>
      </c>
      <c r="S65" s="351">
        <f t="shared" ca="1" si="34"/>
        <v>0</v>
      </c>
      <c r="T65" s="351">
        <f t="shared" ca="1" si="34"/>
        <v>0</v>
      </c>
      <c r="U65" s="351">
        <f t="shared" ca="1" si="34"/>
        <v>0</v>
      </c>
      <c r="V65" s="351">
        <f t="shared" ca="1" si="34"/>
        <v>0</v>
      </c>
      <c r="W65" s="351">
        <f t="shared" ca="1" si="34"/>
        <v>0</v>
      </c>
      <c r="X65" s="351">
        <f t="shared" ca="1" si="34"/>
        <v>0</v>
      </c>
      <c r="Y65" s="351">
        <f t="shared" ca="1" si="34"/>
        <v>0</v>
      </c>
      <c r="Z65" s="351">
        <f t="shared" ca="1" si="34"/>
        <v>0</v>
      </c>
      <c r="AA65" s="351">
        <f t="shared" ca="1" si="34"/>
        <v>0</v>
      </c>
      <c r="AB65" s="351">
        <f t="shared" ca="1" si="34"/>
        <v>0</v>
      </c>
      <c r="AC65" s="351">
        <f t="shared" ca="1" si="34"/>
        <v>0</v>
      </c>
    </row>
    <row r="66" spans="1:29">
      <c r="A66" s="339"/>
      <c r="B66" s="339"/>
      <c r="C66" s="345"/>
      <c r="D66" s="34"/>
      <c r="E66" s="351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  <c r="AA66" s="339"/>
      <c r="AB66" s="339"/>
      <c r="AC66" s="339"/>
    </row>
    <row r="67" spans="1:29" ht="13.5" thickBot="1">
      <c r="A67" s="396" t="s">
        <v>654</v>
      </c>
      <c r="B67" s="396"/>
      <c r="C67" s="397"/>
      <c r="D67" s="89"/>
      <c r="E67" s="456">
        <f ca="1">IF(AND(D51&lt;$E$63,E51&gt;$E$63),($E$63-D51),IF(E51&lt;$E$63,(E48+E45),0))</f>
        <v>0</v>
      </c>
      <c r="F67" s="456">
        <f t="shared" ref="F67:AC67" ca="1" si="35">IF(AND(E51&lt;$E$63,F51&gt;$E$63),($E$63-E51),IF(F51&lt;$E$63,(F48+F45),0))</f>
        <v>0</v>
      </c>
      <c r="G67" s="456">
        <f t="shared" ca="1" si="35"/>
        <v>0</v>
      </c>
      <c r="H67" s="456">
        <f t="shared" ca="1" si="35"/>
        <v>0</v>
      </c>
      <c r="I67" s="456">
        <f t="shared" ca="1" si="35"/>
        <v>0</v>
      </c>
      <c r="J67" s="456">
        <f t="shared" ca="1" si="35"/>
        <v>0</v>
      </c>
      <c r="K67" s="456">
        <f t="shared" ca="1" si="35"/>
        <v>0</v>
      </c>
      <c r="L67" s="456">
        <f t="shared" ca="1" si="35"/>
        <v>0</v>
      </c>
      <c r="M67" s="451">
        <f t="shared" ca="1" si="35"/>
        <v>0</v>
      </c>
      <c r="N67" s="451">
        <f t="shared" ca="1" si="35"/>
        <v>0</v>
      </c>
      <c r="O67" s="451">
        <f t="shared" ca="1" si="35"/>
        <v>0</v>
      </c>
      <c r="P67" s="451">
        <f t="shared" ca="1" si="35"/>
        <v>0</v>
      </c>
      <c r="Q67" s="451">
        <f t="shared" ca="1" si="35"/>
        <v>0</v>
      </c>
      <c r="R67" s="451">
        <f t="shared" ca="1" si="35"/>
        <v>0</v>
      </c>
      <c r="S67" s="451">
        <f t="shared" ca="1" si="35"/>
        <v>0</v>
      </c>
      <c r="T67" s="451">
        <f t="shared" ca="1" si="35"/>
        <v>0</v>
      </c>
      <c r="U67" s="451">
        <f t="shared" ca="1" si="35"/>
        <v>0</v>
      </c>
      <c r="V67" s="451">
        <f t="shared" ca="1" si="35"/>
        <v>0</v>
      </c>
      <c r="W67" s="451">
        <f t="shared" ca="1" si="35"/>
        <v>0</v>
      </c>
      <c r="X67" s="451">
        <f t="shared" ca="1" si="35"/>
        <v>0</v>
      </c>
      <c r="Y67" s="451">
        <f t="shared" ca="1" si="35"/>
        <v>0</v>
      </c>
      <c r="Z67" s="451">
        <f t="shared" ca="1" si="35"/>
        <v>0</v>
      </c>
      <c r="AA67" s="451">
        <f t="shared" ca="1" si="35"/>
        <v>0</v>
      </c>
      <c r="AB67" s="451">
        <f t="shared" ca="1" si="35"/>
        <v>0</v>
      </c>
      <c r="AC67" s="451">
        <f t="shared" ca="1" si="35"/>
        <v>0</v>
      </c>
    </row>
    <row r="68" spans="1:29" ht="13.5" thickTop="1">
      <c r="A68" s="339"/>
      <c r="B68" s="339"/>
      <c r="C68" s="345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351"/>
      <c r="AB68" s="351"/>
      <c r="AC68" s="351"/>
    </row>
    <row r="69" spans="1:29">
      <c r="A69" s="339" t="s">
        <v>655</v>
      </c>
      <c r="B69" s="339"/>
      <c r="C69" s="345"/>
      <c r="D69" s="34"/>
      <c r="E69" s="371">
        <f>'FGD Input'!I34</f>
        <v>167</v>
      </c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1"/>
      <c r="AA69" s="351"/>
      <c r="AB69" s="351"/>
      <c r="AC69" s="351"/>
    </row>
    <row r="70" spans="1:29">
      <c r="A70" s="339" t="s">
        <v>342</v>
      </c>
      <c r="B70" s="339"/>
      <c r="C70" s="345"/>
      <c r="D70" s="34"/>
      <c r="E70" s="371">
        <f>E69*75%</f>
        <v>125.25</v>
      </c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51"/>
      <c r="Z70" s="351"/>
      <c r="AA70" s="351"/>
      <c r="AB70" s="351"/>
      <c r="AC70" s="351"/>
    </row>
    <row r="71" spans="1:29">
      <c r="A71" s="339" t="s">
        <v>158</v>
      </c>
      <c r="B71" s="339"/>
      <c r="C71" s="345"/>
      <c r="D71" s="34"/>
      <c r="E71" s="371">
        <f>E69-E70</f>
        <v>41.75</v>
      </c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</row>
    <row r="72" spans="1:29">
      <c r="A72" s="339"/>
      <c r="B72" s="339"/>
      <c r="C72" s="345"/>
      <c r="D72" s="34"/>
      <c r="E72" s="351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  <c r="Z72" s="339"/>
      <c r="AA72" s="339"/>
      <c r="AB72" s="339"/>
      <c r="AC72" s="339"/>
    </row>
    <row r="73" spans="1:29">
      <c r="A73" s="339" t="s">
        <v>656</v>
      </c>
      <c r="B73" s="339"/>
      <c r="C73" s="345"/>
      <c r="D73" s="524">
        <f ca="1">SUM(E73:O73)</f>
        <v>41.75</v>
      </c>
      <c r="E73" s="495">
        <f ca="1">E57-E67</f>
        <v>5.9445262880363154</v>
      </c>
      <c r="F73" s="495">
        <f t="shared" ref="F73:AC73" ca="1" si="36">F57-F67</f>
        <v>2.4432771879177109</v>
      </c>
      <c r="G73" s="495">
        <f t="shared" ca="1" si="36"/>
        <v>1.5930248884620966</v>
      </c>
      <c r="H73" s="495">
        <f t="shared" ca="1" si="36"/>
        <v>1.9843143466946032</v>
      </c>
      <c r="I73" s="495">
        <f t="shared" ca="1" si="36"/>
        <v>2.9241018410778277</v>
      </c>
      <c r="J73" s="495">
        <f t="shared" ca="1" si="36"/>
        <v>2.6357634274857578</v>
      </c>
      <c r="K73" s="495">
        <f t="shared" ca="1" si="36"/>
        <v>3.595962269292083</v>
      </c>
      <c r="L73" s="495">
        <f t="shared" ca="1" si="36"/>
        <v>5.4783046519493492</v>
      </c>
      <c r="M73" s="495">
        <f t="shared" ca="1" si="36"/>
        <v>5.5304045493045626</v>
      </c>
      <c r="N73" s="495">
        <f t="shared" ca="1" si="36"/>
        <v>7.4330492917390041</v>
      </c>
      <c r="O73" s="495">
        <f t="shared" ca="1" si="36"/>
        <v>2.1872712580406883</v>
      </c>
      <c r="P73" s="351">
        <f t="shared" ca="1" si="36"/>
        <v>0</v>
      </c>
      <c r="Q73" s="351">
        <f t="shared" ca="1" si="36"/>
        <v>0</v>
      </c>
      <c r="R73" s="351">
        <f t="shared" ca="1" si="36"/>
        <v>0</v>
      </c>
      <c r="S73" s="351">
        <f t="shared" ca="1" si="36"/>
        <v>0</v>
      </c>
      <c r="T73" s="351">
        <f t="shared" ca="1" si="36"/>
        <v>0</v>
      </c>
      <c r="U73" s="351">
        <f t="shared" ca="1" si="36"/>
        <v>0</v>
      </c>
      <c r="V73" s="351">
        <f t="shared" ca="1" si="36"/>
        <v>0</v>
      </c>
      <c r="W73" s="351">
        <f t="shared" ca="1" si="36"/>
        <v>0</v>
      </c>
      <c r="X73" s="351">
        <f t="shared" ca="1" si="36"/>
        <v>0</v>
      </c>
      <c r="Y73" s="351">
        <f t="shared" ca="1" si="36"/>
        <v>0</v>
      </c>
      <c r="Z73" s="351">
        <f t="shared" ca="1" si="36"/>
        <v>0</v>
      </c>
      <c r="AA73" s="351">
        <f t="shared" ca="1" si="36"/>
        <v>0</v>
      </c>
      <c r="AB73" s="351">
        <f t="shared" ca="1" si="36"/>
        <v>0</v>
      </c>
      <c r="AC73" s="351">
        <f t="shared" ca="1" si="36"/>
        <v>0</v>
      </c>
    </row>
    <row r="74" spans="1:29">
      <c r="A74" s="339"/>
      <c r="B74" s="339"/>
      <c r="C74" s="345"/>
      <c r="D74" s="34"/>
      <c r="E74" s="495"/>
      <c r="F74" s="496"/>
      <c r="G74" s="496"/>
      <c r="H74" s="496"/>
      <c r="I74" s="496"/>
      <c r="J74" s="496"/>
      <c r="K74" s="496"/>
      <c r="L74" s="496"/>
      <c r="M74" s="496"/>
      <c r="N74" s="496"/>
      <c r="O74" s="496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</row>
    <row r="75" spans="1:29">
      <c r="A75" s="339" t="s">
        <v>657</v>
      </c>
      <c r="B75" s="339"/>
      <c r="C75" s="345"/>
      <c r="D75" s="458">
        <f>E70+E62</f>
        <v>125.25</v>
      </c>
      <c r="E75" s="495">
        <f ca="1">IF(AND(E52&gt;$D$75,D52&lt;$D$75),($D$75-'FGD Phasing'!D52),IF(E52&lt;$D$75,(E49+E46),0))-E65</f>
        <v>17.833578864108947</v>
      </c>
      <c r="F75" s="495">
        <f ca="1">IF(AND(F52&gt;$D$75,E52&lt;$D$75),($D$75-'FGD Phasing'!E52),IF(F52&lt;$D$75,(F49+F46),0))-F65</f>
        <v>7.3298315637531326</v>
      </c>
      <c r="G75" s="495">
        <f ca="1">IF(AND(G52&gt;$D$75,F52&lt;$D$75),($D$75-'FGD Phasing'!F52),IF(G52&lt;$D$75,(G49+G46),0))-G65</f>
        <v>4.7790746653862897</v>
      </c>
      <c r="H75" s="495">
        <f ca="1">IF(AND(H52&gt;$D$75,G52&lt;$D$75),($D$75-'FGD Phasing'!G52),IF(H52&lt;$D$75,(H49+H46),0))-H65</f>
        <v>5.9529430400838095</v>
      </c>
      <c r="I75" s="495">
        <f ca="1">IF(AND(I52&gt;$D$75,H52&lt;$D$75),($D$75-'FGD Phasing'!H52),IF(I52&lt;$D$75,(I49+I46),0))-I65</f>
        <v>8.7723055232334826</v>
      </c>
      <c r="J75" s="495">
        <f ca="1">IF(AND(J52&gt;$D$75,I52&lt;$D$75),($D$75-'FGD Phasing'!I52),IF(J52&lt;$D$75,(J49+J46),0))-J65</f>
        <v>7.9072902824572733</v>
      </c>
      <c r="K75" s="495">
        <f ca="1">IF(AND(K52&gt;$D$75,J52&lt;$D$75),($D$75-'FGD Phasing'!J52),IF(K52&lt;$D$75,(K49+K46),0))-K65</f>
        <v>10.787886807876248</v>
      </c>
      <c r="L75" s="495">
        <f ca="1">IF(AND(L52&gt;$D$75,K52&lt;$D$75),($D$75-'FGD Phasing'!K52),IF(L52&lt;$D$75,(L49+L46),0))-L65</f>
        <v>16.434913955848046</v>
      </c>
      <c r="M75" s="495">
        <f ca="1">IF(AND(M52&gt;$D$75,L52&lt;$D$75),($D$75-'FGD Phasing'!L52),IF(M52&lt;$D$75,(M49+M46),0))-M65</f>
        <v>16.591213647913687</v>
      </c>
      <c r="N75" s="495">
        <f ca="1">IF(AND(N52&gt;$D$75,M52&lt;$D$75),($D$75-'FGD Phasing'!M52),IF(N52&lt;$D$75,(N49+N46),0))-N65</f>
        <v>22.299147875217013</v>
      </c>
      <c r="O75" s="495">
        <f ca="1">IF(AND(O52&gt;$D$75,N52&lt;$D$75),($D$75-'FGD Phasing'!N52),IF(O52&lt;$D$75,(O49+O46),0))-O65</f>
        <v>6.5618137741220721</v>
      </c>
      <c r="P75" s="351">
        <f ca="1">IF(AND(P52&gt;$D$75,O52&lt;$D$75),($D$75-'FGD Phasing'!O52),IF(P52&lt;$D$75,(P49+P46),0))-P65</f>
        <v>0</v>
      </c>
      <c r="Q75" s="351">
        <f ca="1">IF(AND(Q52&gt;$D$75,P52&lt;$D$75),($D$75-'FGD Phasing'!P52),IF(Q52&lt;$D$75,(Q49+Q46),0))-Q65</f>
        <v>0</v>
      </c>
      <c r="R75" s="351">
        <f ca="1">IF(AND(R52&gt;$D$75,Q52&lt;$D$75),($D$75-'FGD Phasing'!Q52),IF(R52&lt;$D$75,(R49+R46),0))-R65</f>
        <v>0</v>
      </c>
      <c r="S75" s="351">
        <f ca="1">IF(AND(S52&gt;$D$75,R52&lt;$D$75),($D$75-'FGD Phasing'!R52),IF(S52&lt;$D$75,(S49+S46),0))-S65</f>
        <v>0</v>
      </c>
      <c r="T75" s="351">
        <f ca="1">IF(AND(T52&gt;$D$75,S52&lt;$D$75),($D$75-'FGD Phasing'!S52),IF(T52&lt;$D$75,(T49+T46),0))-T65</f>
        <v>0</v>
      </c>
      <c r="U75" s="351">
        <f ca="1">IF(AND(U52&gt;$D$75,T52&lt;$D$75),($D$75-'FGD Phasing'!T52),IF(U52&lt;$D$75,(U49+U46),0))-U65</f>
        <v>0</v>
      </c>
      <c r="V75" s="351">
        <f ca="1">IF(AND(V52&gt;$D$75,U52&lt;$D$75),($D$75-'FGD Phasing'!U52),IF(V52&lt;$D$75,(V49+V46),0))-V65</f>
        <v>0</v>
      </c>
      <c r="W75" s="351">
        <f ca="1">IF(AND(W52&gt;$D$75,V52&lt;$D$75),($D$75-'FGD Phasing'!V52),IF(W52&lt;$D$75,(W49+W46),0))-W65</f>
        <v>0</v>
      </c>
      <c r="X75" s="351">
        <f ca="1">IF(AND(X52&gt;$D$75,W52&lt;$D$75),($D$75-'FGD Phasing'!W52),IF(X52&lt;$D$75,(X49+X46),0))-X65</f>
        <v>0</v>
      </c>
      <c r="Y75" s="351">
        <f ca="1">IF(AND(Y52&gt;$D$75,X52&lt;$D$75),($D$75-'FGD Phasing'!X52),IF(Y52&lt;$D$75,(Y49+Y46),0))-Y65</f>
        <v>0</v>
      </c>
      <c r="Z75" s="351">
        <f ca="1">IF(AND(Z52&gt;$D$75,Y52&lt;$D$75),($D$75-'FGD Phasing'!Y52),IF(Z52&lt;$D$75,(Z49+Z46),0))-Z65</f>
        <v>0</v>
      </c>
      <c r="AA75" s="351">
        <f ca="1">IF(AND(AA52&gt;$D$75,Z52&lt;$D$75),($D$75-'FGD Phasing'!Z52),IF(AA52&lt;$D$75,(AA49+AA46),0))-AA65</f>
        <v>0</v>
      </c>
      <c r="AB75" s="351">
        <f ca="1">IF(AND(AB52&gt;$D$75,AA52&lt;$D$75),($D$75-'FGD Phasing'!AA52),IF(AB52&lt;$D$75,(AB49+AB46),0))-AB65</f>
        <v>0</v>
      </c>
      <c r="AC75" s="351">
        <f ca="1">IF(AND(AC52&gt;$D$75,AB52&lt;$D$75),($D$75-'FGD Phasing'!AB52),IF(AC52&lt;$D$75,(AC49+AC46),0))-AC65</f>
        <v>0</v>
      </c>
    </row>
    <row r="76" spans="1:29">
      <c r="A76" s="339"/>
      <c r="B76" s="339"/>
      <c r="C76" s="345"/>
      <c r="D76" s="34"/>
      <c r="E76" s="351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62"/>
      <c r="T76" s="362"/>
      <c r="U76" s="362"/>
      <c r="V76" s="362"/>
      <c r="W76" s="362"/>
      <c r="X76" s="362"/>
      <c r="Y76" s="362"/>
      <c r="Z76" s="362"/>
      <c r="AA76" s="362"/>
      <c r="AB76" s="362"/>
      <c r="AC76" s="362"/>
    </row>
    <row r="77" spans="1:29">
      <c r="A77" s="339" t="s">
        <v>658</v>
      </c>
      <c r="B77" s="339"/>
      <c r="C77" s="345"/>
      <c r="D77" s="34"/>
      <c r="E77" s="351">
        <f ca="1">E46+E49-E65-E75</f>
        <v>0</v>
      </c>
      <c r="F77" s="351">
        <f t="shared" ref="F77:AC77" ca="1" si="37">F46+F49-F65-F75</f>
        <v>0</v>
      </c>
      <c r="G77" s="351">
        <f t="shared" ca="1" si="37"/>
        <v>0</v>
      </c>
      <c r="H77" s="351">
        <f t="shared" ca="1" si="37"/>
        <v>0</v>
      </c>
      <c r="I77" s="351">
        <f t="shared" ca="1" si="37"/>
        <v>0</v>
      </c>
      <c r="J77" s="351">
        <f t="shared" ca="1" si="37"/>
        <v>0</v>
      </c>
      <c r="K77" s="351">
        <f t="shared" ca="1" si="37"/>
        <v>0</v>
      </c>
      <c r="L77" s="351">
        <f t="shared" ca="1" si="37"/>
        <v>0</v>
      </c>
      <c r="M77" s="351">
        <f t="shared" ca="1" si="37"/>
        <v>0</v>
      </c>
      <c r="N77" s="351">
        <f t="shared" ca="1" si="37"/>
        <v>0</v>
      </c>
      <c r="O77" s="351">
        <f t="shared" ca="1" si="37"/>
        <v>16.855987590041764</v>
      </c>
      <c r="P77" s="351">
        <f t="shared" ca="1" si="37"/>
        <v>19.135412166509038</v>
      </c>
      <c r="Q77" s="351">
        <f t="shared" ca="1" si="37"/>
        <v>17.574820828662499</v>
      </c>
      <c r="R77" s="351">
        <f t="shared" ca="1" si="37"/>
        <v>21.144056873399087</v>
      </c>
      <c r="S77" s="351">
        <f t="shared" ca="1" si="37"/>
        <v>21.031919145075221</v>
      </c>
      <c r="T77" s="351">
        <f t="shared" ca="1" si="37"/>
        <v>23.403616154937289</v>
      </c>
      <c r="U77" s="351">
        <f t="shared" ca="1" si="37"/>
        <v>17.945536119716579</v>
      </c>
      <c r="V77" s="351">
        <f t="shared" ca="1" si="37"/>
        <v>15.07780945356226</v>
      </c>
      <c r="W77" s="351">
        <f t="shared" ca="1" si="37"/>
        <v>12.551054264443817</v>
      </c>
      <c r="X77" s="351">
        <f t="shared" ca="1" si="37"/>
        <v>12.586279476758708</v>
      </c>
      <c r="Y77" s="351">
        <f t="shared" ca="1" si="37"/>
        <v>16.739543766601962</v>
      </c>
      <c r="Z77" s="351">
        <f t="shared" ca="1" si="37"/>
        <v>16.792635246332637</v>
      </c>
      <c r="AA77" s="351">
        <f t="shared" ca="1" si="37"/>
        <v>17.673510133466632</v>
      </c>
      <c r="AB77" s="351">
        <f t="shared" ca="1" si="37"/>
        <v>25.665388885947166</v>
      </c>
      <c r="AC77" s="351">
        <f t="shared" ca="1" si="37"/>
        <v>25.774802120867321</v>
      </c>
    </row>
    <row r="78" spans="1:29">
      <c r="A78" s="339"/>
      <c r="B78" s="339"/>
      <c r="C78" s="345"/>
      <c r="D78" s="34"/>
      <c r="E78" s="351">
        <f t="shared" ref="E78:K78" ca="1" si="38">E73+E75+E77</f>
        <v>23.778105152145262</v>
      </c>
      <c r="F78" s="351">
        <f t="shared" ca="1" si="38"/>
        <v>9.7731087516708435</v>
      </c>
      <c r="G78" s="351">
        <f t="shared" ca="1" si="38"/>
        <v>6.3720995538483862</v>
      </c>
      <c r="H78" s="351">
        <f t="shared" ca="1" si="38"/>
        <v>7.9372573867784126</v>
      </c>
      <c r="I78" s="351">
        <f t="shared" ca="1" si="38"/>
        <v>11.696407364311311</v>
      </c>
      <c r="J78" s="351">
        <f t="shared" ca="1" si="38"/>
        <v>10.543053709943031</v>
      </c>
      <c r="K78" s="351">
        <f t="shared" ca="1" si="38"/>
        <v>14.383849077168332</v>
      </c>
      <c r="L78" s="351">
        <f ca="1">L73+L75+L77</f>
        <v>21.913218607797397</v>
      </c>
      <c r="M78" s="351">
        <f t="shared" ref="M78:AC78" ca="1" si="39">M73+M75+M77</f>
        <v>22.12161819721825</v>
      </c>
      <c r="N78" s="351">
        <f t="shared" ca="1" si="39"/>
        <v>29.732197166956016</v>
      </c>
      <c r="O78" s="351">
        <f t="shared" ca="1" si="39"/>
        <v>25.605072622204524</v>
      </c>
      <c r="P78" s="351">
        <f t="shared" ca="1" si="39"/>
        <v>19.135412166509038</v>
      </c>
      <c r="Q78" s="351">
        <f t="shared" ca="1" si="39"/>
        <v>17.574820828662499</v>
      </c>
      <c r="R78" s="351">
        <f t="shared" ca="1" si="39"/>
        <v>21.144056873399087</v>
      </c>
      <c r="S78" s="351">
        <f t="shared" ca="1" si="39"/>
        <v>21.031919145075221</v>
      </c>
      <c r="T78" s="351">
        <f t="shared" ca="1" si="39"/>
        <v>23.403616154937289</v>
      </c>
      <c r="U78" s="351">
        <f t="shared" ca="1" si="39"/>
        <v>17.945536119716579</v>
      </c>
      <c r="V78" s="351">
        <f t="shared" ca="1" si="39"/>
        <v>15.07780945356226</v>
      </c>
      <c r="W78" s="351">
        <f t="shared" ca="1" si="39"/>
        <v>12.551054264443817</v>
      </c>
      <c r="X78" s="351">
        <f t="shared" ca="1" si="39"/>
        <v>12.586279476758708</v>
      </c>
      <c r="Y78" s="351">
        <f t="shared" ca="1" si="39"/>
        <v>16.739543766601962</v>
      </c>
      <c r="Z78" s="351">
        <f t="shared" ca="1" si="39"/>
        <v>16.792635246332637</v>
      </c>
      <c r="AA78" s="351">
        <f t="shared" ca="1" si="39"/>
        <v>17.673510133466632</v>
      </c>
      <c r="AB78" s="351">
        <f t="shared" ca="1" si="39"/>
        <v>25.665388885947166</v>
      </c>
      <c r="AC78" s="351">
        <f t="shared" ca="1" si="39"/>
        <v>25.774802120867321</v>
      </c>
    </row>
    <row r="79" spans="1:29" ht="13.5" thickBot="1">
      <c r="A79" s="396" t="s">
        <v>659</v>
      </c>
      <c r="B79" s="396"/>
      <c r="C79" s="397"/>
      <c r="D79" s="89"/>
      <c r="E79" s="456">
        <f ca="1">E73+E75+E77</f>
        <v>23.778105152145262</v>
      </c>
      <c r="F79" s="456">
        <f ca="1">E79+F78</f>
        <v>33.551213903816105</v>
      </c>
      <c r="G79" s="456">
        <f t="shared" ref="G79:AC79" ca="1" si="40">F79+G78</f>
        <v>39.923313457664491</v>
      </c>
      <c r="H79" s="456">
        <f t="shared" ca="1" si="40"/>
        <v>47.860570844442904</v>
      </c>
      <c r="I79" s="456">
        <f t="shared" ca="1" si="40"/>
        <v>59.556978208754217</v>
      </c>
      <c r="J79" s="456">
        <f t="shared" ca="1" si="40"/>
        <v>70.100031918697255</v>
      </c>
      <c r="K79" s="456">
        <f t="shared" ca="1" si="40"/>
        <v>84.48388099586559</v>
      </c>
      <c r="L79" s="456">
        <f t="shared" ca="1" si="40"/>
        <v>106.39709960366298</v>
      </c>
      <c r="M79" s="456">
        <f t="shared" ca="1" si="40"/>
        <v>128.51871780088123</v>
      </c>
      <c r="N79" s="456">
        <f t="shared" ca="1" si="40"/>
        <v>158.25091496783725</v>
      </c>
      <c r="O79" s="456">
        <f t="shared" ca="1" si="40"/>
        <v>183.85598759004176</v>
      </c>
      <c r="P79" s="456">
        <f t="shared" ca="1" si="40"/>
        <v>202.99139975655081</v>
      </c>
      <c r="Q79" s="456">
        <f t="shared" ca="1" si="40"/>
        <v>220.5662205852133</v>
      </c>
      <c r="R79" s="456">
        <f t="shared" ca="1" si="40"/>
        <v>241.71027745861238</v>
      </c>
      <c r="S79" s="456">
        <f t="shared" ca="1" si="40"/>
        <v>262.7421966036876</v>
      </c>
      <c r="T79" s="456">
        <f t="shared" ca="1" si="40"/>
        <v>286.14581275862491</v>
      </c>
      <c r="U79" s="456">
        <f t="shared" ca="1" si="40"/>
        <v>304.09134887834148</v>
      </c>
      <c r="V79" s="456">
        <f t="shared" ca="1" si="40"/>
        <v>319.16915833190376</v>
      </c>
      <c r="W79" s="456">
        <f t="shared" ca="1" si="40"/>
        <v>331.72021259634755</v>
      </c>
      <c r="X79" s="456">
        <f t="shared" ca="1" si="40"/>
        <v>344.30649207310626</v>
      </c>
      <c r="Y79" s="456">
        <f t="shared" ca="1" si="40"/>
        <v>361.04603583970822</v>
      </c>
      <c r="Z79" s="456">
        <f t="shared" ca="1" si="40"/>
        <v>377.83867108604085</v>
      </c>
      <c r="AA79" s="456">
        <f t="shared" ca="1" si="40"/>
        <v>395.51218121950745</v>
      </c>
      <c r="AB79" s="456">
        <f t="shared" ca="1" si="40"/>
        <v>421.17757010545461</v>
      </c>
      <c r="AC79" s="456">
        <f t="shared" ca="1" si="40"/>
        <v>446.95237222632193</v>
      </c>
    </row>
    <row r="80" spans="1:29" ht="13.5" thickTop="1">
      <c r="A80" s="339"/>
      <c r="B80" s="339"/>
      <c r="C80" s="345"/>
      <c r="D80" s="346"/>
      <c r="E80" s="351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455"/>
      <c r="T80" s="455"/>
      <c r="U80" s="455"/>
      <c r="V80" s="455"/>
      <c r="W80" s="455"/>
      <c r="X80" s="455"/>
      <c r="Y80" s="455"/>
      <c r="Z80" s="455"/>
      <c r="AA80" s="455"/>
      <c r="AB80" s="455"/>
      <c r="AC80" s="455"/>
    </row>
    <row r="81" spans="1:159" s="17" customFormat="1" ht="16.5" thickBot="1">
      <c r="A81" s="109" t="s">
        <v>556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</row>
    <row r="82" spans="1:159" s="17" customFormat="1" ht="15.75" thickTop="1">
      <c r="A82" s="641" t="s">
        <v>0</v>
      </c>
      <c r="B82" s="271"/>
      <c r="C82" s="46"/>
      <c r="D82" s="19">
        <f>C83+1</f>
        <v>44835</v>
      </c>
      <c r="E82" s="19">
        <f>D83+1</f>
        <v>44927</v>
      </c>
      <c r="F82" s="19">
        <f>E83+1</f>
        <v>45017</v>
      </c>
      <c r="G82" s="19">
        <f>F83+1</f>
        <v>45108</v>
      </c>
      <c r="H82" s="19">
        <f>G83+1</f>
        <v>45200</v>
      </c>
      <c r="I82" s="19">
        <f t="shared" ref="I82:BT82" si="41">H83+1</f>
        <v>45292</v>
      </c>
      <c r="J82" s="19">
        <f t="shared" si="41"/>
        <v>45383</v>
      </c>
      <c r="K82" s="19">
        <f t="shared" si="41"/>
        <v>45474</v>
      </c>
      <c r="L82" s="19">
        <f t="shared" si="41"/>
        <v>45566</v>
      </c>
      <c r="M82" s="19">
        <f t="shared" si="41"/>
        <v>45658</v>
      </c>
      <c r="N82" s="19">
        <f t="shared" si="41"/>
        <v>45748</v>
      </c>
      <c r="O82" s="19">
        <f t="shared" si="41"/>
        <v>45839</v>
      </c>
      <c r="P82" s="19">
        <f t="shared" si="41"/>
        <v>45931</v>
      </c>
      <c r="Q82" s="19">
        <f t="shared" si="41"/>
        <v>46023</v>
      </c>
      <c r="R82" s="19">
        <f t="shared" si="41"/>
        <v>46113</v>
      </c>
      <c r="S82" s="19">
        <f t="shared" si="41"/>
        <v>46204</v>
      </c>
      <c r="T82" s="19">
        <f t="shared" si="41"/>
        <v>46296</v>
      </c>
      <c r="U82" s="19">
        <f t="shared" si="41"/>
        <v>46388</v>
      </c>
      <c r="V82" s="19">
        <f t="shared" si="41"/>
        <v>46478</v>
      </c>
      <c r="W82" s="19">
        <f t="shared" si="41"/>
        <v>46569</v>
      </c>
      <c r="X82" s="19">
        <f t="shared" si="41"/>
        <v>46661</v>
      </c>
      <c r="Y82" s="19">
        <f t="shared" si="41"/>
        <v>46753</v>
      </c>
      <c r="Z82" s="19">
        <f t="shared" si="41"/>
        <v>46844</v>
      </c>
      <c r="AA82" s="19">
        <f t="shared" si="41"/>
        <v>46935</v>
      </c>
      <c r="AB82" s="19">
        <f t="shared" si="41"/>
        <v>47027</v>
      </c>
      <c r="AC82" s="19">
        <f t="shared" si="41"/>
        <v>47119</v>
      </c>
      <c r="AD82" s="19">
        <f t="shared" si="41"/>
        <v>47209</v>
      </c>
      <c r="AE82" s="19">
        <f t="shared" si="41"/>
        <v>47300</v>
      </c>
      <c r="AF82" s="19">
        <f t="shared" si="41"/>
        <v>47392</v>
      </c>
      <c r="AG82" s="19">
        <f t="shared" si="41"/>
        <v>47484</v>
      </c>
      <c r="AH82" s="19">
        <f t="shared" si="41"/>
        <v>47574</v>
      </c>
      <c r="AI82" s="19">
        <f t="shared" si="41"/>
        <v>47665</v>
      </c>
      <c r="AJ82" s="19">
        <f t="shared" si="41"/>
        <v>47757</v>
      </c>
      <c r="AK82" s="19">
        <f t="shared" si="41"/>
        <v>47849</v>
      </c>
      <c r="AL82" s="19">
        <f t="shared" si="41"/>
        <v>47939</v>
      </c>
      <c r="AM82" s="19">
        <f t="shared" si="41"/>
        <v>48030</v>
      </c>
      <c r="AN82" s="19">
        <f t="shared" si="41"/>
        <v>48122</v>
      </c>
      <c r="AO82" s="19">
        <f t="shared" si="41"/>
        <v>48214</v>
      </c>
      <c r="AP82" s="19">
        <f t="shared" si="41"/>
        <v>48305</v>
      </c>
      <c r="AQ82" s="19">
        <f t="shared" si="41"/>
        <v>48396</v>
      </c>
      <c r="AR82" s="19">
        <f t="shared" si="41"/>
        <v>48488</v>
      </c>
      <c r="AS82" s="19">
        <f t="shared" si="41"/>
        <v>48580</v>
      </c>
      <c r="AT82" s="19">
        <f t="shared" si="41"/>
        <v>48670</v>
      </c>
      <c r="AU82" s="19">
        <f t="shared" si="41"/>
        <v>48761</v>
      </c>
      <c r="AV82" s="19">
        <f t="shared" si="41"/>
        <v>48853</v>
      </c>
      <c r="AW82" s="19">
        <f t="shared" si="41"/>
        <v>48945</v>
      </c>
      <c r="AX82" s="19">
        <f t="shared" si="41"/>
        <v>49035</v>
      </c>
      <c r="AY82" s="19">
        <f t="shared" si="41"/>
        <v>49126</v>
      </c>
      <c r="AZ82" s="19">
        <f t="shared" si="41"/>
        <v>49218</v>
      </c>
      <c r="BA82" s="19">
        <f t="shared" si="41"/>
        <v>49310</v>
      </c>
      <c r="BB82" s="498">
        <f t="shared" si="41"/>
        <v>49400</v>
      </c>
      <c r="BC82" s="19">
        <f t="shared" si="41"/>
        <v>49491</v>
      </c>
      <c r="BD82" s="19">
        <f t="shared" si="41"/>
        <v>49583</v>
      </c>
      <c r="BE82" s="19">
        <f t="shared" si="41"/>
        <v>49675</v>
      </c>
      <c r="BF82" s="19">
        <f t="shared" si="41"/>
        <v>49766</v>
      </c>
      <c r="BG82" s="19">
        <f t="shared" si="41"/>
        <v>49857</v>
      </c>
      <c r="BH82" s="19">
        <f t="shared" si="41"/>
        <v>49949</v>
      </c>
      <c r="BI82" s="19">
        <f t="shared" si="41"/>
        <v>50041</v>
      </c>
      <c r="BJ82" s="19">
        <f t="shared" si="41"/>
        <v>50131</v>
      </c>
      <c r="BK82" s="19">
        <f t="shared" si="41"/>
        <v>50222</v>
      </c>
      <c r="BL82" s="19">
        <f t="shared" si="41"/>
        <v>50314</v>
      </c>
      <c r="BM82" s="19">
        <f t="shared" si="41"/>
        <v>50406</v>
      </c>
      <c r="BN82" s="19">
        <f t="shared" si="41"/>
        <v>50496</v>
      </c>
      <c r="BO82" s="19">
        <f t="shared" si="41"/>
        <v>50587</v>
      </c>
      <c r="BP82" s="19">
        <f t="shared" si="41"/>
        <v>50679</v>
      </c>
      <c r="BQ82" s="19">
        <f t="shared" si="41"/>
        <v>50771</v>
      </c>
      <c r="BR82" s="19">
        <f t="shared" si="41"/>
        <v>50861</v>
      </c>
      <c r="BS82" s="19">
        <f t="shared" si="41"/>
        <v>50952</v>
      </c>
      <c r="BT82" s="19">
        <f t="shared" si="41"/>
        <v>51044</v>
      </c>
      <c r="BU82" s="19">
        <f t="shared" ref="BU82:CU82" si="42">BT83+1</f>
        <v>51136</v>
      </c>
      <c r="BV82" s="19">
        <f t="shared" si="42"/>
        <v>51227</v>
      </c>
      <c r="BW82" s="19">
        <f t="shared" si="42"/>
        <v>51318</v>
      </c>
      <c r="BX82" s="19">
        <f t="shared" si="42"/>
        <v>51410</v>
      </c>
      <c r="BY82" s="19">
        <f t="shared" si="42"/>
        <v>51502</v>
      </c>
      <c r="BZ82" s="19">
        <f t="shared" si="42"/>
        <v>51592</v>
      </c>
      <c r="CA82" s="19">
        <f t="shared" si="42"/>
        <v>51683</v>
      </c>
      <c r="CB82" s="19">
        <f t="shared" si="42"/>
        <v>51775</v>
      </c>
      <c r="CC82" s="19">
        <f t="shared" si="42"/>
        <v>51867</v>
      </c>
      <c r="CD82" s="19">
        <f t="shared" si="42"/>
        <v>51957</v>
      </c>
      <c r="CE82" s="19">
        <f t="shared" si="42"/>
        <v>52048</v>
      </c>
      <c r="CF82" s="19">
        <f t="shared" si="42"/>
        <v>52140</v>
      </c>
      <c r="CG82" s="19">
        <f t="shared" si="42"/>
        <v>52232</v>
      </c>
      <c r="CH82" s="19">
        <f t="shared" si="42"/>
        <v>52322</v>
      </c>
      <c r="CI82" s="19">
        <f t="shared" si="42"/>
        <v>52413</v>
      </c>
      <c r="CJ82" s="19">
        <f t="shared" si="42"/>
        <v>52505</v>
      </c>
      <c r="CK82" s="19">
        <f t="shared" si="42"/>
        <v>52597</v>
      </c>
      <c r="CL82" s="19">
        <f t="shared" si="42"/>
        <v>52688</v>
      </c>
      <c r="CM82" s="19">
        <f t="shared" si="42"/>
        <v>52779</v>
      </c>
      <c r="CN82" s="19">
        <f t="shared" si="42"/>
        <v>52871</v>
      </c>
      <c r="CO82" s="19">
        <f t="shared" si="42"/>
        <v>52963</v>
      </c>
      <c r="CP82" s="19">
        <f t="shared" si="42"/>
        <v>53053</v>
      </c>
      <c r="CQ82" s="19">
        <f t="shared" si="42"/>
        <v>53144</v>
      </c>
      <c r="CR82" s="19">
        <f t="shared" si="42"/>
        <v>53236</v>
      </c>
      <c r="CS82" s="19">
        <f t="shared" si="42"/>
        <v>53328</v>
      </c>
      <c r="CT82" s="19">
        <f t="shared" si="42"/>
        <v>53418</v>
      </c>
      <c r="CU82" s="19">
        <f t="shared" si="42"/>
        <v>53509</v>
      </c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</row>
    <row r="83" spans="1:159" s="17" customFormat="1" ht="15">
      <c r="A83" s="642"/>
      <c r="B83" s="272"/>
      <c r="C83" s="6">
        <f>AC5</f>
        <v>44834</v>
      </c>
      <c r="D83" s="6">
        <f>EOMONTH(C83,3)</f>
        <v>44926</v>
      </c>
      <c r="E83" s="6">
        <f t="shared" ref="E83:BP83" si="43">EOMONTH(D83,3)</f>
        <v>45016</v>
      </c>
      <c r="F83" s="6">
        <f t="shared" si="43"/>
        <v>45107</v>
      </c>
      <c r="G83" s="6">
        <f t="shared" si="43"/>
        <v>45199</v>
      </c>
      <c r="H83" s="6">
        <f t="shared" si="43"/>
        <v>45291</v>
      </c>
      <c r="I83" s="6">
        <f t="shared" si="43"/>
        <v>45382</v>
      </c>
      <c r="J83" s="6">
        <f t="shared" si="43"/>
        <v>45473</v>
      </c>
      <c r="K83" s="6">
        <f t="shared" si="43"/>
        <v>45565</v>
      </c>
      <c r="L83" s="6">
        <f t="shared" si="43"/>
        <v>45657</v>
      </c>
      <c r="M83" s="6">
        <f t="shared" si="43"/>
        <v>45747</v>
      </c>
      <c r="N83" s="6">
        <f t="shared" si="43"/>
        <v>45838</v>
      </c>
      <c r="O83" s="6">
        <f t="shared" si="43"/>
        <v>45930</v>
      </c>
      <c r="P83" s="6">
        <f t="shared" si="43"/>
        <v>46022</v>
      </c>
      <c r="Q83" s="6">
        <f t="shared" si="43"/>
        <v>46112</v>
      </c>
      <c r="R83" s="6">
        <f t="shared" si="43"/>
        <v>46203</v>
      </c>
      <c r="S83" s="6">
        <f t="shared" si="43"/>
        <v>46295</v>
      </c>
      <c r="T83" s="6">
        <f t="shared" si="43"/>
        <v>46387</v>
      </c>
      <c r="U83" s="6">
        <f t="shared" si="43"/>
        <v>46477</v>
      </c>
      <c r="V83" s="6">
        <f t="shared" si="43"/>
        <v>46568</v>
      </c>
      <c r="W83" s="6">
        <f t="shared" si="43"/>
        <v>46660</v>
      </c>
      <c r="X83" s="6">
        <f t="shared" si="43"/>
        <v>46752</v>
      </c>
      <c r="Y83" s="6">
        <f t="shared" si="43"/>
        <v>46843</v>
      </c>
      <c r="Z83" s="6">
        <f t="shared" si="43"/>
        <v>46934</v>
      </c>
      <c r="AA83" s="6">
        <f t="shared" si="43"/>
        <v>47026</v>
      </c>
      <c r="AB83" s="6">
        <f t="shared" si="43"/>
        <v>47118</v>
      </c>
      <c r="AC83" s="6">
        <f t="shared" si="43"/>
        <v>47208</v>
      </c>
      <c r="AD83" s="6">
        <f t="shared" si="43"/>
        <v>47299</v>
      </c>
      <c r="AE83" s="6">
        <f t="shared" si="43"/>
        <v>47391</v>
      </c>
      <c r="AF83" s="6">
        <f t="shared" si="43"/>
        <v>47483</v>
      </c>
      <c r="AG83" s="6">
        <f t="shared" si="43"/>
        <v>47573</v>
      </c>
      <c r="AH83" s="6">
        <f t="shared" si="43"/>
        <v>47664</v>
      </c>
      <c r="AI83" s="6">
        <f t="shared" si="43"/>
        <v>47756</v>
      </c>
      <c r="AJ83" s="6">
        <f t="shared" si="43"/>
        <v>47848</v>
      </c>
      <c r="AK83" s="6">
        <f t="shared" si="43"/>
        <v>47938</v>
      </c>
      <c r="AL83" s="6">
        <f t="shared" si="43"/>
        <v>48029</v>
      </c>
      <c r="AM83" s="6">
        <f t="shared" si="43"/>
        <v>48121</v>
      </c>
      <c r="AN83" s="6">
        <f t="shared" si="43"/>
        <v>48213</v>
      </c>
      <c r="AO83" s="6">
        <f t="shared" si="43"/>
        <v>48304</v>
      </c>
      <c r="AP83" s="6">
        <f t="shared" si="43"/>
        <v>48395</v>
      </c>
      <c r="AQ83" s="6">
        <f t="shared" si="43"/>
        <v>48487</v>
      </c>
      <c r="AR83" s="6">
        <f t="shared" si="43"/>
        <v>48579</v>
      </c>
      <c r="AS83" s="6">
        <f t="shared" si="43"/>
        <v>48669</v>
      </c>
      <c r="AT83" s="6">
        <f t="shared" si="43"/>
        <v>48760</v>
      </c>
      <c r="AU83" s="6">
        <f t="shared" si="43"/>
        <v>48852</v>
      </c>
      <c r="AV83" s="6">
        <f t="shared" si="43"/>
        <v>48944</v>
      </c>
      <c r="AW83" s="6">
        <f t="shared" si="43"/>
        <v>49034</v>
      </c>
      <c r="AX83" s="6">
        <f t="shared" si="43"/>
        <v>49125</v>
      </c>
      <c r="AY83" s="6">
        <f t="shared" si="43"/>
        <v>49217</v>
      </c>
      <c r="AZ83" s="6">
        <f t="shared" si="43"/>
        <v>49309</v>
      </c>
      <c r="BA83" s="6">
        <f t="shared" si="43"/>
        <v>49399</v>
      </c>
      <c r="BB83" s="499">
        <f t="shared" si="43"/>
        <v>49490</v>
      </c>
      <c r="BC83" s="6">
        <f t="shared" si="43"/>
        <v>49582</v>
      </c>
      <c r="BD83" s="6">
        <f t="shared" si="43"/>
        <v>49674</v>
      </c>
      <c r="BE83" s="6">
        <f t="shared" si="43"/>
        <v>49765</v>
      </c>
      <c r="BF83" s="6">
        <f t="shared" si="43"/>
        <v>49856</v>
      </c>
      <c r="BG83" s="6">
        <f t="shared" si="43"/>
        <v>49948</v>
      </c>
      <c r="BH83" s="6">
        <f t="shared" si="43"/>
        <v>50040</v>
      </c>
      <c r="BI83" s="6">
        <f t="shared" si="43"/>
        <v>50130</v>
      </c>
      <c r="BJ83" s="6">
        <f t="shared" si="43"/>
        <v>50221</v>
      </c>
      <c r="BK83" s="6">
        <f t="shared" si="43"/>
        <v>50313</v>
      </c>
      <c r="BL83" s="6">
        <f t="shared" si="43"/>
        <v>50405</v>
      </c>
      <c r="BM83" s="6">
        <f t="shared" si="43"/>
        <v>50495</v>
      </c>
      <c r="BN83" s="6">
        <f t="shared" si="43"/>
        <v>50586</v>
      </c>
      <c r="BO83" s="6">
        <f t="shared" si="43"/>
        <v>50678</v>
      </c>
      <c r="BP83" s="6">
        <f t="shared" si="43"/>
        <v>50770</v>
      </c>
      <c r="BQ83" s="6">
        <f t="shared" ref="BQ83:CU83" si="44">EOMONTH(BP83,3)</f>
        <v>50860</v>
      </c>
      <c r="BR83" s="6">
        <f t="shared" si="44"/>
        <v>50951</v>
      </c>
      <c r="BS83" s="6">
        <f t="shared" si="44"/>
        <v>51043</v>
      </c>
      <c r="BT83" s="6">
        <f t="shared" si="44"/>
        <v>51135</v>
      </c>
      <c r="BU83" s="6">
        <f t="shared" si="44"/>
        <v>51226</v>
      </c>
      <c r="BV83" s="6">
        <f t="shared" si="44"/>
        <v>51317</v>
      </c>
      <c r="BW83" s="6">
        <f t="shared" si="44"/>
        <v>51409</v>
      </c>
      <c r="BX83" s="6">
        <f t="shared" si="44"/>
        <v>51501</v>
      </c>
      <c r="BY83" s="6">
        <f t="shared" si="44"/>
        <v>51591</v>
      </c>
      <c r="BZ83" s="6">
        <f t="shared" si="44"/>
        <v>51682</v>
      </c>
      <c r="CA83" s="6">
        <f t="shared" si="44"/>
        <v>51774</v>
      </c>
      <c r="CB83" s="6">
        <f t="shared" si="44"/>
        <v>51866</v>
      </c>
      <c r="CC83" s="6">
        <f t="shared" si="44"/>
        <v>51956</v>
      </c>
      <c r="CD83" s="6">
        <f t="shared" si="44"/>
        <v>52047</v>
      </c>
      <c r="CE83" s="6">
        <f t="shared" si="44"/>
        <v>52139</v>
      </c>
      <c r="CF83" s="6">
        <f t="shared" si="44"/>
        <v>52231</v>
      </c>
      <c r="CG83" s="6">
        <f t="shared" si="44"/>
        <v>52321</v>
      </c>
      <c r="CH83" s="6">
        <f t="shared" si="44"/>
        <v>52412</v>
      </c>
      <c r="CI83" s="6">
        <f t="shared" si="44"/>
        <v>52504</v>
      </c>
      <c r="CJ83" s="6">
        <f t="shared" si="44"/>
        <v>52596</v>
      </c>
      <c r="CK83" s="6">
        <f t="shared" si="44"/>
        <v>52687</v>
      </c>
      <c r="CL83" s="6">
        <f t="shared" si="44"/>
        <v>52778</v>
      </c>
      <c r="CM83" s="6">
        <f t="shared" si="44"/>
        <v>52870</v>
      </c>
      <c r="CN83" s="6">
        <f t="shared" si="44"/>
        <v>52962</v>
      </c>
      <c r="CO83" s="6">
        <f t="shared" si="44"/>
        <v>53052</v>
      </c>
      <c r="CP83" s="6">
        <f t="shared" si="44"/>
        <v>53143</v>
      </c>
      <c r="CQ83" s="6">
        <f t="shared" si="44"/>
        <v>53235</v>
      </c>
      <c r="CR83" s="6">
        <f t="shared" si="44"/>
        <v>53327</v>
      </c>
      <c r="CS83" s="6">
        <f t="shared" si="44"/>
        <v>53417</v>
      </c>
      <c r="CT83" s="6">
        <f t="shared" si="44"/>
        <v>53508</v>
      </c>
      <c r="CU83" s="6">
        <f t="shared" si="44"/>
        <v>53600</v>
      </c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</row>
    <row r="84" spans="1:159" s="133" customFormat="1" ht="15">
      <c r="A84" s="643"/>
      <c r="B84" s="131"/>
      <c r="C84" s="132">
        <f t="shared" ref="C84:H84" si="45">IF(MONTH(C83)&lt;=3,YEAR(C83),YEAR(C83)+1)</f>
        <v>2023</v>
      </c>
      <c r="D84" s="132">
        <f t="shared" si="45"/>
        <v>2023</v>
      </c>
      <c r="E84" s="132">
        <f t="shared" si="45"/>
        <v>2023</v>
      </c>
      <c r="F84" s="132">
        <f t="shared" si="45"/>
        <v>2024</v>
      </c>
      <c r="G84" s="132">
        <f t="shared" si="45"/>
        <v>2024</v>
      </c>
      <c r="H84" s="132">
        <f t="shared" si="45"/>
        <v>2024</v>
      </c>
      <c r="I84" s="132">
        <f t="shared" ref="I84:BT84" si="46">IF(MONTH(I83)&lt;=3,YEAR(I83),YEAR(I83)+1)</f>
        <v>2024</v>
      </c>
      <c r="J84" s="132">
        <f t="shared" si="46"/>
        <v>2025</v>
      </c>
      <c r="K84" s="132">
        <f t="shared" si="46"/>
        <v>2025</v>
      </c>
      <c r="L84" s="132">
        <f t="shared" si="46"/>
        <v>2025</v>
      </c>
      <c r="M84" s="132">
        <f t="shared" si="46"/>
        <v>2025</v>
      </c>
      <c r="N84" s="132">
        <f t="shared" si="46"/>
        <v>2026</v>
      </c>
      <c r="O84" s="132">
        <f t="shared" si="46"/>
        <v>2026</v>
      </c>
      <c r="P84" s="132">
        <f t="shared" si="46"/>
        <v>2026</v>
      </c>
      <c r="Q84" s="132">
        <f t="shared" si="46"/>
        <v>2026</v>
      </c>
      <c r="R84" s="132">
        <f t="shared" si="46"/>
        <v>2027</v>
      </c>
      <c r="S84" s="132">
        <f t="shared" si="46"/>
        <v>2027</v>
      </c>
      <c r="T84" s="132">
        <f t="shared" si="46"/>
        <v>2027</v>
      </c>
      <c r="U84" s="132">
        <f t="shared" si="46"/>
        <v>2027</v>
      </c>
      <c r="V84" s="132">
        <f t="shared" si="46"/>
        <v>2028</v>
      </c>
      <c r="W84" s="132">
        <f t="shared" si="46"/>
        <v>2028</v>
      </c>
      <c r="X84" s="132">
        <f t="shared" si="46"/>
        <v>2028</v>
      </c>
      <c r="Y84" s="132">
        <f t="shared" si="46"/>
        <v>2028</v>
      </c>
      <c r="Z84" s="132">
        <f t="shared" si="46"/>
        <v>2029</v>
      </c>
      <c r="AA84" s="132">
        <f t="shared" si="46"/>
        <v>2029</v>
      </c>
      <c r="AB84" s="132">
        <f t="shared" si="46"/>
        <v>2029</v>
      </c>
      <c r="AC84" s="132">
        <f t="shared" si="46"/>
        <v>2029</v>
      </c>
      <c r="AD84" s="132">
        <f t="shared" si="46"/>
        <v>2030</v>
      </c>
      <c r="AE84" s="132">
        <f t="shared" si="46"/>
        <v>2030</v>
      </c>
      <c r="AF84" s="132">
        <f t="shared" si="46"/>
        <v>2030</v>
      </c>
      <c r="AG84" s="132">
        <f t="shared" si="46"/>
        <v>2030</v>
      </c>
      <c r="AH84" s="132">
        <f t="shared" si="46"/>
        <v>2031</v>
      </c>
      <c r="AI84" s="132">
        <f t="shared" si="46"/>
        <v>2031</v>
      </c>
      <c r="AJ84" s="132">
        <f t="shared" si="46"/>
        <v>2031</v>
      </c>
      <c r="AK84" s="132">
        <f t="shared" si="46"/>
        <v>2031</v>
      </c>
      <c r="AL84" s="132">
        <f t="shared" si="46"/>
        <v>2032</v>
      </c>
      <c r="AM84" s="132">
        <f t="shared" si="46"/>
        <v>2032</v>
      </c>
      <c r="AN84" s="132">
        <f t="shared" si="46"/>
        <v>2032</v>
      </c>
      <c r="AO84" s="132">
        <f t="shared" si="46"/>
        <v>2032</v>
      </c>
      <c r="AP84" s="132">
        <f t="shared" si="46"/>
        <v>2033</v>
      </c>
      <c r="AQ84" s="132">
        <f t="shared" si="46"/>
        <v>2033</v>
      </c>
      <c r="AR84" s="132">
        <f t="shared" si="46"/>
        <v>2033</v>
      </c>
      <c r="AS84" s="132">
        <f t="shared" si="46"/>
        <v>2033</v>
      </c>
      <c r="AT84" s="132">
        <f t="shared" si="46"/>
        <v>2034</v>
      </c>
      <c r="AU84" s="132">
        <f t="shared" si="46"/>
        <v>2034</v>
      </c>
      <c r="AV84" s="132">
        <f t="shared" si="46"/>
        <v>2034</v>
      </c>
      <c r="AW84" s="132">
        <f t="shared" si="46"/>
        <v>2034</v>
      </c>
      <c r="AX84" s="132">
        <f t="shared" si="46"/>
        <v>2035</v>
      </c>
      <c r="AY84" s="132">
        <f t="shared" si="46"/>
        <v>2035</v>
      </c>
      <c r="AZ84" s="132">
        <f t="shared" si="46"/>
        <v>2035</v>
      </c>
      <c r="BA84" s="132">
        <f t="shared" si="46"/>
        <v>2035</v>
      </c>
      <c r="BB84" s="500">
        <f t="shared" si="46"/>
        <v>2036</v>
      </c>
      <c r="BC84" s="132">
        <f t="shared" si="46"/>
        <v>2036</v>
      </c>
      <c r="BD84" s="132">
        <f t="shared" si="46"/>
        <v>2036</v>
      </c>
      <c r="BE84" s="132">
        <f t="shared" si="46"/>
        <v>2036</v>
      </c>
      <c r="BF84" s="132">
        <f t="shared" si="46"/>
        <v>2037</v>
      </c>
      <c r="BG84" s="132">
        <f t="shared" si="46"/>
        <v>2037</v>
      </c>
      <c r="BH84" s="132">
        <f t="shared" si="46"/>
        <v>2037</v>
      </c>
      <c r="BI84" s="132">
        <f t="shared" si="46"/>
        <v>2037</v>
      </c>
      <c r="BJ84" s="132">
        <f t="shared" si="46"/>
        <v>2038</v>
      </c>
      <c r="BK84" s="132">
        <f t="shared" si="46"/>
        <v>2038</v>
      </c>
      <c r="BL84" s="132">
        <f t="shared" si="46"/>
        <v>2038</v>
      </c>
      <c r="BM84" s="132">
        <f t="shared" si="46"/>
        <v>2038</v>
      </c>
      <c r="BN84" s="132">
        <f t="shared" si="46"/>
        <v>2039</v>
      </c>
      <c r="BO84" s="132">
        <f t="shared" si="46"/>
        <v>2039</v>
      </c>
      <c r="BP84" s="132">
        <f t="shared" si="46"/>
        <v>2039</v>
      </c>
      <c r="BQ84" s="132">
        <f t="shared" si="46"/>
        <v>2039</v>
      </c>
      <c r="BR84" s="132">
        <f t="shared" si="46"/>
        <v>2040</v>
      </c>
      <c r="BS84" s="132">
        <f t="shared" si="46"/>
        <v>2040</v>
      </c>
      <c r="BT84" s="132">
        <f t="shared" si="46"/>
        <v>2040</v>
      </c>
      <c r="BU84" s="132">
        <f t="shared" ref="BU84:CU84" si="47">IF(MONTH(BU83)&lt;=3,YEAR(BU83),YEAR(BU83)+1)</f>
        <v>2040</v>
      </c>
      <c r="BV84" s="132">
        <f t="shared" si="47"/>
        <v>2041</v>
      </c>
      <c r="BW84" s="132">
        <f t="shared" si="47"/>
        <v>2041</v>
      </c>
      <c r="BX84" s="132">
        <f t="shared" si="47"/>
        <v>2041</v>
      </c>
      <c r="BY84" s="132">
        <f t="shared" si="47"/>
        <v>2041</v>
      </c>
      <c r="BZ84" s="132">
        <f t="shared" si="47"/>
        <v>2042</v>
      </c>
      <c r="CA84" s="132">
        <f t="shared" si="47"/>
        <v>2042</v>
      </c>
      <c r="CB84" s="132">
        <f t="shared" si="47"/>
        <v>2042</v>
      </c>
      <c r="CC84" s="132">
        <f t="shared" si="47"/>
        <v>2042</v>
      </c>
      <c r="CD84" s="132">
        <f t="shared" si="47"/>
        <v>2043</v>
      </c>
      <c r="CE84" s="132">
        <f t="shared" si="47"/>
        <v>2043</v>
      </c>
      <c r="CF84" s="132">
        <f t="shared" si="47"/>
        <v>2043</v>
      </c>
      <c r="CG84" s="132">
        <f t="shared" si="47"/>
        <v>2043</v>
      </c>
      <c r="CH84" s="132">
        <f t="shared" si="47"/>
        <v>2044</v>
      </c>
      <c r="CI84" s="132">
        <f t="shared" si="47"/>
        <v>2044</v>
      </c>
      <c r="CJ84" s="132">
        <f t="shared" si="47"/>
        <v>2044</v>
      </c>
      <c r="CK84" s="132">
        <f t="shared" si="47"/>
        <v>2044</v>
      </c>
      <c r="CL84" s="132">
        <f t="shared" si="47"/>
        <v>2045</v>
      </c>
      <c r="CM84" s="132">
        <f t="shared" si="47"/>
        <v>2045</v>
      </c>
      <c r="CN84" s="132">
        <f t="shared" si="47"/>
        <v>2045</v>
      </c>
      <c r="CO84" s="132">
        <f t="shared" si="47"/>
        <v>2045</v>
      </c>
      <c r="CP84" s="132">
        <f t="shared" si="47"/>
        <v>2046</v>
      </c>
      <c r="CQ84" s="132">
        <f t="shared" si="47"/>
        <v>2046</v>
      </c>
      <c r="CR84" s="132">
        <f t="shared" si="47"/>
        <v>2046</v>
      </c>
      <c r="CS84" s="132">
        <f t="shared" si="47"/>
        <v>2046</v>
      </c>
      <c r="CT84" s="132">
        <f t="shared" si="47"/>
        <v>2047</v>
      </c>
      <c r="CU84" s="132">
        <f t="shared" si="47"/>
        <v>2047</v>
      </c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</row>
    <row r="85" spans="1:159" s="1" customFormat="1" ht="15.75">
      <c r="A85" s="119"/>
      <c r="B85" s="116">
        <f ca="1">'FGD Input'!L36</f>
        <v>279.95237222632204</v>
      </c>
      <c r="C85" s="62"/>
      <c r="D85" s="124">
        <f>IF(Assumption!$K$80="Till 2029",'FGD Input'!D62,IFERROR(HLOOKUP(D83,'FGD Input'!$D$54:$CG$57,4,FALSE),0))</f>
        <v>0.02</v>
      </c>
      <c r="E85" s="124">
        <f>IF(Assumption!$K$80="Till 2029",'FGD Input'!E62,IFERROR(HLOOKUP(E83,'FGD Input'!$D$54:$CG$57,4,FALSE),0))</f>
        <v>0.02</v>
      </c>
      <c r="F85" s="124">
        <f>IF(Assumption!$K$80="Till 2029",'FGD Input'!F62,IFERROR(HLOOKUP(F83,'FGD Input'!$D$54:$CG$57,4,FALSE),0))</f>
        <v>0.02</v>
      </c>
      <c r="G85" s="124">
        <f>IF(Assumption!$K$80="Till 2029",'FGD Input'!G62,IFERROR(HLOOKUP(G83,'FGD Input'!$D$54:$CG$57,4,FALSE),0))</f>
        <v>0.02</v>
      </c>
      <c r="H85" s="124">
        <f>IF(Assumption!$K$80="Till 2029",'FGD Input'!H62,IFERROR(HLOOKUP(H83,'FGD Input'!$D$54:$CG$57,4,FALSE),0))</f>
        <v>0.02</v>
      </c>
      <c r="I85" s="124">
        <f>IF(Assumption!$K$80="Till 2029",'FGD Input'!I62,IFERROR(HLOOKUP(I83,'FGD Input'!$D$54:$CG$57,4,FALSE),0))</f>
        <v>0.02</v>
      </c>
      <c r="J85" s="124">
        <f>IF(Assumption!$K$80="Till 2029",'FGD Input'!J62,IFERROR(HLOOKUP(J83,'FGD Input'!$D$54:$CG$57,4,FALSE),0))</f>
        <v>0.02</v>
      </c>
      <c r="K85" s="124">
        <f>IF(Assumption!$K$80="Till 2029",'FGD Input'!K62,IFERROR(HLOOKUP(K83,'FGD Input'!$D$54:$CG$57,4,FALSE),0))</f>
        <v>0.02</v>
      </c>
      <c r="L85" s="124">
        <f>IF(Assumption!$K$80="Till 2029",'FGD Input'!L62,IFERROR(HLOOKUP(L83,'FGD Input'!$D$54:$CG$57,4,FALSE),0))</f>
        <v>0.02</v>
      </c>
      <c r="M85" s="124">
        <f>IF(Assumption!$K$80="Till 2029",'FGD Input'!M62,IFERROR(HLOOKUP(M83,'FGD Input'!$D$54:$CG$57,4,FALSE),0))</f>
        <v>0.02</v>
      </c>
      <c r="N85" s="124">
        <f>IF(Assumption!$K$80="Till 2029",'FGD Input'!N62,IFERROR(HLOOKUP(N83,'FGD Input'!$D$54:$CG$57,4,FALSE),0))</f>
        <v>0.02</v>
      </c>
      <c r="O85" s="124">
        <f>IF(Assumption!$K$80="Till 2029",'FGD Input'!O62,IFERROR(HLOOKUP(O83,'FGD Input'!$D$54:$CG$57,4,FALSE),0))</f>
        <v>0.02</v>
      </c>
      <c r="P85" s="124">
        <f>IF(Assumption!$K$80="Till 2029",'FGD Input'!P62,IFERROR(HLOOKUP(P83,'FGD Input'!$D$54:$CG$57,4,FALSE),0))</f>
        <v>0.02</v>
      </c>
      <c r="Q85" s="124">
        <f>IF(Assumption!$K$80="Till 2029",'FGD Input'!Q62,IFERROR(HLOOKUP(Q83,'FGD Input'!$D$54:$CG$57,4,FALSE),0))</f>
        <v>0.02</v>
      </c>
      <c r="R85" s="124">
        <f>IF(Assumption!$K$80="Till 2029",'FGD Input'!R62,IFERROR(HLOOKUP(R83,'FGD Input'!$D$54:$CG$57,4,FALSE),0))</f>
        <v>0.02</v>
      </c>
      <c r="S85" s="124">
        <f>IF(Assumption!$K$80="Till 2029",'FGD Input'!S62,IFERROR(HLOOKUP(S83,'FGD Input'!$D$54:$CG$57,4,FALSE),0))</f>
        <v>0.02</v>
      </c>
      <c r="T85" s="124">
        <f>IF(Assumption!$K$80="Till 2029",'FGD Input'!T62,IFERROR(HLOOKUP(T83,'FGD Input'!$D$54:$CG$57,4,FALSE),0))</f>
        <v>0.02</v>
      </c>
      <c r="U85" s="124">
        <f>IF(Assumption!$K$80="Till 2029",'FGD Input'!U62,IFERROR(HLOOKUP(U83,'FGD Input'!$D$54:$CG$57,4,FALSE),0))</f>
        <v>0.03</v>
      </c>
      <c r="V85" s="124">
        <f>IF(Assumption!$K$80="Till 2029",'FGD Input'!V62,IFERROR(HLOOKUP(V83,'FGD Input'!$D$54:$CG$57,4,FALSE),0))</f>
        <v>0.03</v>
      </c>
      <c r="W85" s="124">
        <f>IF(Assumption!$K$80="Till 2029",'FGD Input'!W62,IFERROR(HLOOKUP(W83,'FGD Input'!$D$54:$CG$57,4,FALSE),0))</f>
        <v>0.03</v>
      </c>
      <c r="X85" s="124">
        <f>IF(Assumption!$K$80="Till 2029",'FGD Input'!X62,IFERROR(HLOOKUP(X83,'FGD Input'!$D$54:$CG$57,4,FALSE),0))</f>
        <v>0.03</v>
      </c>
      <c r="Y85" s="124">
        <f>IF(Assumption!$K$80="Till 2029",'FGD Input'!Y62,IFERROR(HLOOKUP(Y83,'FGD Input'!$D$54:$CG$57,4,FALSE),0))</f>
        <v>0.03</v>
      </c>
      <c r="Z85" s="124">
        <f>IF(Assumption!$K$80="Till 2029",'FGD Input'!Z62,IFERROR(HLOOKUP(Z83,'FGD Input'!$D$54:$CG$57,4,FALSE),0))</f>
        <v>0.03</v>
      </c>
      <c r="AA85" s="124">
        <f>IF(Assumption!$K$80="Till 2029",'FGD Input'!AA62,IFERROR(HLOOKUP(AA83,'FGD Input'!$D$54:$CG$57,4,FALSE),0))</f>
        <v>0.03</v>
      </c>
      <c r="AB85" s="124">
        <f>IF(Assumption!$K$80="Till 2029",'FGD Input'!AB62,IFERROR(HLOOKUP(AB83,'FGD Input'!$D$54:$CG$57,4,FALSE),0))</f>
        <v>0.03</v>
      </c>
      <c r="AC85" s="124">
        <f>IF(Assumption!$K$80="Till 2029",'FGD Input'!AC62,IFERROR(HLOOKUP(AC83,'FGD Input'!$D$54:$CG$57,4,FALSE),0))</f>
        <v>0.03</v>
      </c>
      <c r="AD85" s="124">
        <f>IF(Assumption!$K$80="Till 2029",'FGD Input'!AD62,IFERROR(HLOOKUP(AD83,'FGD Input'!$D$54:$CG$57,4,FALSE),0))</f>
        <v>0.03</v>
      </c>
      <c r="AE85" s="124">
        <f>IF(Assumption!$K$80="Till 2029",'FGD Input'!AE62,IFERROR(HLOOKUP(AE83,'FGD Input'!$D$54:$CG$57,4,FALSE),0))</f>
        <v>0.03</v>
      </c>
      <c r="AF85" s="124">
        <f>IF(Assumption!$K$80="Till 2029",'FGD Input'!AF62,IFERROR(HLOOKUP(AF83,'FGD Input'!$D$54:$CG$57,4,FALSE),0))</f>
        <v>0.03</v>
      </c>
      <c r="AG85" s="124">
        <f>IF(Assumption!$K$80="Till 2029",'FGD Input'!AG62,IFERROR(HLOOKUP(AG83,'FGD Input'!$D$54:$CG$57,4,FALSE),0))</f>
        <v>0.01</v>
      </c>
      <c r="AH85" s="124">
        <f>IF(Assumption!$K$80="Till 2029",'FGD Input'!AH62,IFERROR(HLOOKUP(AH83,'FGD Input'!$D$54:$CG$57,4,FALSE),0))</f>
        <v>0.01</v>
      </c>
      <c r="AI85" s="124">
        <f>IF(Assumption!$K$80="Till 2029",'FGD Input'!AI62,IFERROR(HLOOKUP(AI83,'FGD Input'!$D$54:$CG$57,4,FALSE),0))</f>
        <v>0.01</v>
      </c>
      <c r="AJ85" s="124">
        <f>IF(Assumption!$K$80="Till 2029",'FGD Input'!AJ62,IFERROR(HLOOKUP(AJ83,'FGD Input'!$D$54:$CG$57,4,FALSE),0))</f>
        <v>0.01</v>
      </c>
      <c r="AK85" s="124">
        <f>IF(Assumption!$K$80="Till 2029",'FGD Input'!AK62,IFERROR(HLOOKUP(AK83,'FGD Input'!$D$54:$CG$57,4,FALSE),0))</f>
        <v>0.01</v>
      </c>
      <c r="AL85" s="124">
        <f>IF(Assumption!$K$80="Till 2029",'FGD Input'!AL62,IFERROR(HLOOKUP(AL83,'FGD Input'!$D$54:$CG$57,4,FALSE),0))</f>
        <v>0.01</v>
      </c>
      <c r="AM85" s="124">
        <f>IF(Assumption!$K$80="Till 2029",'FGD Input'!AM62,IFERROR(HLOOKUP(AM83,'FGD Input'!$D$54:$CG$57,4,FALSE),0))</f>
        <v>0.01</v>
      </c>
      <c r="AN85" s="124">
        <f>IF(Assumption!$K$80="Till 2029",'FGD Input'!AN62,IFERROR(HLOOKUP(AN83,'FGD Input'!$D$54:$CG$57,4,FALSE),0))</f>
        <v>0.01</v>
      </c>
      <c r="AO85" s="124">
        <f>IF(Assumption!$K$80="Till 2029",'FGD Input'!AO62,IFERROR(HLOOKUP(AO83,'FGD Input'!$D$54:$CG$57,4,FALSE),0))</f>
        <v>0.01</v>
      </c>
      <c r="AP85" s="124">
        <f>IF(Assumption!$K$80="Till 2029",'FGD Input'!AP62,IFERROR(HLOOKUP(AP83,'FGD Input'!$D$54:$CG$57,4,FALSE),0))</f>
        <v>0.01</v>
      </c>
      <c r="AQ85" s="124">
        <f>IF(Assumption!$K$80="Till 2029",'FGD Input'!AQ62,IFERROR(HLOOKUP(AQ83,'FGD Input'!$D$54:$CG$57,4,FALSE),0))</f>
        <v>0.01</v>
      </c>
      <c r="AR85" s="124">
        <f>IF(Assumption!$K$80="Till 2029",'FGD Input'!AR62,IFERROR(HLOOKUP(AR83,'FGD Input'!$D$54:$CG$57,4,FALSE),0))</f>
        <v>0.01</v>
      </c>
      <c r="AS85" s="124">
        <f>IF(Assumption!$K$80="Till 2029",'FGD Input'!AS62,IFERROR(HLOOKUP(AS83,'FGD Input'!$D$54:$CG$57,4,FALSE),0))</f>
        <v>0.02</v>
      </c>
      <c r="AT85" s="124">
        <f>IF(Assumption!$K$80="Till 2029",'FGD Input'!AT62,IFERROR(HLOOKUP(AT83,'FGD Input'!$D$54:$CG$57,4,FALSE),0))</f>
        <v>0.02</v>
      </c>
      <c r="AU85" s="124">
        <f>IF(Assumption!$K$80="Till 2029",'FGD Input'!AU62,IFERROR(HLOOKUP(AU83,'FGD Input'!$D$54:$CG$57,4,FALSE),0))</f>
        <v>0.02</v>
      </c>
      <c r="AV85" s="124">
        <f>IF(Assumption!$K$80="Till 2029",'FGD Input'!AV62,IFERROR(HLOOKUP(AV83,'FGD Input'!$D$54:$CG$57,4,FALSE),0))</f>
        <v>0.02</v>
      </c>
      <c r="AW85" s="124">
        <f>IF(Assumption!$K$80="Till 2029",'FGD Input'!AW62,IFERROR(HLOOKUP(AW83,'FGD Input'!$D$54:$CG$57,4,FALSE),0))</f>
        <v>0.02</v>
      </c>
      <c r="AX85" s="124">
        <f>IF(Assumption!$K$80="Till 2029",'FGD Input'!AX62,IFERROR(HLOOKUP(AX83,'FGD Input'!$D$54:$CG$57,4,FALSE),0))</f>
        <v>0.02</v>
      </c>
      <c r="AY85" s="124">
        <f>IF(Assumption!$K$80="Till 2029",'FGD Input'!AY62,IFERROR(HLOOKUP(AY83,'FGD Input'!$D$54:$CG$57,4,FALSE),0))</f>
        <v>0.02</v>
      </c>
      <c r="AZ85" s="124">
        <f>IF(Assumption!$K$80="Till 2029",'FGD Input'!AZ62,IFERROR(HLOOKUP(AZ83,'FGD Input'!$D$54:$CG$57,4,FALSE),0))</f>
        <v>0.02</v>
      </c>
      <c r="BA85" s="124">
        <v>0.01</v>
      </c>
      <c r="BB85" s="501">
        <v>0.01</v>
      </c>
      <c r="BC85" s="508">
        <f>IF(Assumption!$K$80="Till 2036",'FGD Input'!BC62,IFERROR(HLOOKUP(BC83,'FGD Input'!$D$54:$CG$56,3,FALSE),0))</f>
        <v>0</v>
      </c>
      <c r="BD85" s="508">
        <f>IF(Assumption!$K$80="Till 2036",'FGD Input'!BD62,IFERROR(HLOOKUP(BD83,'FGD Input'!$D$54:$CG$56,3,FALSE),0))</f>
        <v>0</v>
      </c>
      <c r="BE85" s="508">
        <f>IF(Assumption!$K$80="Till 2036",'FGD Input'!BE62,IFERROR(HLOOKUP(BE83,'FGD Input'!$D$54:$CG$56,3,FALSE),0))</f>
        <v>0</v>
      </c>
      <c r="BF85" s="508">
        <f>IF(Assumption!$K$80="Till 2036",'FGD Input'!BF62,IFERROR(HLOOKUP(BF83,'FGD Input'!$D$54:$CG$56,3,FALSE),0))</f>
        <v>0</v>
      </c>
      <c r="BG85" s="508">
        <f>IF(Assumption!$K$80="Till 2036",'FGD Input'!BG62,IFERROR(HLOOKUP(BG83,'FGD Input'!$D$54:$CG$56,3,FALSE),0))</f>
        <v>0</v>
      </c>
      <c r="BH85" s="508">
        <f>IF(Assumption!$K$80="Till 2036",'FGD Input'!BH62,IFERROR(HLOOKUP(BH83,'FGD Input'!$D$54:$CG$56,3,FALSE),0))</f>
        <v>0</v>
      </c>
      <c r="BI85" s="508">
        <f>IF(Assumption!$K$80="Till 2036",'FGD Input'!BI62,IFERROR(HLOOKUP(BI83,'FGD Input'!$D$54:$CG$56,3,FALSE),0))</f>
        <v>0</v>
      </c>
      <c r="BJ85" s="508">
        <f>IF(Assumption!$K$80="Till 2036",'FGD Input'!BJ62,IFERROR(HLOOKUP(BJ83,'FGD Input'!$D$54:$CG$56,3,FALSE),0))</f>
        <v>0</v>
      </c>
      <c r="BK85" s="508">
        <f>IF(Assumption!$K$80="Till 2036",'FGD Input'!BK62,IFERROR(HLOOKUP(BK83,'FGD Input'!$D$54:$CG$56,3,FALSE),0))</f>
        <v>0</v>
      </c>
      <c r="BL85" s="508">
        <f>IF(Assumption!$K$80="Till 2036",'FGD Input'!BL62,IFERROR(HLOOKUP(BL83,'FGD Input'!$D$54:$CG$56,3,FALSE),0))</f>
        <v>0</v>
      </c>
      <c r="BM85" s="508">
        <f>IF(Assumption!$K$80="Till 2036",'FGD Input'!BM62,IFERROR(HLOOKUP(BM83,'FGD Input'!$D$54:$CG$56,3,FALSE),0))</f>
        <v>0</v>
      </c>
      <c r="BN85" s="508">
        <f>IF(Assumption!$K$80="Till 2036",'FGD Input'!BN62,IFERROR(HLOOKUP(BN83,'FGD Input'!$D$54:$CG$56,3,FALSE),0))</f>
        <v>0</v>
      </c>
      <c r="BO85" s="508">
        <f>IF(Assumption!$K$80="Till 2036",'FGD Input'!BO62,IFERROR(HLOOKUP(BO83,'FGD Input'!$D$54:$CG$56,3,FALSE),0))</f>
        <v>0</v>
      </c>
      <c r="BP85" s="508">
        <f>IF(Assumption!$K$80="Till 2036",'FGD Input'!BP62,IFERROR(HLOOKUP(BP83,'FGD Input'!$D$54:$CG$56,3,FALSE),0))</f>
        <v>0</v>
      </c>
      <c r="BQ85" s="508">
        <f>IF(Assumption!$K$80="Till 2036",'FGD Input'!BQ62,IFERROR(HLOOKUP(BQ83,'FGD Input'!$D$54:$CG$56,3,FALSE),0))</f>
        <v>0</v>
      </c>
      <c r="BR85" s="508">
        <f>IF(Assumption!$K$80="Till 2036",'FGD Input'!BR62,IFERROR(HLOOKUP(BR83,'FGD Input'!$D$54:$CG$56,3,FALSE),0))</f>
        <v>0</v>
      </c>
      <c r="BS85" s="508">
        <f>IF(Assumption!$K$80="Till 2036",'FGD Input'!BS62,IFERROR(HLOOKUP(BS83,'FGD Input'!$D$54:$CG$56,3,FALSE),0))</f>
        <v>0</v>
      </c>
      <c r="BT85" s="508">
        <f>IF(Assumption!$K$80="Till 2036",'FGD Input'!BT62,IFERROR(HLOOKUP(BT83,'FGD Input'!$D$54:$CG$56,3,FALSE),0))</f>
        <v>0</v>
      </c>
      <c r="BU85" s="508">
        <f>IF(Assumption!$K$80="Till 2036",'FGD Input'!BU62,IFERROR(HLOOKUP(BU83,'FGD Input'!$D$54:$CG$56,3,FALSE),0))</f>
        <v>0</v>
      </c>
      <c r="BV85" s="508">
        <f>IF(Assumption!$K$80="Till 2036",'FGD Input'!BV62,IFERROR(HLOOKUP(BV83,'FGD Input'!$D$54:$CG$56,3,FALSE),0))</f>
        <v>0</v>
      </c>
      <c r="BW85" s="508">
        <f>IF(Assumption!$K$80="Till 2036",'FGD Input'!BW62,IFERROR(HLOOKUP(BW83,'FGD Input'!$D$54:$CG$56,3,FALSE),0))</f>
        <v>0</v>
      </c>
      <c r="BX85" s="508">
        <f>IF(Assumption!$K$80="Till 2036",'FGD Input'!BX62,IFERROR(HLOOKUP(BX83,'FGD Input'!$D$54:$CG$56,3,FALSE),0))</f>
        <v>0</v>
      </c>
      <c r="BY85" s="508">
        <f>IF(Assumption!$K$80="Till 2036",'FGD Input'!BY62,IFERROR(HLOOKUP(BY83,'FGD Input'!$D$54:$CG$56,3,FALSE),0))</f>
        <v>0</v>
      </c>
      <c r="BZ85" s="508">
        <f>IF(Assumption!$K$80="Till 2036",'FGD Input'!BZ62,IFERROR(HLOOKUP(BZ83,'FGD Input'!$D$54:$CG$56,3,FALSE),0))</f>
        <v>0</v>
      </c>
      <c r="CA85" s="508">
        <f>IF(Assumption!$K$80="Till 2036",'FGD Input'!CA62,IFERROR(HLOOKUP(CA83,'FGD Input'!$D$54:$CG$56,3,FALSE),0))</f>
        <v>0</v>
      </c>
      <c r="CB85" s="508">
        <f>IF(Assumption!$K$80="Till 2036",'FGD Input'!CB62,IFERROR(HLOOKUP(CB83,'FGD Input'!$D$54:$CG$56,3,FALSE),0))</f>
        <v>0</v>
      </c>
      <c r="CC85" s="508">
        <f>IF(Assumption!$K$80="Till 2036",'FGD Input'!CC62,IFERROR(HLOOKUP(CC83,'FGD Input'!$D$54:$CG$56,3,FALSE),0))</f>
        <v>0</v>
      </c>
      <c r="CD85" s="508">
        <f>IF(Assumption!$K$80="Till 2036",'FGD Input'!CD62,IFERROR(HLOOKUP(CD83,'FGD Input'!$D$54:$CG$56,3,FALSE),0))</f>
        <v>0</v>
      </c>
      <c r="CE85" s="508">
        <f>IF(Assumption!$K$80="Till 2036",'FGD Input'!CE62,IFERROR(HLOOKUP(CE83,'FGD Input'!$D$54:$CG$56,3,FALSE),0))</f>
        <v>0</v>
      </c>
      <c r="CF85" s="508">
        <f>IF(Assumption!$K$80="Till 2036",'FGD Input'!CF62,IFERROR(HLOOKUP(CF83,'FGD Input'!$D$54:$CG$56,3,FALSE),0))</f>
        <v>0</v>
      </c>
      <c r="CG85" s="508">
        <f>IF(Assumption!$K$80="Till 2036",'FGD Input'!CG62,IFERROR(HLOOKUP(CG83,'FGD Input'!$D$54:$CG$56,3,FALSE),0))</f>
        <v>0</v>
      </c>
      <c r="CH85" s="508">
        <f>IF(Assumption!$K$80="Till 2036",'FGD Input'!CH62,IFERROR(HLOOKUP(CH83,'FGD Input'!$D$54:$CG$56,3,FALSE),0))</f>
        <v>0</v>
      </c>
      <c r="CI85" s="508">
        <f>IF(Assumption!$K$80="Till 2036",'FGD Input'!CI62,IFERROR(HLOOKUP(CI83,'FGD Input'!$D$54:$CG$56,3,FALSE),0))</f>
        <v>0</v>
      </c>
      <c r="CJ85" s="508">
        <f>IF(Assumption!$K$80="Till 2036",'FGD Input'!CJ62,IFERROR(HLOOKUP(CJ83,'FGD Input'!$D$54:$CG$56,3,FALSE),0))</f>
        <v>0</v>
      </c>
      <c r="CK85" s="508">
        <f>IF(Assumption!$K$80="Till 2036",'FGD Input'!CK62,IFERROR(HLOOKUP(CK83,'FGD Input'!$D$54:$CG$56,3,FALSE),0))</f>
        <v>0</v>
      </c>
      <c r="CL85" s="508">
        <f>IF(Assumption!$K$80="Till 2036",'FGD Input'!CL62,IFERROR(HLOOKUP(CL83,'FGD Input'!$D$54:$CG$56,3,FALSE),0))</f>
        <v>0</v>
      </c>
      <c r="CM85" s="508">
        <f>IF(Assumption!$K$80="Till 2036",'FGD Input'!CM62,IFERROR(HLOOKUP(CM83,'FGD Input'!$D$54:$CG$56,3,FALSE),0))</f>
        <v>0</v>
      </c>
      <c r="CN85" s="508">
        <f>IF(Assumption!$K$80="Till 2036",'FGD Input'!CN62,IFERROR(HLOOKUP(CN83,'FGD Input'!$D$54:$CG$56,3,FALSE),0))</f>
        <v>0</v>
      </c>
      <c r="CO85" s="508">
        <f>IF(Assumption!$K$80="Till 2036",'FGD Input'!CO62,IFERROR(HLOOKUP(CO83,'FGD Input'!$D$54:$CG$56,3,FALSE),0))</f>
        <v>0</v>
      </c>
      <c r="CP85" s="508">
        <f>IF(Assumption!$K$80="Till 2036",'FGD Input'!CP62,IFERROR(HLOOKUP(CP83,'FGD Input'!$D$54:$CG$56,3,FALSE),0))</f>
        <v>0</v>
      </c>
      <c r="CQ85" s="508">
        <f>IF(Assumption!$K$80="Till 2036",'FGD Input'!CQ62,IFERROR(HLOOKUP(CQ83,'FGD Input'!$D$54:$CG$56,3,FALSE),0))</f>
        <v>0</v>
      </c>
      <c r="CR85" s="508">
        <f>IF(Assumption!$K$80="Till 2036",'FGD Input'!CR62,IFERROR(HLOOKUP(CR83,'FGD Input'!$D$54:$CG$56,3,FALSE),0))</f>
        <v>0</v>
      </c>
      <c r="CS85" s="508">
        <f>IF(Assumption!$K$80="Till 2036",'FGD Input'!CS62,IFERROR(HLOOKUP(CS83,'FGD Input'!$D$54:$CG$56,3,FALSE),0))</f>
        <v>0</v>
      </c>
      <c r="CT85" s="508">
        <f>IF(Assumption!$K$80="Till 2036",'FGD Input'!CT62,IFERROR(HLOOKUP(CT83,'FGD Input'!$D$54:$CG$56,3,FALSE),0))</f>
        <v>0</v>
      </c>
      <c r="CU85" s="508">
        <f>IF(Assumption!$K$80="Till 2036",'FGD Input'!CU62,IFERROR(HLOOKUP(CU83,'FGD Input'!$D$54:$CG$56,3,FALSE),0))</f>
        <v>0</v>
      </c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</row>
    <row r="86" spans="1:159" s="1" customFormat="1">
      <c r="A86" s="62" t="s">
        <v>645</v>
      </c>
      <c r="B86" s="62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</row>
    <row r="87" spans="1:159" s="1" customFormat="1">
      <c r="A87" s="62" t="s">
        <v>116</v>
      </c>
      <c r="B87" s="62"/>
      <c r="C87" s="116"/>
      <c r="D87" s="116">
        <f ca="1">B85</f>
        <v>279.95237222632204</v>
      </c>
      <c r="E87" s="116">
        <f ca="1">D90</f>
        <v>274.35332478179561</v>
      </c>
      <c r="F87" s="116">
        <f t="shared" ref="F87:BQ87" ca="1" si="48">E90</f>
        <v>268.75427733726917</v>
      </c>
      <c r="G87" s="116">
        <f t="shared" ca="1" si="48"/>
        <v>263.15522989274274</v>
      </c>
      <c r="H87" s="116">
        <f t="shared" ca="1" si="48"/>
        <v>257.5561824482163</v>
      </c>
      <c r="I87" s="116">
        <f t="shared" ca="1" si="48"/>
        <v>251.95713500368987</v>
      </c>
      <c r="J87" s="116">
        <f t="shared" ca="1" si="48"/>
        <v>246.35808755916344</v>
      </c>
      <c r="K87" s="116">
        <f t="shared" ca="1" si="48"/>
        <v>240.759040114637</v>
      </c>
      <c r="L87" s="116">
        <f t="shared" ca="1" si="48"/>
        <v>235.15999267011057</v>
      </c>
      <c r="M87" s="116">
        <f t="shared" ca="1" si="48"/>
        <v>229.56094522558413</v>
      </c>
      <c r="N87" s="116">
        <f t="shared" ca="1" si="48"/>
        <v>223.9618977810577</v>
      </c>
      <c r="O87" s="116">
        <f t="shared" ca="1" si="48"/>
        <v>218.36285033653127</v>
      </c>
      <c r="P87" s="116">
        <f t="shared" ca="1" si="48"/>
        <v>212.76380289200483</v>
      </c>
      <c r="Q87" s="116">
        <f t="shared" ca="1" si="48"/>
        <v>207.1647554474784</v>
      </c>
      <c r="R87" s="116">
        <f t="shared" ca="1" si="48"/>
        <v>201.56570800295196</v>
      </c>
      <c r="S87" s="116">
        <f t="shared" ca="1" si="48"/>
        <v>195.96666055842553</v>
      </c>
      <c r="T87" s="116">
        <f t="shared" ca="1" si="48"/>
        <v>190.3676131138991</v>
      </c>
      <c r="U87" s="116">
        <f t="shared" ca="1" si="48"/>
        <v>184.76856566937266</v>
      </c>
      <c r="V87" s="116">
        <f t="shared" ca="1" si="48"/>
        <v>176.36999450258301</v>
      </c>
      <c r="W87" s="116">
        <f t="shared" ca="1" si="48"/>
        <v>167.97142333579336</v>
      </c>
      <c r="X87" s="116">
        <f t="shared" ca="1" si="48"/>
        <v>159.57285216900371</v>
      </c>
      <c r="Y87" s="116">
        <f t="shared" ca="1" si="48"/>
        <v>151.17428100221406</v>
      </c>
      <c r="Z87" s="116">
        <f t="shared" ca="1" si="48"/>
        <v>142.77570983542441</v>
      </c>
      <c r="AA87" s="116">
        <f t="shared" ca="1" si="48"/>
        <v>134.37713866863476</v>
      </c>
      <c r="AB87" s="116">
        <f t="shared" ca="1" si="48"/>
        <v>125.97856750184509</v>
      </c>
      <c r="AC87" s="116">
        <f t="shared" ca="1" si="48"/>
        <v>117.57999633505543</v>
      </c>
      <c r="AD87" s="116">
        <f t="shared" ca="1" si="48"/>
        <v>109.18142516826576</v>
      </c>
      <c r="AE87" s="116">
        <f t="shared" ca="1" si="48"/>
        <v>100.7828540014761</v>
      </c>
      <c r="AF87" s="116">
        <f t="shared" ca="1" si="48"/>
        <v>92.384282834686431</v>
      </c>
      <c r="AG87" s="116">
        <f t="shared" ca="1" si="48"/>
        <v>83.985711667896766</v>
      </c>
      <c r="AH87" s="116">
        <f t="shared" ca="1" si="48"/>
        <v>81.186187945633549</v>
      </c>
      <c r="AI87" s="116">
        <f t="shared" ca="1" si="48"/>
        <v>78.386664223370332</v>
      </c>
      <c r="AJ87" s="116">
        <f t="shared" ca="1" si="48"/>
        <v>75.587140501107115</v>
      </c>
      <c r="AK87" s="116">
        <f t="shared" ca="1" si="48"/>
        <v>72.787616778843898</v>
      </c>
      <c r="AL87" s="116">
        <f t="shared" ca="1" si="48"/>
        <v>69.988093056580681</v>
      </c>
      <c r="AM87" s="116">
        <f t="shared" ca="1" si="48"/>
        <v>67.188569334317464</v>
      </c>
      <c r="AN87" s="116">
        <f t="shared" ca="1" si="48"/>
        <v>64.389045612054247</v>
      </c>
      <c r="AO87" s="116">
        <f t="shared" ca="1" si="48"/>
        <v>61.58952188979103</v>
      </c>
      <c r="AP87" s="116">
        <f t="shared" ca="1" si="48"/>
        <v>58.789998167527813</v>
      </c>
      <c r="AQ87" s="116">
        <f t="shared" ca="1" si="48"/>
        <v>55.990474445264596</v>
      </c>
      <c r="AR87" s="116">
        <f t="shared" ca="1" si="48"/>
        <v>53.190950723001379</v>
      </c>
      <c r="AS87" s="116">
        <f t="shared" ca="1" si="48"/>
        <v>50.391427000738162</v>
      </c>
      <c r="AT87" s="116">
        <f t="shared" ca="1" si="48"/>
        <v>44.792379556211721</v>
      </c>
      <c r="AU87" s="116">
        <f t="shared" ca="1" si="48"/>
        <v>39.19333211168528</v>
      </c>
      <c r="AV87" s="116">
        <f t="shared" ca="1" si="48"/>
        <v>33.594284667158838</v>
      </c>
      <c r="AW87" s="116">
        <f t="shared" ca="1" si="48"/>
        <v>27.995237222632397</v>
      </c>
      <c r="AX87" s="116">
        <f t="shared" ca="1" si="48"/>
        <v>22.396189778105956</v>
      </c>
      <c r="AY87" s="116">
        <f t="shared" ca="1" si="48"/>
        <v>16.797142333579515</v>
      </c>
      <c r="AZ87" s="116">
        <f t="shared" ca="1" si="48"/>
        <v>11.198094889053074</v>
      </c>
      <c r="BA87" s="116">
        <f t="shared" ca="1" si="48"/>
        <v>5.5990474445266329</v>
      </c>
      <c r="BB87" s="116">
        <f t="shared" ca="1" si="48"/>
        <v>2.7995237222634124</v>
      </c>
      <c r="BC87" s="116">
        <f t="shared" ca="1" si="48"/>
        <v>1.9184653865522705E-13</v>
      </c>
      <c r="BD87" s="116">
        <f t="shared" ca="1" si="48"/>
        <v>1.9184653865522705E-13</v>
      </c>
      <c r="BE87" s="116">
        <f t="shared" ca="1" si="48"/>
        <v>1.9184653865522705E-13</v>
      </c>
      <c r="BF87" s="116">
        <f t="shared" ca="1" si="48"/>
        <v>1.9184653865522705E-13</v>
      </c>
      <c r="BG87" s="116">
        <f t="shared" ca="1" si="48"/>
        <v>1.9184653865522705E-13</v>
      </c>
      <c r="BH87" s="116">
        <f t="shared" ca="1" si="48"/>
        <v>1.9184653865522705E-13</v>
      </c>
      <c r="BI87" s="116">
        <f t="shared" ca="1" si="48"/>
        <v>1.9184653865522705E-13</v>
      </c>
      <c r="BJ87" s="116">
        <f t="shared" ca="1" si="48"/>
        <v>1.9184653865522705E-13</v>
      </c>
      <c r="BK87" s="116">
        <f t="shared" ca="1" si="48"/>
        <v>1.9184653865522705E-13</v>
      </c>
      <c r="BL87" s="116">
        <f t="shared" ca="1" si="48"/>
        <v>1.9184653865522705E-13</v>
      </c>
      <c r="BM87" s="116">
        <f t="shared" ca="1" si="48"/>
        <v>1.9184653865522705E-13</v>
      </c>
      <c r="BN87" s="116">
        <f t="shared" ca="1" si="48"/>
        <v>1.9184653865522705E-13</v>
      </c>
      <c r="BO87" s="116">
        <f t="shared" ca="1" si="48"/>
        <v>1.9184653865522705E-13</v>
      </c>
      <c r="BP87" s="116">
        <f t="shared" ca="1" si="48"/>
        <v>1.9184653865522705E-13</v>
      </c>
      <c r="BQ87" s="116">
        <f t="shared" ca="1" si="48"/>
        <v>1.9184653865522705E-13</v>
      </c>
      <c r="BR87" s="116">
        <f t="shared" ref="BR87" ca="1" si="49">BQ90</f>
        <v>1.9184653865522705E-13</v>
      </c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</row>
    <row r="88" spans="1:159" s="1" customFormat="1">
      <c r="A88" s="62" t="s">
        <v>117</v>
      </c>
      <c r="B88" s="62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</row>
    <row r="89" spans="1:159" s="1" customFormat="1">
      <c r="A89" s="62" t="s">
        <v>118</v>
      </c>
      <c r="B89" s="62"/>
      <c r="C89" s="116"/>
      <c r="D89" s="116">
        <f ca="1">$B$85*D85</f>
        <v>5.5990474445264411</v>
      </c>
      <c r="E89" s="116">
        <f t="shared" ref="E89:BP89" ca="1" si="50">$B$85*E85</f>
        <v>5.5990474445264411</v>
      </c>
      <c r="F89" s="116">
        <f t="shared" ca="1" si="50"/>
        <v>5.5990474445264411</v>
      </c>
      <c r="G89" s="116">
        <f t="shared" ca="1" si="50"/>
        <v>5.5990474445264411</v>
      </c>
      <c r="H89" s="116">
        <f t="shared" ca="1" si="50"/>
        <v>5.5990474445264411</v>
      </c>
      <c r="I89" s="116">
        <f t="shared" ca="1" si="50"/>
        <v>5.5990474445264411</v>
      </c>
      <c r="J89" s="116">
        <f t="shared" ca="1" si="50"/>
        <v>5.5990474445264411</v>
      </c>
      <c r="K89" s="116">
        <f t="shared" ca="1" si="50"/>
        <v>5.5990474445264411</v>
      </c>
      <c r="L89" s="116">
        <f t="shared" ca="1" si="50"/>
        <v>5.5990474445264411</v>
      </c>
      <c r="M89" s="116">
        <f t="shared" ca="1" si="50"/>
        <v>5.5990474445264411</v>
      </c>
      <c r="N89" s="116">
        <f t="shared" ca="1" si="50"/>
        <v>5.5990474445264411</v>
      </c>
      <c r="O89" s="116">
        <f t="shared" ca="1" si="50"/>
        <v>5.5990474445264411</v>
      </c>
      <c r="P89" s="116">
        <f t="shared" ca="1" si="50"/>
        <v>5.5990474445264411</v>
      </c>
      <c r="Q89" s="116">
        <f t="shared" ca="1" si="50"/>
        <v>5.5990474445264411</v>
      </c>
      <c r="R89" s="116">
        <f t="shared" ca="1" si="50"/>
        <v>5.5990474445264411</v>
      </c>
      <c r="S89" s="116">
        <f t="shared" ca="1" si="50"/>
        <v>5.5990474445264411</v>
      </c>
      <c r="T89" s="116">
        <f t="shared" ca="1" si="50"/>
        <v>5.5990474445264411</v>
      </c>
      <c r="U89" s="116">
        <f t="shared" ca="1" si="50"/>
        <v>8.3985711667896616</v>
      </c>
      <c r="V89" s="116">
        <f t="shared" ca="1" si="50"/>
        <v>8.3985711667896616</v>
      </c>
      <c r="W89" s="116">
        <f t="shared" ca="1" si="50"/>
        <v>8.3985711667896616</v>
      </c>
      <c r="X89" s="116">
        <f t="shared" ca="1" si="50"/>
        <v>8.3985711667896616</v>
      </c>
      <c r="Y89" s="116">
        <f t="shared" ca="1" si="50"/>
        <v>8.3985711667896616</v>
      </c>
      <c r="Z89" s="116">
        <f t="shared" ca="1" si="50"/>
        <v>8.3985711667896616</v>
      </c>
      <c r="AA89" s="116">
        <f t="shared" ca="1" si="50"/>
        <v>8.3985711667896616</v>
      </c>
      <c r="AB89" s="116">
        <f t="shared" ca="1" si="50"/>
        <v>8.3985711667896616</v>
      </c>
      <c r="AC89" s="116">
        <f t="shared" ca="1" si="50"/>
        <v>8.3985711667896616</v>
      </c>
      <c r="AD89" s="116">
        <f t="shared" ca="1" si="50"/>
        <v>8.3985711667896616</v>
      </c>
      <c r="AE89" s="116">
        <f t="shared" ca="1" si="50"/>
        <v>8.3985711667896616</v>
      </c>
      <c r="AF89" s="116">
        <f t="shared" ca="1" si="50"/>
        <v>8.3985711667896616</v>
      </c>
      <c r="AG89" s="116">
        <f t="shared" ca="1" si="50"/>
        <v>2.7995237222632205</v>
      </c>
      <c r="AH89" s="116">
        <f t="shared" ca="1" si="50"/>
        <v>2.7995237222632205</v>
      </c>
      <c r="AI89" s="116">
        <f t="shared" ca="1" si="50"/>
        <v>2.7995237222632205</v>
      </c>
      <c r="AJ89" s="116">
        <f t="shared" ca="1" si="50"/>
        <v>2.7995237222632205</v>
      </c>
      <c r="AK89" s="116">
        <f t="shared" ca="1" si="50"/>
        <v>2.7995237222632205</v>
      </c>
      <c r="AL89" s="116">
        <f t="shared" ca="1" si="50"/>
        <v>2.7995237222632205</v>
      </c>
      <c r="AM89" s="116">
        <f t="shared" ca="1" si="50"/>
        <v>2.7995237222632205</v>
      </c>
      <c r="AN89" s="116">
        <f t="shared" ca="1" si="50"/>
        <v>2.7995237222632205</v>
      </c>
      <c r="AO89" s="116">
        <f t="shared" ca="1" si="50"/>
        <v>2.7995237222632205</v>
      </c>
      <c r="AP89" s="116">
        <f t="shared" ca="1" si="50"/>
        <v>2.7995237222632205</v>
      </c>
      <c r="AQ89" s="116">
        <f t="shared" ca="1" si="50"/>
        <v>2.7995237222632205</v>
      </c>
      <c r="AR89" s="116">
        <f t="shared" ca="1" si="50"/>
        <v>2.7995237222632205</v>
      </c>
      <c r="AS89" s="116">
        <f t="shared" ca="1" si="50"/>
        <v>5.5990474445264411</v>
      </c>
      <c r="AT89" s="116">
        <f t="shared" ca="1" si="50"/>
        <v>5.5990474445264411</v>
      </c>
      <c r="AU89" s="116">
        <f t="shared" ca="1" si="50"/>
        <v>5.5990474445264411</v>
      </c>
      <c r="AV89" s="116">
        <f t="shared" ca="1" si="50"/>
        <v>5.5990474445264411</v>
      </c>
      <c r="AW89" s="116">
        <f t="shared" ca="1" si="50"/>
        <v>5.5990474445264411</v>
      </c>
      <c r="AX89" s="116">
        <f t="shared" ca="1" si="50"/>
        <v>5.5990474445264411</v>
      </c>
      <c r="AY89" s="116">
        <f t="shared" ca="1" si="50"/>
        <v>5.5990474445264411</v>
      </c>
      <c r="AZ89" s="116">
        <f t="shared" ca="1" si="50"/>
        <v>5.5990474445264411</v>
      </c>
      <c r="BA89" s="116">
        <f t="shared" ca="1" si="50"/>
        <v>2.7995237222632205</v>
      </c>
      <c r="BB89" s="116">
        <f t="shared" ca="1" si="50"/>
        <v>2.7995237222632205</v>
      </c>
      <c r="BC89" s="112">
        <f t="shared" ca="1" si="50"/>
        <v>0</v>
      </c>
      <c r="BD89" s="112">
        <f t="shared" ca="1" si="50"/>
        <v>0</v>
      </c>
      <c r="BE89" s="116">
        <f t="shared" ca="1" si="50"/>
        <v>0</v>
      </c>
      <c r="BF89" s="116">
        <f t="shared" ca="1" si="50"/>
        <v>0</v>
      </c>
      <c r="BG89" s="116">
        <f t="shared" ca="1" si="50"/>
        <v>0</v>
      </c>
      <c r="BH89" s="116">
        <f t="shared" ca="1" si="50"/>
        <v>0</v>
      </c>
      <c r="BI89" s="116">
        <f t="shared" ca="1" si="50"/>
        <v>0</v>
      </c>
      <c r="BJ89" s="116">
        <f t="shared" ca="1" si="50"/>
        <v>0</v>
      </c>
      <c r="BK89" s="116">
        <f t="shared" ca="1" si="50"/>
        <v>0</v>
      </c>
      <c r="BL89" s="116">
        <f t="shared" ca="1" si="50"/>
        <v>0</v>
      </c>
      <c r="BM89" s="116">
        <f t="shared" ca="1" si="50"/>
        <v>0</v>
      </c>
      <c r="BN89" s="116">
        <f t="shared" ca="1" si="50"/>
        <v>0</v>
      </c>
      <c r="BO89" s="116">
        <f t="shared" ca="1" si="50"/>
        <v>0</v>
      </c>
      <c r="BP89" s="116">
        <f t="shared" ca="1" si="50"/>
        <v>0</v>
      </c>
      <c r="BQ89" s="116">
        <f t="shared" ref="BQ89:BR89" ca="1" si="51">$B$85*BQ85</f>
        <v>0</v>
      </c>
      <c r="BR89" s="116">
        <f t="shared" ca="1" si="51"/>
        <v>0</v>
      </c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</row>
    <row r="90" spans="1:159" s="4" customFormat="1" ht="15.75" thickBot="1">
      <c r="A90" s="71" t="s">
        <v>119</v>
      </c>
      <c r="B90" s="125"/>
      <c r="C90" s="125"/>
      <c r="D90" s="125">
        <f ca="1">D87+D88-D89</f>
        <v>274.35332478179561</v>
      </c>
      <c r="E90" s="125">
        <f t="shared" ref="E90:BP90" ca="1" si="52">E87+E88-E89</f>
        <v>268.75427733726917</v>
      </c>
      <c r="F90" s="125">
        <f t="shared" ca="1" si="52"/>
        <v>263.15522989274274</v>
      </c>
      <c r="G90" s="125">
        <f t="shared" ca="1" si="52"/>
        <v>257.5561824482163</v>
      </c>
      <c r="H90" s="125">
        <f t="shared" ca="1" si="52"/>
        <v>251.95713500368987</v>
      </c>
      <c r="I90" s="125">
        <f t="shared" ca="1" si="52"/>
        <v>246.35808755916344</v>
      </c>
      <c r="J90" s="125">
        <f t="shared" ca="1" si="52"/>
        <v>240.759040114637</v>
      </c>
      <c r="K90" s="125">
        <f t="shared" ca="1" si="52"/>
        <v>235.15999267011057</v>
      </c>
      <c r="L90" s="125">
        <f t="shared" ca="1" si="52"/>
        <v>229.56094522558413</v>
      </c>
      <c r="M90" s="125">
        <f t="shared" ca="1" si="52"/>
        <v>223.9618977810577</v>
      </c>
      <c r="N90" s="125">
        <f t="shared" ca="1" si="52"/>
        <v>218.36285033653127</v>
      </c>
      <c r="O90" s="125">
        <f t="shared" ca="1" si="52"/>
        <v>212.76380289200483</v>
      </c>
      <c r="P90" s="125">
        <f t="shared" ca="1" si="52"/>
        <v>207.1647554474784</v>
      </c>
      <c r="Q90" s="125">
        <f t="shared" ca="1" si="52"/>
        <v>201.56570800295196</v>
      </c>
      <c r="R90" s="125">
        <f t="shared" ca="1" si="52"/>
        <v>195.96666055842553</v>
      </c>
      <c r="S90" s="125">
        <f t="shared" ca="1" si="52"/>
        <v>190.3676131138991</v>
      </c>
      <c r="T90" s="125">
        <f t="shared" ca="1" si="52"/>
        <v>184.76856566937266</v>
      </c>
      <c r="U90" s="125">
        <f t="shared" ca="1" si="52"/>
        <v>176.36999450258301</v>
      </c>
      <c r="V90" s="125">
        <f t="shared" ca="1" si="52"/>
        <v>167.97142333579336</v>
      </c>
      <c r="W90" s="125">
        <f t="shared" ca="1" si="52"/>
        <v>159.57285216900371</v>
      </c>
      <c r="X90" s="125">
        <f t="shared" ca="1" si="52"/>
        <v>151.17428100221406</v>
      </c>
      <c r="Y90" s="125">
        <f t="shared" ca="1" si="52"/>
        <v>142.77570983542441</v>
      </c>
      <c r="Z90" s="125">
        <f t="shared" ca="1" si="52"/>
        <v>134.37713866863476</v>
      </c>
      <c r="AA90" s="125">
        <f t="shared" ca="1" si="52"/>
        <v>125.97856750184509</v>
      </c>
      <c r="AB90" s="125">
        <f t="shared" ca="1" si="52"/>
        <v>117.57999633505543</v>
      </c>
      <c r="AC90" s="125">
        <f t="shared" ca="1" si="52"/>
        <v>109.18142516826576</v>
      </c>
      <c r="AD90" s="125">
        <f t="shared" ca="1" si="52"/>
        <v>100.7828540014761</v>
      </c>
      <c r="AE90" s="125">
        <f t="shared" ca="1" si="52"/>
        <v>92.384282834686431</v>
      </c>
      <c r="AF90" s="125">
        <f t="shared" ca="1" si="52"/>
        <v>83.985711667896766</v>
      </c>
      <c r="AG90" s="125">
        <f t="shared" ca="1" si="52"/>
        <v>81.186187945633549</v>
      </c>
      <c r="AH90" s="125">
        <f t="shared" ca="1" si="52"/>
        <v>78.386664223370332</v>
      </c>
      <c r="AI90" s="125">
        <f t="shared" ca="1" si="52"/>
        <v>75.587140501107115</v>
      </c>
      <c r="AJ90" s="125">
        <f t="shared" ca="1" si="52"/>
        <v>72.787616778843898</v>
      </c>
      <c r="AK90" s="125">
        <f t="shared" ca="1" si="52"/>
        <v>69.988093056580681</v>
      </c>
      <c r="AL90" s="125">
        <f t="shared" ca="1" si="52"/>
        <v>67.188569334317464</v>
      </c>
      <c r="AM90" s="125">
        <f t="shared" ca="1" si="52"/>
        <v>64.389045612054247</v>
      </c>
      <c r="AN90" s="125">
        <f t="shared" ca="1" si="52"/>
        <v>61.58952188979103</v>
      </c>
      <c r="AO90" s="125">
        <f t="shared" ca="1" si="52"/>
        <v>58.789998167527813</v>
      </c>
      <c r="AP90" s="125">
        <f t="shared" ca="1" si="52"/>
        <v>55.990474445264596</v>
      </c>
      <c r="AQ90" s="125">
        <f t="shared" ca="1" si="52"/>
        <v>53.190950723001379</v>
      </c>
      <c r="AR90" s="125">
        <f t="shared" ca="1" si="52"/>
        <v>50.391427000738162</v>
      </c>
      <c r="AS90" s="125">
        <f t="shared" ca="1" si="52"/>
        <v>44.792379556211721</v>
      </c>
      <c r="AT90" s="125">
        <f t="shared" ca="1" si="52"/>
        <v>39.19333211168528</v>
      </c>
      <c r="AU90" s="125">
        <f t="shared" ca="1" si="52"/>
        <v>33.594284667158838</v>
      </c>
      <c r="AV90" s="125">
        <f t="shared" ca="1" si="52"/>
        <v>27.995237222632397</v>
      </c>
      <c r="AW90" s="125">
        <f t="shared" ca="1" si="52"/>
        <v>22.396189778105956</v>
      </c>
      <c r="AX90" s="125">
        <f t="shared" ca="1" si="52"/>
        <v>16.797142333579515</v>
      </c>
      <c r="AY90" s="125">
        <f t="shared" ca="1" si="52"/>
        <v>11.198094889053074</v>
      </c>
      <c r="AZ90" s="125">
        <f t="shared" ca="1" si="52"/>
        <v>5.5990474445266329</v>
      </c>
      <c r="BA90" s="125">
        <f t="shared" ca="1" si="52"/>
        <v>2.7995237222634124</v>
      </c>
      <c r="BB90" s="125">
        <f t="shared" ca="1" si="52"/>
        <v>1.9184653865522705E-13</v>
      </c>
      <c r="BC90" s="125">
        <f t="shared" ca="1" si="52"/>
        <v>1.9184653865522705E-13</v>
      </c>
      <c r="BD90" s="125">
        <f t="shared" ca="1" si="52"/>
        <v>1.9184653865522705E-13</v>
      </c>
      <c r="BE90" s="125">
        <f t="shared" ca="1" si="52"/>
        <v>1.9184653865522705E-13</v>
      </c>
      <c r="BF90" s="125">
        <f t="shared" ca="1" si="52"/>
        <v>1.9184653865522705E-13</v>
      </c>
      <c r="BG90" s="125">
        <f t="shared" ca="1" si="52"/>
        <v>1.9184653865522705E-13</v>
      </c>
      <c r="BH90" s="125">
        <f t="shared" ca="1" si="52"/>
        <v>1.9184653865522705E-13</v>
      </c>
      <c r="BI90" s="125">
        <f t="shared" ca="1" si="52"/>
        <v>1.9184653865522705E-13</v>
      </c>
      <c r="BJ90" s="125">
        <f t="shared" ca="1" si="52"/>
        <v>1.9184653865522705E-13</v>
      </c>
      <c r="BK90" s="125">
        <f t="shared" ca="1" si="52"/>
        <v>1.9184653865522705E-13</v>
      </c>
      <c r="BL90" s="125">
        <f t="shared" ca="1" si="52"/>
        <v>1.9184653865522705E-13</v>
      </c>
      <c r="BM90" s="125">
        <f t="shared" ca="1" si="52"/>
        <v>1.9184653865522705E-13</v>
      </c>
      <c r="BN90" s="125">
        <f t="shared" ca="1" si="52"/>
        <v>1.9184653865522705E-13</v>
      </c>
      <c r="BO90" s="125">
        <f t="shared" ca="1" si="52"/>
        <v>1.9184653865522705E-13</v>
      </c>
      <c r="BP90" s="125">
        <f t="shared" ca="1" si="52"/>
        <v>1.9184653865522705E-13</v>
      </c>
      <c r="BQ90" s="125">
        <f t="shared" ref="BQ90:BR90" ca="1" si="53">BQ87+BQ88-BQ89</f>
        <v>1.9184653865522705E-13</v>
      </c>
      <c r="BR90" s="125">
        <f t="shared" ca="1" si="53"/>
        <v>1.9184653865522705E-13</v>
      </c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</row>
    <row r="91" spans="1:159" ht="13.5" thickTop="1"/>
    <row r="92" spans="1:159" s="4" customFormat="1" ht="15.75" thickBot="1">
      <c r="A92" s="71" t="s">
        <v>373</v>
      </c>
      <c r="B92" s="125"/>
      <c r="C92" s="125"/>
      <c r="D92" s="125">
        <f ca="1">AVERAGE(D87,D90)*$B$54*(D83-C83)/365</f>
        <v>7.7542051751327374</v>
      </c>
      <c r="E92" s="125">
        <f t="shared" ref="E92:BP92" ca="1" si="54">AVERAGE(E87,E90)*$B$54*(E83-D83)/365</f>
        <v>7.4323903358485701</v>
      </c>
      <c r="F92" s="125">
        <f t="shared" ca="1" si="54"/>
        <v>7.36002456511007</v>
      </c>
      <c r="G92" s="125">
        <f t="shared" ca="1" si="54"/>
        <v>7.2842533463368131</v>
      </c>
      <c r="H92" s="125">
        <f t="shared" ca="1" si="54"/>
        <v>7.1276027367381722</v>
      </c>
      <c r="I92" s="125">
        <f t="shared" ca="1" si="54"/>
        <v>6.8951809083662763</v>
      </c>
      <c r="J92" s="125">
        <f t="shared" ca="1" si="54"/>
        <v>6.740233022785012</v>
      </c>
      <c r="K92" s="125">
        <f t="shared" ca="1" si="54"/>
        <v>6.6576509079422506</v>
      </c>
      <c r="L92" s="125">
        <f t="shared" ca="1" si="54"/>
        <v>6.5010002983436079</v>
      </c>
      <c r="M92" s="125">
        <f t="shared" ca="1" si="54"/>
        <v>6.2064290433374678</v>
      </c>
      <c r="N92" s="125">
        <f t="shared" ca="1" si="54"/>
        <v>6.1204414804599541</v>
      </c>
      <c r="O92" s="125">
        <f t="shared" ca="1" si="54"/>
        <v>6.0310484695476854</v>
      </c>
      <c r="P92" s="125">
        <f t="shared" ca="1" si="54"/>
        <v>5.8743978599490445</v>
      </c>
      <c r="Q92" s="125">
        <f t="shared" ca="1" si="54"/>
        <v>5.5934483970819162</v>
      </c>
      <c r="R92" s="125">
        <f t="shared" ca="1" si="54"/>
        <v>5.5006499381348961</v>
      </c>
      <c r="S92" s="125">
        <f t="shared" ca="1" si="54"/>
        <v>5.4044460311531219</v>
      </c>
      <c r="T92" s="125">
        <f t="shared" ca="1" si="54"/>
        <v>5.247795421554482</v>
      </c>
      <c r="U92" s="125">
        <f t="shared" ca="1" si="54"/>
        <v>4.9421564604353936</v>
      </c>
      <c r="V92" s="125">
        <f t="shared" ca="1" si="54"/>
        <v>4.7646474816238902</v>
      </c>
      <c r="W92" s="125">
        <f t="shared" ca="1" si="54"/>
        <v>4.582030330760257</v>
      </c>
      <c r="X92" s="125">
        <f t="shared" ca="1" si="54"/>
        <v>4.3470544163622966</v>
      </c>
      <c r="Y92" s="125">
        <f t="shared" ca="1" si="54"/>
        <v>4.0673819965081996</v>
      </c>
      <c r="Z92" s="125">
        <f t="shared" ca="1" si="54"/>
        <v>3.8349601681363041</v>
      </c>
      <c r="AA92" s="125">
        <f t="shared" ca="1" si="54"/>
        <v>3.642126673168411</v>
      </c>
      <c r="AB92" s="125">
        <f t="shared" ca="1" si="54"/>
        <v>3.4071507587704493</v>
      </c>
      <c r="AC92" s="125">
        <f t="shared" ca="1" si="54"/>
        <v>3.1032145216687379</v>
      </c>
      <c r="AD92" s="125">
        <f t="shared" ca="1" si="54"/>
        <v>2.9052728546487159</v>
      </c>
      <c r="AE92" s="125">
        <f t="shared" ca="1" si="54"/>
        <v>2.7022230155765641</v>
      </c>
      <c r="AF92" s="125">
        <f t="shared" ca="1" si="54"/>
        <v>2.4672471011786024</v>
      </c>
      <c r="AG92" s="125">
        <f t="shared" ca="1" si="54"/>
        <v>2.260366133067353</v>
      </c>
      <c r="AH92" s="125">
        <f t="shared" ca="1" si="54"/>
        <v>2.2080073695330249</v>
      </c>
      <c r="AI92" s="125">
        <f t="shared" ca="1" si="54"/>
        <v>2.1539458819813202</v>
      </c>
      <c r="AJ92" s="125">
        <f t="shared" ca="1" si="54"/>
        <v>2.0756205771819998</v>
      </c>
      <c r="AK92" s="125">
        <f t="shared" ca="1" si="54"/>
        <v>1.9538758099395777</v>
      </c>
      <c r="AL92" s="125">
        <f t="shared" ca="1" si="54"/>
        <v>1.8981115983704961</v>
      </c>
      <c r="AM92" s="125">
        <f t="shared" ca="1" si="54"/>
        <v>1.8406446627840383</v>
      </c>
      <c r="AN92" s="125">
        <f t="shared" ca="1" si="54"/>
        <v>1.7623193579847176</v>
      </c>
      <c r="AO92" s="125">
        <f t="shared" ca="1" si="54"/>
        <v>1.6656897699985997</v>
      </c>
      <c r="AP92" s="125">
        <f t="shared" ca="1" si="54"/>
        <v>1.5882158272079676</v>
      </c>
      <c r="AQ92" s="125">
        <f t="shared" ca="1" si="54"/>
        <v>1.5273434435867563</v>
      </c>
      <c r="AR92" s="125">
        <f t="shared" ca="1" si="54"/>
        <v>1.4490181387874359</v>
      </c>
      <c r="AS92" s="125">
        <f t="shared" ca="1" si="54"/>
        <v>1.3025838732930541</v>
      </c>
      <c r="AT92" s="125">
        <f t="shared" ca="1" si="54"/>
        <v>1.1621091418594898</v>
      </c>
      <c r="AU92" s="125">
        <f t="shared" ca="1" si="54"/>
        <v>1.0182289623911731</v>
      </c>
      <c r="AV92" s="125">
        <f t="shared" ca="1" si="54"/>
        <v>0.86157835279253159</v>
      </c>
      <c r="AW92" s="125">
        <f t="shared" ca="1" si="54"/>
        <v>0.68960322703750154</v>
      </c>
      <c r="AX92" s="125">
        <f t="shared" ca="1" si="54"/>
        <v>0.54231759953443148</v>
      </c>
      <c r="AY92" s="125">
        <f t="shared" ca="1" si="54"/>
        <v>0.39162652399660824</v>
      </c>
      <c r="AZ92" s="125">
        <f t="shared" ca="1" si="54"/>
        <v>0.23497591439796711</v>
      </c>
      <c r="BA92" s="125">
        <f t="shared" ca="1" si="54"/>
        <v>0.11493387117292131</v>
      </c>
      <c r="BB92" s="125">
        <f t="shared" ca="1" si="54"/>
        <v>3.8736971395321465E-2</v>
      </c>
      <c r="BC92" s="125">
        <f t="shared" ca="1" si="54"/>
        <v>5.3674982267045991E-15</v>
      </c>
      <c r="BD92" s="125">
        <f t="shared" ca="1" si="54"/>
        <v>5.3674982267045991E-15</v>
      </c>
      <c r="BE92" s="125">
        <f t="shared" ca="1" si="54"/>
        <v>5.3091558546752004E-15</v>
      </c>
      <c r="BF92" s="125">
        <f t="shared" ca="1" si="54"/>
        <v>5.3091558546752004E-15</v>
      </c>
      <c r="BG92" s="125">
        <f t="shared" ca="1" si="54"/>
        <v>5.3674982267045991E-15</v>
      </c>
      <c r="BH92" s="125">
        <f t="shared" ca="1" si="54"/>
        <v>5.3674982267045991E-15</v>
      </c>
      <c r="BI92" s="125">
        <f t="shared" ca="1" si="54"/>
        <v>5.250813482645804E-15</v>
      </c>
      <c r="BJ92" s="125">
        <f t="shared" ca="1" si="54"/>
        <v>5.3091558546752004E-15</v>
      </c>
      <c r="BK92" s="125">
        <f t="shared" ca="1" si="54"/>
        <v>5.3674982267045991E-15</v>
      </c>
      <c r="BL92" s="125">
        <f t="shared" ca="1" si="54"/>
        <v>5.3674982267045991E-15</v>
      </c>
      <c r="BM92" s="125">
        <f t="shared" ca="1" si="54"/>
        <v>5.250813482645804E-15</v>
      </c>
      <c r="BN92" s="125">
        <f t="shared" ca="1" si="54"/>
        <v>5.3091558546752004E-15</v>
      </c>
      <c r="BO92" s="125">
        <f t="shared" ca="1" si="54"/>
        <v>5.3674982267045991E-15</v>
      </c>
      <c r="BP92" s="125">
        <f t="shared" ca="1" si="54"/>
        <v>5.3674982267045991E-15</v>
      </c>
      <c r="BQ92" s="125">
        <f t="shared" ref="BQ92:BR92" ca="1" si="55">AVERAGE(BQ87,BQ90)*$B$54*(BQ83-BP83)/365</f>
        <v>5.250813482645804E-15</v>
      </c>
      <c r="BR92" s="125">
        <f t="shared" ca="1" si="55"/>
        <v>5.3091558546752004E-15</v>
      </c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</row>
    <row r="93" spans="1:159" ht="13.5" thickTop="1"/>
    <row r="94" spans="1:159">
      <c r="E94" s="475"/>
      <c r="F94" s="475"/>
    </row>
    <row r="95" spans="1:159" s="17" customFormat="1" ht="16.5" thickBot="1">
      <c r="A95" s="109" t="s">
        <v>556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</row>
    <row r="96" spans="1:159" s="17" customFormat="1" ht="15.75" thickTop="1">
      <c r="A96" s="641" t="s">
        <v>0</v>
      </c>
      <c r="B96" s="453"/>
      <c r="C96" s="46"/>
      <c r="D96" s="19">
        <f>C97+1</f>
        <v>44835</v>
      </c>
      <c r="E96" s="19">
        <f>D97+1</f>
        <v>44927</v>
      </c>
      <c r="F96" s="19">
        <f>E97+1</f>
        <v>45017</v>
      </c>
      <c r="G96" s="19">
        <f>F97+1</f>
        <v>45108</v>
      </c>
      <c r="H96" s="19">
        <f>G97+1</f>
        <v>45200</v>
      </c>
      <c r="I96" s="19">
        <f t="shared" ref="I96" si="56">H97+1</f>
        <v>45292</v>
      </c>
      <c r="J96" s="19">
        <f t="shared" ref="J96" si="57">I97+1</f>
        <v>45383</v>
      </c>
      <c r="K96" s="19">
        <f t="shared" ref="K96" si="58">J97+1</f>
        <v>45474</v>
      </c>
      <c r="L96" s="19">
        <f t="shared" ref="L96" si="59">K97+1</f>
        <v>45566</v>
      </c>
      <c r="M96" s="19">
        <f t="shared" ref="M96" si="60">L97+1</f>
        <v>45658</v>
      </c>
      <c r="N96" s="19">
        <f t="shared" ref="N96" si="61">M97+1</f>
        <v>45748</v>
      </c>
      <c r="O96" s="19">
        <f t="shared" ref="O96" si="62">N97+1</f>
        <v>45839</v>
      </c>
      <c r="P96" s="19">
        <f t="shared" ref="P96" si="63">O97+1</f>
        <v>45931</v>
      </c>
      <c r="Q96" s="19">
        <f t="shared" ref="Q96" si="64">P97+1</f>
        <v>46023</v>
      </c>
      <c r="R96" s="19">
        <f t="shared" ref="R96" si="65">Q97+1</f>
        <v>46113</v>
      </c>
      <c r="S96" s="19">
        <f t="shared" ref="S96" si="66">R97+1</f>
        <v>46204</v>
      </c>
      <c r="T96" s="19">
        <f t="shared" ref="T96" si="67">S97+1</f>
        <v>46296</v>
      </c>
      <c r="U96" s="19">
        <f t="shared" ref="U96" si="68">T97+1</f>
        <v>46388</v>
      </c>
      <c r="V96" s="19">
        <f t="shared" ref="V96" si="69">U97+1</f>
        <v>46478</v>
      </c>
      <c r="W96" s="19">
        <f t="shared" ref="W96" si="70">V97+1</f>
        <v>46569</v>
      </c>
      <c r="X96" s="19">
        <f t="shared" ref="X96" si="71">W97+1</f>
        <v>46661</v>
      </c>
      <c r="Y96" s="19">
        <f t="shared" ref="Y96" si="72">X97+1</f>
        <v>46753</v>
      </c>
      <c r="Z96" s="19">
        <f t="shared" ref="Z96" si="73">Y97+1</f>
        <v>46844</v>
      </c>
      <c r="AA96" s="19">
        <f t="shared" ref="AA96" si="74">Z97+1</f>
        <v>46935</v>
      </c>
      <c r="AB96" s="19">
        <f t="shared" ref="AB96" si="75">AA97+1</f>
        <v>47027</v>
      </c>
      <c r="AC96" s="19">
        <f t="shared" ref="AC96" si="76">AB97+1</f>
        <v>47119</v>
      </c>
      <c r="AD96" s="19">
        <f t="shared" ref="AD96" si="77">AC97+1</f>
        <v>47209</v>
      </c>
      <c r="AE96" s="19">
        <f t="shared" ref="AE96" si="78">AD97+1</f>
        <v>47300</v>
      </c>
      <c r="AF96" s="19">
        <f t="shared" ref="AF96" si="79">AE97+1</f>
        <v>47392</v>
      </c>
      <c r="AG96" s="19">
        <f t="shared" ref="AG96" si="80">AF97+1</f>
        <v>47484</v>
      </c>
      <c r="AH96" s="19">
        <f t="shared" ref="AH96" si="81">AG97+1</f>
        <v>47574</v>
      </c>
      <c r="AI96" s="19">
        <f t="shared" ref="AI96" si="82">AH97+1</f>
        <v>47665</v>
      </c>
      <c r="AJ96" s="19">
        <f t="shared" ref="AJ96" si="83">AI97+1</f>
        <v>47757</v>
      </c>
      <c r="AK96" s="19">
        <f t="shared" ref="AK96" si="84">AJ97+1</f>
        <v>47849</v>
      </c>
      <c r="AL96" s="19">
        <f t="shared" ref="AL96" si="85">AK97+1</f>
        <v>47939</v>
      </c>
      <c r="AM96" s="19">
        <f t="shared" ref="AM96" si="86">AL97+1</f>
        <v>48030</v>
      </c>
      <c r="AN96" s="19">
        <f t="shared" ref="AN96" si="87">AM97+1</f>
        <v>48122</v>
      </c>
      <c r="AO96" s="19">
        <f t="shared" ref="AO96" si="88">AN97+1</f>
        <v>48214</v>
      </c>
      <c r="AP96" s="19">
        <f t="shared" ref="AP96" si="89">AO97+1</f>
        <v>48305</v>
      </c>
      <c r="AQ96" s="19">
        <f t="shared" ref="AQ96" si="90">AP97+1</f>
        <v>48396</v>
      </c>
      <c r="AR96" s="19">
        <f t="shared" ref="AR96" si="91">AQ97+1</f>
        <v>48488</v>
      </c>
      <c r="AS96" s="19">
        <f t="shared" ref="AS96" si="92">AR97+1</f>
        <v>48580</v>
      </c>
      <c r="AT96" s="19">
        <f t="shared" ref="AT96" si="93">AS97+1</f>
        <v>48670</v>
      </c>
      <c r="AU96" s="19">
        <f t="shared" ref="AU96" si="94">AT97+1</f>
        <v>48761</v>
      </c>
      <c r="AV96" s="19">
        <f t="shared" ref="AV96" si="95">AU97+1</f>
        <v>48853</v>
      </c>
      <c r="AW96" s="19">
        <f t="shared" ref="AW96" si="96">AV97+1</f>
        <v>48945</v>
      </c>
      <c r="AX96" s="19">
        <f t="shared" ref="AX96" si="97">AW97+1</f>
        <v>49035</v>
      </c>
      <c r="AY96" s="19">
        <f t="shared" ref="AY96" si="98">AX97+1</f>
        <v>49126</v>
      </c>
      <c r="AZ96" s="19">
        <f t="shared" ref="AZ96" si="99">AY97+1</f>
        <v>49218</v>
      </c>
      <c r="BA96" s="19">
        <f t="shared" ref="BA96" si="100">AZ97+1</f>
        <v>49310</v>
      </c>
      <c r="BB96" s="19">
        <f t="shared" ref="BB96" si="101">BA97+1</f>
        <v>49400</v>
      </c>
      <c r="BC96" s="19">
        <f t="shared" ref="BC96" si="102">BB97+1</f>
        <v>49491</v>
      </c>
      <c r="BD96" s="19">
        <f t="shared" ref="BD96" si="103">BC97+1</f>
        <v>49583</v>
      </c>
      <c r="BE96" s="19">
        <f t="shared" ref="BE96" si="104">BD97+1</f>
        <v>49675</v>
      </c>
      <c r="BF96" s="19">
        <f t="shared" ref="BF96" si="105">BE97+1</f>
        <v>49766</v>
      </c>
      <c r="BG96" s="19">
        <f t="shared" ref="BG96" si="106">BF97+1</f>
        <v>49857</v>
      </c>
      <c r="BH96" s="19">
        <f t="shared" ref="BH96" si="107">BG97+1</f>
        <v>49949</v>
      </c>
      <c r="BI96" s="19">
        <f t="shared" ref="BI96" si="108">BH97+1</f>
        <v>50041</v>
      </c>
      <c r="BJ96" s="19">
        <f t="shared" ref="BJ96" si="109">BI97+1</f>
        <v>50131</v>
      </c>
      <c r="BK96" s="19">
        <f t="shared" ref="BK96" si="110">BJ97+1</f>
        <v>50222</v>
      </c>
      <c r="BL96" s="19">
        <f t="shared" ref="BL96" si="111">BK97+1</f>
        <v>50314</v>
      </c>
      <c r="BM96" s="19">
        <f t="shared" ref="BM96" si="112">BL97+1</f>
        <v>50406</v>
      </c>
      <c r="BN96" s="19">
        <f t="shared" ref="BN96" si="113">BM97+1</f>
        <v>50496</v>
      </c>
      <c r="BO96" s="19">
        <f t="shared" ref="BO96" si="114">BN97+1</f>
        <v>50587</v>
      </c>
      <c r="BP96" s="19">
        <f t="shared" ref="BP96" si="115">BO97+1</f>
        <v>50679</v>
      </c>
      <c r="BQ96" s="19">
        <f t="shared" ref="BQ96" si="116">BP97+1</f>
        <v>50771</v>
      </c>
      <c r="BR96" s="19">
        <f t="shared" ref="BR96" si="117">BQ97+1</f>
        <v>50861</v>
      </c>
      <c r="BS96" s="19">
        <f t="shared" ref="BS96" si="118">BR97+1</f>
        <v>50952</v>
      </c>
      <c r="BT96" s="19">
        <f t="shared" ref="BT96" si="119">BS97+1</f>
        <v>51044</v>
      </c>
      <c r="BU96" s="19">
        <f t="shared" ref="BU96" si="120">BT97+1</f>
        <v>51136</v>
      </c>
      <c r="BV96" s="19">
        <f t="shared" ref="BV96" si="121">BU97+1</f>
        <v>51227</v>
      </c>
      <c r="BW96" s="19">
        <f t="shared" ref="BW96" si="122">BV97+1</f>
        <v>51318</v>
      </c>
      <c r="BX96" s="19">
        <f t="shared" ref="BX96" si="123">BW97+1</f>
        <v>51410</v>
      </c>
      <c r="BY96" s="19">
        <f t="shared" ref="BY96" si="124">BX97+1</f>
        <v>51502</v>
      </c>
      <c r="BZ96" s="19">
        <f t="shared" ref="BZ96" si="125">BY97+1</f>
        <v>51592</v>
      </c>
      <c r="CA96" s="19">
        <f t="shared" ref="CA96" si="126">BZ97+1</f>
        <v>51683</v>
      </c>
      <c r="CB96" s="19">
        <f t="shared" ref="CB96" si="127">CA97+1</f>
        <v>51775</v>
      </c>
      <c r="CC96" s="19">
        <f t="shared" ref="CC96" si="128">CB97+1</f>
        <v>51867</v>
      </c>
      <c r="CD96" s="19">
        <f t="shared" ref="CD96" si="129">CC97+1</f>
        <v>51957</v>
      </c>
      <c r="CE96" s="19">
        <f t="shared" ref="CE96" si="130">CD97+1</f>
        <v>52048</v>
      </c>
      <c r="CF96" s="19">
        <f t="shared" ref="CF96" si="131">CE97+1</f>
        <v>52140</v>
      </c>
      <c r="CG96" s="19">
        <f t="shared" ref="CG96" si="132">CF97+1</f>
        <v>52232</v>
      </c>
      <c r="CH96" s="19">
        <f t="shared" ref="CH96" si="133">CG97+1</f>
        <v>52322</v>
      </c>
      <c r="CI96" s="19">
        <f t="shared" ref="CI96" si="134">CH97+1</f>
        <v>52413</v>
      </c>
      <c r="CJ96" s="19">
        <f t="shared" ref="CJ96" si="135">CI97+1</f>
        <v>52505</v>
      </c>
      <c r="CK96" s="19">
        <f t="shared" ref="CK96" si="136">CJ97+1</f>
        <v>52597</v>
      </c>
      <c r="CL96" s="19">
        <f t="shared" ref="CL96" si="137">CK97+1</f>
        <v>52688</v>
      </c>
      <c r="CM96" s="19">
        <f t="shared" ref="CM96" si="138">CL97+1</f>
        <v>52779</v>
      </c>
      <c r="CN96" s="19">
        <f t="shared" ref="CN96" si="139">CM97+1</f>
        <v>52871</v>
      </c>
      <c r="CO96" s="19">
        <f t="shared" ref="CO96" si="140">CN97+1</f>
        <v>52963</v>
      </c>
      <c r="CP96" s="19">
        <f t="shared" ref="CP96" si="141">CO97+1</f>
        <v>53053</v>
      </c>
      <c r="CQ96" s="19">
        <f t="shared" ref="CQ96" si="142">CP97+1</f>
        <v>53144</v>
      </c>
      <c r="CR96" s="19">
        <f t="shared" ref="CR96" si="143">CQ97+1</f>
        <v>53236</v>
      </c>
      <c r="CS96" s="19">
        <f t="shared" ref="CS96" si="144">CR97+1</f>
        <v>53328</v>
      </c>
      <c r="CT96" s="19">
        <f t="shared" ref="CT96" si="145">CS97+1</f>
        <v>53418</v>
      </c>
      <c r="CU96" s="19">
        <f t="shared" ref="CU96" si="146">CT97+1</f>
        <v>53509</v>
      </c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</row>
    <row r="97" spans="1:159" s="17" customFormat="1" ht="15">
      <c r="A97" s="642"/>
      <c r="B97" s="454"/>
      <c r="C97" s="6">
        <f>C83</f>
        <v>44834</v>
      </c>
      <c r="D97" s="6">
        <f>EOMONTH(C97,3)</f>
        <v>44926</v>
      </c>
      <c r="E97" s="6">
        <f t="shared" ref="E97" si="147">EOMONTH(D97,3)</f>
        <v>45016</v>
      </c>
      <c r="F97" s="6">
        <f t="shared" ref="F97" si="148">EOMONTH(E97,3)</f>
        <v>45107</v>
      </c>
      <c r="G97" s="6">
        <f t="shared" ref="G97" si="149">EOMONTH(F97,3)</f>
        <v>45199</v>
      </c>
      <c r="H97" s="6">
        <f t="shared" ref="H97" si="150">EOMONTH(G97,3)</f>
        <v>45291</v>
      </c>
      <c r="I97" s="6">
        <f t="shared" ref="I97" si="151">EOMONTH(H97,3)</f>
        <v>45382</v>
      </c>
      <c r="J97" s="6">
        <f t="shared" ref="J97" si="152">EOMONTH(I97,3)</f>
        <v>45473</v>
      </c>
      <c r="K97" s="6">
        <f t="shared" ref="K97" si="153">EOMONTH(J97,3)</f>
        <v>45565</v>
      </c>
      <c r="L97" s="6">
        <f t="shared" ref="L97" si="154">EOMONTH(K97,3)</f>
        <v>45657</v>
      </c>
      <c r="M97" s="6">
        <f t="shared" ref="M97" si="155">EOMONTH(L97,3)</f>
        <v>45747</v>
      </c>
      <c r="N97" s="6">
        <f t="shared" ref="N97" si="156">EOMONTH(M97,3)</f>
        <v>45838</v>
      </c>
      <c r="O97" s="6">
        <f t="shared" ref="O97" si="157">EOMONTH(N97,3)</f>
        <v>45930</v>
      </c>
      <c r="P97" s="6">
        <f t="shared" ref="P97" si="158">EOMONTH(O97,3)</f>
        <v>46022</v>
      </c>
      <c r="Q97" s="6">
        <f t="shared" ref="Q97" si="159">EOMONTH(P97,3)</f>
        <v>46112</v>
      </c>
      <c r="R97" s="6">
        <f t="shared" ref="R97" si="160">EOMONTH(Q97,3)</f>
        <v>46203</v>
      </c>
      <c r="S97" s="6">
        <f t="shared" ref="S97" si="161">EOMONTH(R97,3)</f>
        <v>46295</v>
      </c>
      <c r="T97" s="6">
        <f t="shared" ref="T97" si="162">EOMONTH(S97,3)</f>
        <v>46387</v>
      </c>
      <c r="U97" s="6">
        <f t="shared" ref="U97" si="163">EOMONTH(T97,3)</f>
        <v>46477</v>
      </c>
      <c r="V97" s="6">
        <f t="shared" ref="V97" si="164">EOMONTH(U97,3)</f>
        <v>46568</v>
      </c>
      <c r="W97" s="6">
        <f t="shared" ref="W97" si="165">EOMONTH(V97,3)</f>
        <v>46660</v>
      </c>
      <c r="X97" s="6">
        <f t="shared" ref="X97" si="166">EOMONTH(W97,3)</f>
        <v>46752</v>
      </c>
      <c r="Y97" s="6">
        <f t="shared" ref="Y97" si="167">EOMONTH(X97,3)</f>
        <v>46843</v>
      </c>
      <c r="Z97" s="6">
        <f t="shared" ref="Z97" si="168">EOMONTH(Y97,3)</f>
        <v>46934</v>
      </c>
      <c r="AA97" s="6">
        <f t="shared" ref="AA97" si="169">EOMONTH(Z97,3)</f>
        <v>47026</v>
      </c>
      <c r="AB97" s="6">
        <f t="shared" ref="AB97" si="170">EOMONTH(AA97,3)</f>
        <v>47118</v>
      </c>
      <c r="AC97" s="6">
        <f t="shared" ref="AC97" si="171">EOMONTH(AB97,3)</f>
        <v>47208</v>
      </c>
      <c r="AD97" s="6">
        <f t="shared" ref="AD97" si="172">EOMONTH(AC97,3)</f>
        <v>47299</v>
      </c>
      <c r="AE97" s="6">
        <f t="shared" ref="AE97" si="173">EOMONTH(AD97,3)</f>
        <v>47391</v>
      </c>
      <c r="AF97" s="6">
        <f t="shared" ref="AF97" si="174">EOMONTH(AE97,3)</f>
        <v>47483</v>
      </c>
      <c r="AG97" s="6">
        <f t="shared" ref="AG97" si="175">EOMONTH(AF97,3)</f>
        <v>47573</v>
      </c>
      <c r="AH97" s="6">
        <f t="shared" ref="AH97" si="176">EOMONTH(AG97,3)</f>
        <v>47664</v>
      </c>
      <c r="AI97" s="6">
        <f t="shared" ref="AI97" si="177">EOMONTH(AH97,3)</f>
        <v>47756</v>
      </c>
      <c r="AJ97" s="6">
        <f t="shared" ref="AJ97" si="178">EOMONTH(AI97,3)</f>
        <v>47848</v>
      </c>
      <c r="AK97" s="6">
        <f t="shared" ref="AK97" si="179">EOMONTH(AJ97,3)</f>
        <v>47938</v>
      </c>
      <c r="AL97" s="6">
        <f t="shared" ref="AL97" si="180">EOMONTH(AK97,3)</f>
        <v>48029</v>
      </c>
      <c r="AM97" s="6">
        <f t="shared" ref="AM97" si="181">EOMONTH(AL97,3)</f>
        <v>48121</v>
      </c>
      <c r="AN97" s="6">
        <f t="shared" ref="AN97" si="182">EOMONTH(AM97,3)</f>
        <v>48213</v>
      </c>
      <c r="AO97" s="6">
        <f t="shared" ref="AO97" si="183">EOMONTH(AN97,3)</f>
        <v>48304</v>
      </c>
      <c r="AP97" s="6">
        <f t="shared" ref="AP97" si="184">EOMONTH(AO97,3)</f>
        <v>48395</v>
      </c>
      <c r="AQ97" s="6">
        <f t="shared" ref="AQ97" si="185">EOMONTH(AP97,3)</f>
        <v>48487</v>
      </c>
      <c r="AR97" s="6">
        <f t="shared" ref="AR97" si="186">EOMONTH(AQ97,3)</f>
        <v>48579</v>
      </c>
      <c r="AS97" s="6">
        <f t="shared" ref="AS97" si="187">EOMONTH(AR97,3)</f>
        <v>48669</v>
      </c>
      <c r="AT97" s="6">
        <f t="shared" ref="AT97" si="188">EOMONTH(AS97,3)</f>
        <v>48760</v>
      </c>
      <c r="AU97" s="6">
        <f t="shared" ref="AU97" si="189">EOMONTH(AT97,3)</f>
        <v>48852</v>
      </c>
      <c r="AV97" s="6">
        <f t="shared" ref="AV97" si="190">EOMONTH(AU97,3)</f>
        <v>48944</v>
      </c>
      <c r="AW97" s="6">
        <f t="shared" ref="AW97" si="191">EOMONTH(AV97,3)</f>
        <v>49034</v>
      </c>
      <c r="AX97" s="6">
        <f t="shared" ref="AX97" si="192">EOMONTH(AW97,3)</f>
        <v>49125</v>
      </c>
      <c r="AY97" s="6">
        <f t="shared" ref="AY97" si="193">EOMONTH(AX97,3)</f>
        <v>49217</v>
      </c>
      <c r="AZ97" s="6">
        <f t="shared" ref="AZ97" si="194">EOMONTH(AY97,3)</f>
        <v>49309</v>
      </c>
      <c r="BA97" s="6">
        <f t="shared" ref="BA97" si="195">EOMONTH(AZ97,3)</f>
        <v>49399</v>
      </c>
      <c r="BB97" s="6">
        <f t="shared" ref="BB97" si="196">EOMONTH(BA97,3)</f>
        <v>49490</v>
      </c>
      <c r="BC97" s="6">
        <f t="shared" ref="BC97" si="197">EOMONTH(BB97,3)</f>
        <v>49582</v>
      </c>
      <c r="BD97" s="6">
        <f t="shared" ref="BD97" si="198">EOMONTH(BC97,3)</f>
        <v>49674</v>
      </c>
      <c r="BE97" s="6">
        <f t="shared" ref="BE97" si="199">EOMONTH(BD97,3)</f>
        <v>49765</v>
      </c>
      <c r="BF97" s="6">
        <f t="shared" ref="BF97" si="200">EOMONTH(BE97,3)</f>
        <v>49856</v>
      </c>
      <c r="BG97" s="6">
        <f t="shared" ref="BG97" si="201">EOMONTH(BF97,3)</f>
        <v>49948</v>
      </c>
      <c r="BH97" s="6">
        <f t="shared" ref="BH97" si="202">EOMONTH(BG97,3)</f>
        <v>50040</v>
      </c>
      <c r="BI97" s="6">
        <f t="shared" ref="BI97" si="203">EOMONTH(BH97,3)</f>
        <v>50130</v>
      </c>
      <c r="BJ97" s="6">
        <f t="shared" ref="BJ97" si="204">EOMONTH(BI97,3)</f>
        <v>50221</v>
      </c>
      <c r="BK97" s="6">
        <f t="shared" ref="BK97" si="205">EOMONTH(BJ97,3)</f>
        <v>50313</v>
      </c>
      <c r="BL97" s="6">
        <f t="shared" ref="BL97" si="206">EOMONTH(BK97,3)</f>
        <v>50405</v>
      </c>
      <c r="BM97" s="6">
        <f t="shared" ref="BM97" si="207">EOMONTH(BL97,3)</f>
        <v>50495</v>
      </c>
      <c r="BN97" s="6">
        <f t="shared" ref="BN97" si="208">EOMONTH(BM97,3)</f>
        <v>50586</v>
      </c>
      <c r="BO97" s="6">
        <f t="shared" ref="BO97" si="209">EOMONTH(BN97,3)</f>
        <v>50678</v>
      </c>
      <c r="BP97" s="6">
        <f t="shared" ref="BP97" si="210">EOMONTH(BO97,3)</f>
        <v>50770</v>
      </c>
      <c r="BQ97" s="6">
        <f t="shared" ref="BQ97" si="211">EOMONTH(BP97,3)</f>
        <v>50860</v>
      </c>
      <c r="BR97" s="6">
        <f t="shared" ref="BR97" si="212">EOMONTH(BQ97,3)</f>
        <v>50951</v>
      </c>
      <c r="BS97" s="6">
        <f t="shared" ref="BS97" si="213">EOMONTH(BR97,3)</f>
        <v>51043</v>
      </c>
      <c r="BT97" s="6">
        <f t="shared" ref="BT97" si="214">EOMONTH(BS97,3)</f>
        <v>51135</v>
      </c>
      <c r="BU97" s="6">
        <f t="shared" ref="BU97" si="215">EOMONTH(BT97,3)</f>
        <v>51226</v>
      </c>
      <c r="BV97" s="6">
        <f t="shared" ref="BV97" si="216">EOMONTH(BU97,3)</f>
        <v>51317</v>
      </c>
      <c r="BW97" s="6">
        <f t="shared" ref="BW97" si="217">EOMONTH(BV97,3)</f>
        <v>51409</v>
      </c>
      <c r="BX97" s="6">
        <f t="shared" ref="BX97" si="218">EOMONTH(BW97,3)</f>
        <v>51501</v>
      </c>
      <c r="BY97" s="6">
        <f t="shared" ref="BY97" si="219">EOMONTH(BX97,3)</f>
        <v>51591</v>
      </c>
      <c r="BZ97" s="6">
        <f t="shared" ref="BZ97" si="220">EOMONTH(BY97,3)</f>
        <v>51682</v>
      </c>
      <c r="CA97" s="6">
        <f t="shared" ref="CA97" si="221">EOMONTH(BZ97,3)</f>
        <v>51774</v>
      </c>
      <c r="CB97" s="6">
        <f t="shared" ref="CB97" si="222">EOMONTH(CA97,3)</f>
        <v>51866</v>
      </c>
      <c r="CC97" s="6">
        <f t="shared" ref="CC97" si="223">EOMONTH(CB97,3)</f>
        <v>51956</v>
      </c>
      <c r="CD97" s="6">
        <f t="shared" ref="CD97" si="224">EOMONTH(CC97,3)</f>
        <v>52047</v>
      </c>
      <c r="CE97" s="6">
        <f t="shared" ref="CE97" si="225">EOMONTH(CD97,3)</f>
        <v>52139</v>
      </c>
      <c r="CF97" s="6">
        <f t="shared" ref="CF97" si="226">EOMONTH(CE97,3)</f>
        <v>52231</v>
      </c>
      <c r="CG97" s="6">
        <f t="shared" ref="CG97" si="227">EOMONTH(CF97,3)</f>
        <v>52321</v>
      </c>
      <c r="CH97" s="6">
        <f t="shared" ref="CH97" si="228">EOMONTH(CG97,3)</f>
        <v>52412</v>
      </c>
      <c r="CI97" s="6">
        <f t="shared" ref="CI97" si="229">EOMONTH(CH97,3)</f>
        <v>52504</v>
      </c>
      <c r="CJ97" s="6">
        <f t="shared" ref="CJ97" si="230">EOMONTH(CI97,3)</f>
        <v>52596</v>
      </c>
      <c r="CK97" s="6">
        <f t="shared" ref="CK97" si="231">EOMONTH(CJ97,3)</f>
        <v>52687</v>
      </c>
      <c r="CL97" s="6">
        <f t="shared" ref="CL97" si="232">EOMONTH(CK97,3)</f>
        <v>52778</v>
      </c>
      <c r="CM97" s="6">
        <f t="shared" ref="CM97" si="233">EOMONTH(CL97,3)</f>
        <v>52870</v>
      </c>
      <c r="CN97" s="6">
        <f t="shared" ref="CN97" si="234">EOMONTH(CM97,3)</f>
        <v>52962</v>
      </c>
      <c r="CO97" s="6">
        <f t="shared" ref="CO97" si="235">EOMONTH(CN97,3)</f>
        <v>53052</v>
      </c>
      <c r="CP97" s="6">
        <f t="shared" ref="CP97" si="236">EOMONTH(CO97,3)</f>
        <v>53143</v>
      </c>
      <c r="CQ97" s="6">
        <f t="shared" ref="CQ97" si="237">EOMONTH(CP97,3)</f>
        <v>53235</v>
      </c>
      <c r="CR97" s="6">
        <f t="shared" ref="CR97" si="238">EOMONTH(CQ97,3)</f>
        <v>53327</v>
      </c>
      <c r="CS97" s="6">
        <f t="shared" ref="CS97" si="239">EOMONTH(CR97,3)</f>
        <v>53417</v>
      </c>
      <c r="CT97" s="6">
        <f t="shared" ref="CT97" si="240">EOMONTH(CS97,3)</f>
        <v>53508</v>
      </c>
      <c r="CU97" s="6">
        <f t="shared" ref="CU97" si="241">EOMONTH(CT97,3)</f>
        <v>53600</v>
      </c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</row>
    <row r="98" spans="1:159" s="133" customFormat="1" ht="15">
      <c r="A98" s="643"/>
      <c r="B98" s="131"/>
      <c r="C98" s="132">
        <f t="shared" ref="C98:BN98" si="242">IF(MONTH(C97)&lt;=3,YEAR(C97),YEAR(C97)+1)</f>
        <v>2023</v>
      </c>
      <c r="D98" s="132">
        <f t="shared" si="242"/>
        <v>2023</v>
      </c>
      <c r="E98" s="132">
        <f t="shared" si="242"/>
        <v>2023</v>
      </c>
      <c r="F98" s="132">
        <f t="shared" si="242"/>
        <v>2024</v>
      </c>
      <c r="G98" s="132">
        <f t="shared" si="242"/>
        <v>2024</v>
      </c>
      <c r="H98" s="132">
        <f t="shared" si="242"/>
        <v>2024</v>
      </c>
      <c r="I98" s="132">
        <f t="shared" si="242"/>
        <v>2024</v>
      </c>
      <c r="J98" s="132">
        <f t="shared" si="242"/>
        <v>2025</v>
      </c>
      <c r="K98" s="132">
        <f t="shared" si="242"/>
        <v>2025</v>
      </c>
      <c r="L98" s="132">
        <f t="shared" si="242"/>
        <v>2025</v>
      </c>
      <c r="M98" s="132">
        <f t="shared" si="242"/>
        <v>2025</v>
      </c>
      <c r="N98" s="132">
        <f t="shared" si="242"/>
        <v>2026</v>
      </c>
      <c r="O98" s="132">
        <f t="shared" si="242"/>
        <v>2026</v>
      </c>
      <c r="P98" s="132">
        <f t="shared" si="242"/>
        <v>2026</v>
      </c>
      <c r="Q98" s="132">
        <f t="shared" si="242"/>
        <v>2026</v>
      </c>
      <c r="R98" s="132">
        <f t="shared" si="242"/>
        <v>2027</v>
      </c>
      <c r="S98" s="132">
        <f t="shared" si="242"/>
        <v>2027</v>
      </c>
      <c r="T98" s="132">
        <f t="shared" si="242"/>
        <v>2027</v>
      </c>
      <c r="U98" s="132">
        <f t="shared" si="242"/>
        <v>2027</v>
      </c>
      <c r="V98" s="132">
        <f t="shared" si="242"/>
        <v>2028</v>
      </c>
      <c r="W98" s="132">
        <f t="shared" si="242"/>
        <v>2028</v>
      </c>
      <c r="X98" s="132">
        <f t="shared" si="242"/>
        <v>2028</v>
      </c>
      <c r="Y98" s="132">
        <f t="shared" si="242"/>
        <v>2028</v>
      </c>
      <c r="Z98" s="132">
        <f t="shared" si="242"/>
        <v>2029</v>
      </c>
      <c r="AA98" s="132">
        <f t="shared" si="242"/>
        <v>2029</v>
      </c>
      <c r="AB98" s="132">
        <f t="shared" si="242"/>
        <v>2029</v>
      </c>
      <c r="AC98" s="132">
        <f t="shared" si="242"/>
        <v>2029</v>
      </c>
      <c r="AD98" s="132">
        <f t="shared" si="242"/>
        <v>2030</v>
      </c>
      <c r="AE98" s="132">
        <f t="shared" si="242"/>
        <v>2030</v>
      </c>
      <c r="AF98" s="132">
        <f t="shared" si="242"/>
        <v>2030</v>
      </c>
      <c r="AG98" s="132">
        <f t="shared" si="242"/>
        <v>2030</v>
      </c>
      <c r="AH98" s="132">
        <f t="shared" si="242"/>
        <v>2031</v>
      </c>
      <c r="AI98" s="132">
        <f t="shared" si="242"/>
        <v>2031</v>
      </c>
      <c r="AJ98" s="132">
        <f t="shared" si="242"/>
        <v>2031</v>
      </c>
      <c r="AK98" s="132">
        <f t="shared" si="242"/>
        <v>2031</v>
      </c>
      <c r="AL98" s="132">
        <f t="shared" si="242"/>
        <v>2032</v>
      </c>
      <c r="AM98" s="132">
        <f t="shared" si="242"/>
        <v>2032</v>
      </c>
      <c r="AN98" s="132">
        <f t="shared" si="242"/>
        <v>2032</v>
      </c>
      <c r="AO98" s="132">
        <f t="shared" si="242"/>
        <v>2032</v>
      </c>
      <c r="AP98" s="132">
        <f t="shared" si="242"/>
        <v>2033</v>
      </c>
      <c r="AQ98" s="132">
        <f t="shared" si="242"/>
        <v>2033</v>
      </c>
      <c r="AR98" s="132">
        <f t="shared" si="242"/>
        <v>2033</v>
      </c>
      <c r="AS98" s="132">
        <f t="shared" si="242"/>
        <v>2033</v>
      </c>
      <c r="AT98" s="132">
        <f t="shared" si="242"/>
        <v>2034</v>
      </c>
      <c r="AU98" s="132">
        <f t="shared" si="242"/>
        <v>2034</v>
      </c>
      <c r="AV98" s="132">
        <f t="shared" si="242"/>
        <v>2034</v>
      </c>
      <c r="AW98" s="132">
        <f t="shared" si="242"/>
        <v>2034</v>
      </c>
      <c r="AX98" s="132">
        <f t="shared" si="242"/>
        <v>2035</v>
      </c>
      <c r="AY98" s="132">
        <f t="shared" si="242"/>
        <v>2035</v>
      </c>
      <c r="AZ98" s="132">
        <f t="shared" si="242"/>
        <v>2035</v>
      </c>
      <c r="BA98" s="132">
        <f t="shared" si="242"/>
        <v>2035</v>
      </c>
      <c r="BB98" s="132">
        <f t="shared" si="242"/>
        <v>2036</v>
      </c>
      <c r="BC98" s="132">
        <f t="shared" si="242"/>
        <v>2036</v>
      </c>
      <c r="BD98" s="132">
        <f t="shared" si="242"/>
        <v>2036</v>
      </c>
      <c r="BE98" s="132">
        <f t="shared" si="242"/>
        <v>2036</v>
      </c>
      <c r="BF98" s="132">
        <f t="shared" si="242"/>
        <v>2037</v>
      </c>
      <c r="BG98" s="132">
        <f t="shared" si="242"/>
        <v>2037</v>
      </c>
      <c r="BH98" s="132">
        <f t="shared" si="242"/>
        <v>2037</v>
      </c>
      <c r="BI98" s="132">
        <f t="shared" si="242"/>
        <v>2037</v>
      </c>
      <c r="BJ98" s="132">
        <f t="shared" si="242"/>
        <v>2038</v>
      </c>
      <c r="BK98" s="132">
        <f t="shared" si="242"/>
        <v>2038</v>
      </c>
      <c r="BL98" s="132">
        <f t="shared" si="242"/>
        <v>2038</v>
      </c>
      <c r="BM98" s="132">
        <f t="shared" si="242"/>
        <v>2038</v>
      </c>
      <c r="BN98" s="132">
        <f t="shared" si="242"/>
        <v>2039</v>
      </c>
      <c r="BO98" s="132">
        <f t="shared" ref="BO98:CU98" si="243">IF(MONTH(BO97)&lt;=3,YEAR(BO97),YEAR(BO97)+1)</f>
        <v>2039</v>
      </c>
      <c r="BP98" s="132">
        <f t="shared" si="243"/>
        <v>2039</v>
      </c>
      <c r="BQ98" s="132">
        <f t="shared" si="243"/>
        <v>2039</v>
      </c>
      <c r="BR98" s="132">
        <f t="shared" si="243"/>
        <v>2040</v>
      </c>
      <c r="BS98" s="132">
        <f t="shared" si="243"/>
        <v>2040</v>
      </c>
      <c r="BT98" s="132">
        <f t="shared" si="243"/>
        <v>2040</v>
      </c>
      <c r="BU98" s="132">
        <f t="shared" si="243"/>
        <v>2040</v>
      </c>
      <c r="BV98" s="132">
        <f t="shared" si="243"/>
        <v>2041</v>
      </c>
      <c r="BW98" s="132">
        <f t="shared" si="243"/>
        <v>2041</v>
      </c>
      <c r="BX98" s="132">
        <f t="shared" si="243"/>
        <v>2041</v>
      </c>
      <c r="BY98" s="132">
        <f t="shared" si="243"/>
        <v>2041</v>
      </c>
      <c r="BZ98" s="132">
        <f t="shared" si="243"/>
        <v>2042</v>
      </c>
      <c r="CA98" s="132">
        <f t="shared" si="243"/>
        <v>2042</v>
      </c>
      <c r="CB98" s="132">
        <f t="shared" si="243"/>
        <v>2042</v>
      </c>
      <c r="CC98" s="132">
        <f t="shared" si="243"/>
        <v>2042</v>
      </c>
      <c r="CD98" s="132">
        <f t="shared" si="243"/>
        <v>2043</v>
      </c>
      <c r="CE98" s="132">
        <f t="shared" si="243"/>
        <v>2043</v>
      </c>
      <c r="CF98" s="132">
        <f t="shared" si="243"/>
        <v>2043</v>
      </c>
      <c r="CG98" s="132">
        <f t="shared" si="243"/>
        <v>2043</v>
      </c>
      <c r="CH98" s="132">
        <f t="shared" si="243"/>
        <v>2044</v>
      </c>
      <c r="CI98" s="132">
        <f t="shared" si="243"/>
        <v>2044</v>
      </c>
      <c r="CJ98" s="132">
        <f t="shared" si="243"/>
        <v>2044</v>
      </c>
      <c r="CK98" s="132">
        <f t="shared" si="243"/>
        <v>2044</v>
      </c>
      <c r="CL98" s="132">
        <f t="shared" si="243"/>
        <v>2045</v>
      </c>
      <c r="CM98" s="132">
        <f t="shared" si="243"/>
        <v>2045</v>
      </c>
      <c r="CN98" s="132">
        <f t="shared" si="243"/>
        <v>2045</v>
      </c>
      <c r="CO98" s="132">
        <f t="shared" si="243"/>
        <v>2045</v>
      </c>
      <c r="CP98" s="132">
        <f t="shared" si="243"/>
        <v>2046</v>
      </c>
      <c r="CQ98" s="132">
        <f t="shared" si="243"/>
        <v>2046</v>
      </c>
      <c r="CR98" s="132">
        <f t="shared" si="243"/>
        <v>2046</v>
      </c>
      <c r="CS98" s="132">
        <f t="shared" si="243"/>
        <v>2046</v>
      </c>
      <c r="CT98" s="132">
        <f t="shared" si="243"/>
        <v>2047</v>
      </c>
      <c r="CU98" s="132">
        <f t="shared" si="243"/>
        <v>2047</v>
      </c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</row>
    <row r="99" spans="1:159" s="1" customFormat="1" ht="15.75">
      <c r="A99" s="119"/>
      <c r="B99" s="116">
        <f>'FGD Input'!L50</f>
        <v>0</v>
      </c>
      <c r="C99" s="62"/>
      <c r="D99" s="124">
        <f>IFERROR(HLOOKUP(D97,'FGD Input'!$D$54:$CG$56,3,FALSE),0)</f>
        <v>0</v>
      </c>
      <c r="E99" s="124">
        <f>IFERROR(HLOOKUP(E97,'FGD Input'!$D$54:$CG$56,3,FALSE),0)</f>
        <v>1.8633540372670815E-2</v>
      </c>
      <c r="F99" s="124">
        <f>IFERROR(HLOOKUP(F97,'FGD Input'!$D$54:$CG$56,3,FALSE),0)</f>
        <v>1.8633540372670815E-2</v>
      </c>
      <c r="G99" s="124">
        <f>IFERROR(HLOOKUP(G97,'FGD Input'!$D$54:$CG$56,3,FALSE),0)</f>
        <v>1.8633540372670815E-2</v>
      </c>
      <c r="H99" s="124">
        <f>IFERROR(HLOOKUP(H97,'FGD Input'!$D$54:$CG$56,3,FALSE),0)</f>
        <v>1.8633540372670815E-2</v>
      </c>
      <c r="I99" s="124">
        <f>IFERROR(HLOOKUP(I97,'FGD Input'!$D$54:$CG$56,3,FALSE),0)</f>
        <v>1.8633540372670815E-2</v>
      </c>
      <c r="J99" s="124">
        <f>IFERROR(HLOOKUP(J97,'FGD Input'!$D$54:$CG$56,3,FALSE),0)</f>
        <v>1.8633540372670815E-2</v>
      </c>
      <c r="K99" s="124">
        <f>IFERROR(HLOOKUP(K97,'FGD Input'!$D$54:$CG$56,3,FALSE),0)</f>
        <v>1.8633540372670815E-2</v>
      </c>
      <c r="L99" s="124">
        <f>IFERROR(HLOOKUP(L97,'FGD Input'!$D$54:$CG$56,3,FALSE),0)</f>
        <v>2.0186335403726718E-2</v>
      </c>
      <c r="M99" s="124">
        <f>IFERROR(HLOOKUP(M97,'FGD Input'!$D$54:$CG$56,3,FALSE),0)</f>
        <v>2.0186335403726718E-2</v>
      </c>
      <c r="N99" s="124">
        <f>IFERROR(HLOOKUP(N97,'FGD Input'!$D$54:$CG$56,3,FALSE),0)</f>
        <v>2.0186335403726718E-2</v>
      </c>
      <c r="O99" s="124">
        <f>IFERROR(HLOOKUP(O97,'FGD Input'!$D$54:$CG$56,3,FALSE),0)</f>
        <v>2.0186335403726718E-2</v>
      </c>
      <c r="P99" s="124">
        <f>IFERROR(HLOOKUP(P97,'FGD Input'!$D$54:$CG$56,3,FALSE),0)</f>
        <v>2.1739130434782622E-2</v>
      </c>
      <c r="Q99" s="124">
        <f>IFERROR(HLOOKUP(Q97,'FGD Input'!$D$54:$CG$56,3,FALSE),0)</f>
        <v>2.1739130434782622E-2</v>
      </c>
      <c r="R99" s="124">
        <f>IFERROR(HLOOKUP(R97,'FGD Input'!$D$54:$CG$56,3,FALSE),0)</f>
        <v>2.1739130434782622E-2</v>
      </c>
      <c r="S99" s="124">
        <f>IFERROR(HLOOKUP(S97,'FGD Input'!$D$54:$CG$56,3,FALSE),0)</f>
        <v>2.1739130434782622E-2</v>
      </c>
      <c r="T99" s="124">
        <f>IFERROR(HLOOKUP(T97,'FGD Input'!$D$54:$CG$56,3,FALSE),0)</f>
        <v>1.8633540372670815E-2</v>
      </c>
      <c r="U99" s="124">
        <f>IFERROR(HLOOKUP(U97,'FGD Input'!$D$54:$CG$56,3,FALSE),0)</f>
        <v>1.8633540372670815E-2</v>
      </c>
      <c r="V99" s="124">
        <f>IFERROR(HLOOKUP(V97,'FGD Input'!$D$54:$CG$56,3,FALSE),0)</f>
        <v>1.8633540372670815E-2</v>
      </c>
      <c r="W99" s="124">
        <f>IFERROR(HLOOKUP(W97,'FGD Input'!$D$54:$CG$56,3,FALSE),0)</f>
        <v>1.8633540372670815E-2</v>
      </c>
      <c r="X99" s="124">
        <f>IFERROR(HLOOKUP(X97,'FGD Input'!$D$54:$CG$56,3,FALSE),0)</f>
        <v>1.8633540372670815E-2</v>
      </c>
      <c r="Y99" s="124">
        <f>IFERROR(HLOOKUP(Y97,'FGD Input'!$D$54:$CG$56,3,FALSE),0)</f>
        <v>1.8633540372670815E-2</v>
      </c>
      <c r="Z99" s="124">
        <f>IFERROR(HLOOKUP(Z97,'FGD Input'!$D$54:$CG$56,3,FALSE),0)</f>
        <v>1.8633540372670815E-2</v>
      </c>
      <c r="AA99" s="124">
        <f>IFERROR(HLOOKUP(AA97,'FGD Input'!$D$54:$CG$56,3,FALSE),0)</f>
        <v>1.8633540372670815E-2</v>
      </c>
      <c r="AB99" s="124">
        <f>IFERROR(HLOOKUP(AB97,'FGD Input'!$D$54:$CG$56,3,FALSE),0)</f>
        <v>2.1739130434782622E-2</v>
      </c>
      <c r="AC99" s="124">
        <f>IFERROR(HLOOKUP(AC97,'FGD Input'!$D$54:$CG$56,3,FALSE),0)</f>
        <v>2.1739130434782622E-2</v>
      </c>
      <c r="AD99" s="124">
        <f>IFERROR(HLOOKUP(AD97,'FGD Input'!$D$54:$CG$56,3,FALSE),0)</f>
        <v>2.1739130434782622E-2</v>
      </c>
      <c r="AE99" s="124">
        <f>IFERROR(HLOOKUP(AE97,'FGD Input'!$D$54:$CG$56,3,FALSE),0)</f>
        <v>2.1739130434782622E-2</v>
      </c>
      <c r="AF99" s="124">
        <f>IFERROR(HLOOKUP(AF97,'FGD Input'!$D$54:$CG$56,3,FALSE),0)</f>
        <v>2.1739130434782622E-2</v>
      </c>
      <c r="AG99" s="124">
        <f>IFERROR(HLOOKUP(AG97,'FGD Input'!$D$54:$CG$56,3,FALSE),0)</f>
        <v>2.1739130434782622E-2</v>
      </c>
      <c r="AH99" s="124">
        <f>IFERROR(HLOOKUP(AH97,'FGD Input'!$D$54:$CG$56,3,FALSE),0)</f>
        <v>2.1739130434782622E-2</v>
      </c>
      <c r="AI99" s="124">
        <f>IFERROR(HLOOKUP(AI97,'FGD Input'!$D$54:$CG$56,3,FALSE),0)</f>
        <v>2.1739130434782622E-2</v>
      </c>
      <c r="AJ99" s="124">
        <f>IFERROR(HLOOKUP(AJ97,'FGD Input'!$D$54:$CG$56,3,FALSE),0)</f>
        <v>2.1739130434782622E-2</v>
      </c>
      <c r="AK99" s="124">
        <f>IFERROR(HLOOKUP(AK97,'FGD Input'!$D$54:$CG$56,3,FALSE),0)</f>
        <v>2.1739130434782622E-2</v>
      </c>
      <c r="AL99" s="124">
        <f>IFERROR(HLOOKUP(AL97,'FGD Input'!$D$54:$CG$56,3,FALSE),0)</f>
        <v>2.1739130434782622E-2</v>
      </c>
      <c r="AM99" s="124">
        <f>IFERROR(HLOOKUP(AM97,'FGD Input'!$D$54:$CG$56,3,FALSE),0)</f>
        <v>2.1739130434782622E-2</v>
      </c>
      <c r="AN99" s="124">
        <f>IFERROR(HLOOKUP(AN97,'FGD Input'!$D$54:$CG$56,3,FALSE),0)</f>
        <v>2.1739130434782622E-2</v>
      </c>
      <c r="AO99" s="124">
        <f>IFERROR(HLOOKUP(AO97,'FGD Input'!$D$54:$CG$56,3,FALSE),0)</f>
        <v>2.1739130434782622E-2</v>
      </c>
      <c r="AP99" s="124">
        <f>IFERROR(HLOOKUP(AP97,'FGD Input'!$D$54:$CG$56,3,FALSE),0)</f>
        <v>2.1739130434782622E-2</v>
      </c>
      <c r="AQ99" s="124">
        <f>IFERROR(HLOOKUP(AQ97,'FGD Input'!$D$54:$CG$56,3,FALSE),0)</f>
        <v>2.1739130434782622E-2</v>
      </c>
      <c r="AR99" s="124">
        <f>IFERROR(HLOOKUP(AR97,'FGD Input'!$D$54:$CG$56,3,FALSE),0)</f>
        <v>2.1739130434782622E-2</v>
      </c>
      <c r="AS99" s="124">
        <f>IFERROR(HLOOKUP(AS97,'FGD Input'!$D$54:$CG$56,3,FALSE),0)</f>
        <v>2.1739130434782622E-2</v>
      </c>
      <c r="AT99" s="124">
        <f>IFERROR(HLOOKUP(AT97,'FGD Input'!$D$54:$CG$56,3,FALSE),0)</f>
        <v>2.1739130434782622E-2</v>
      </c>
      <c r="AU99" s="124">
        <f>IFERROR(HLOOKUP(AU97,'FGD Input'!$D$54:$CG$56,3,FALSE),0)</f>
        <v>2.1739130434782622E-2</v>
      </c>
      <c r="AV99" s="124">
        <f>IFERROR(HLOOKUP(AV97,'FGD Input'!$D$54:$CG$56,3,FALSE),0)</f>
        <v>2.1739130434782622E-2</v>
      </c>
      <c r="AW99" s="124">
        <f>IFERROR(HLOOKUP(AW97,'FGD Input'!$D$54:$CG$56,3,FALSE),0)</f>
        <v>2.1739130434782622E-2</v>
      </c>
      <c r="AX99" s="124">
        <f>IFERROR(HLOOKUP(AX97,'FGD Input'!$D$54:$CG$56,3,FALSE),0)</f>
        <v>2.1739130434782622E-2</v>
      </c>
      <c r="AY99" s="124">
        <f>IFERROR(HLOOKUP(AY97,'FGD Input'!$D$54:$CG$56,3,FALSE),0)</f>
        <v>2.1739130434782622E-2</v>
      </c>
      <c r="AZ99" s="124">
        <f>IFERROR(HLOOKUP(AZ97,'FGD Input'!$D$54:$CG$56,3,FALSE),0)</f>
        <v>3.1055900621118029E-2</v>
      </c>
      <c r="BA99" s="124">
        <f>IFERROR(HLOOKUP(BA97,'FGD Input'!$D$54:$CG$56,3,FALSE),0)</f>
        <v>0</v>
      </c>
      <c r="BB99" s="124">
        <f>IFERROR(HLOOKUP(BB97,'FGD Input'!$D$54:$CG$56,3,FALSE),0)</f>
        <v>0</v>
      </c>
      <c r="BC99" s="124">
        <f>IFERROR(HLOOKUP(BC97,'FGD Input'!$D$54:$CG$56,3,FALSE),0)</f>
        <v>0</v>
      </c>
      <c r="BD99" s="124">
        <f>IFERROR(HLOOKUP(BD97,'FGD Input'!$D$54:$CG$56,3,FALSE),0)</f>
        <v>0</v>
      </c>
      <c r="BE99" s="124">
        <f>IFERROR(HLOOKUP(BE97,'FGD Input'!$D$54:$CG$56,3,FALSE),0)</f>
        <v>0</v>
      </c>
      <c r="BF99" s="124">
        <f>IFERROR(HLOOKUP(BF97,'FGD Input'!$D$54:$CG$56,3,FALSE),0)</f>
        <v>0</v>
      </c>
      <c r="BG99" s="124">
        <f>IFERROR(HLOOKUP(BG97,'FGD Input'!$D$54:$CG$56,3,FALSE),0)</f>
        <v>0</v>
      </c>
      <c r="BH99" s="124">
        <f>IFERROR(HLOOKUP(BH97,'FGD Input'!$D$54:$CG$56,3,FALSE),0)</f>
        <v>0</v>
      </c>
      <c r="BI99" s="124">
        <f>IFERROR(HLOOKUP(BI97,'FGD Input'!$D$54:$CG$56,3,FALSE),0)</f>
        <v>0</v>
      </c>
      <c r="BJ99" s="124">
        <f>IFERROR(HLOOKUP(BJ97,'FGD Input'!$D$54:$CG$56,3,FALSE),0)</f>
        <v>0</v>
      </c>
      <c r="BK99" s="124">
        <f>IFERROR(HLOOKUP(BK97,'FGD Input'!$D$54:$CG$56,3,FALSE),0)</f>
        <v>0</v>
      </c>
      <c r="BL99" s="124">
        <f>IFERROR(HLOOKUP(BL97,'FGD Input'!$D$54:$CG$56,3,FALSE),0)</f>
        <v>0</v>
      </c>
      <c r="BM99" s="124">
        <f>IFERROR(HLOOKUP(BM97,'FGD Input'!$D$54:$CG$56,3,FALSE),0)</f>
        <v>0</v>
      </c>
      <c r="BN99" s="124">
        <f>IFERROR(HLOOKUP(BN97,'FGD Input'!$D$54:$CG$56,3,FALSE),0)</f>
        <v>0</v>
      </c>
      <c r="BO99" s="124">
        <f>IFERROR(HLOOKUP(BO97,'FGD Input'!$D$54:$CG$56,3,FALSE),0)</f>
        <v>0</v>
      </c>
      <c r="BP99" s="124">
        <f>IFERROR(HLOOKUP(BP97,'FGD Input'!$D$54:$CG$56,3,FALSE),0)</f>
        <v>0</v>
      </c>
      <c r="BQ99" s="124">
        <f>IFERROR(HLOOKUP(BQ97,'FGD Input'!$D$54:$CG$56,3,FALSE),0)</f>
        <v>0</v>
      </c>
      <c r="BR99" s="124">
        <f>IFERROR(HLOOKUP(BR97,'FGD Input'!$D$54:$CG$56,3,FALSE),0)</f>
        <v>0</v>
      </c>
      <c r="BS99" s="124">
        <f>IFERROR(HLOOKUP(BS97,'FGD Input'!$D$54:$CG$56,3,FALSE),0)</f>
        <v>0</v>
      </c>
      <c r="BT99" s="124">
        <f>IFERROR(HLOOKUP(BT97,'FGD Input'!$D$54:$CG$56,3,FALSE),0)</f>
        <v>0</v>
      </c>
      <c r="BU99" s="124">
        <f>IFERROR(HLOOKUP(BU97,'FGD Input'!$D$54:$CG$56,3,FALSE),0)</f>
        <v>0</v>
      </c>
      <c r="BV99" s="124">
        <f>IFERROR(HLOOKUP(BV97,'FGD Input'!$D$54:$CG$56,3,FALSE),0)</f>
        <v>0</v>
      </c>
      <c r="BW99" s="124">
        <f>IFERROR(HLOOKUP(BW97,'FGD Input'!$D$54:$CG$56,3,FALSE),0)</f>
        <v>0</v>
      </c>
      <c r="BX99" s="124">
        <f>IFERROR(HLOOKUP(BX97,'FGD Input'!$D$54:$CG$56,3,FALSE),0)</f>
        <v>0</v>
      </c>
      <c r="BY99" s="124">
        <f>IFERROR(HLOOKUP(BY97,'FGD Input'!$D$54:$CG$56,3,FALSE),0)</f>
        <v>0</v>
      </c>
      <c r="BZ99" s="124">
        <f>IFERROR(HLOOKUP(BZ97,'FGD Input'!$D$54:$CG$56,3,FALSE),0)</f>
        <v>0</v>
      </c>
      <c r="CA99" s="124">
        <f>IFERROR(HLOOKUP(CA97,'FGD Input'!$D$54:$CG$56,3,FALSE),0)</f>
        <v>0</v>
      </c>
      <c r="CB99" s="124">
        <f>IFERROR(HLOOKUP(CB97,'FGD Input'!$D$54:$CG$56,3,FALSE),0)</f>
        <v>0</v>
      </c>
      <c r="CC99" s="124">
        <f>IFERROR(HLOOKUP(CC97,'FGD Input'!$D$54:$CG$56,3,FALSE),0)</f>
        <v>0</v>
      </c>
      <c r="CD99" s="124">
        <f>IFERROR(HLOOKUP(CD97,'FGD Input'!$D$54:$CG$56,3,FALSE),0)</f>
        <v>0</v>
      </c>
      <c r="CE99" s="124">
        <f>IFERROR(HLOOKUP(CE97,'FGD Input'!$D$54:$CG$56,3,FALSE),0)</f>
        <v>0</v>
      </c>
      <c r="CF99" s="124">
        <f>IFERROR(HLOOKUP(CF97,'FGD Input'!$D$54:$CG$56,3,FALSE),0)</f>
        <v>0</v>
      </c>
      <c r="CG99" s="124">
        <f>IFERROR(HLOOKUP(CG97,'FGD Input'!$D$54:$CG$56,3,FALSE),0)</f>
        <v>0</v>
      </c>
      <c r="CH99" s="124">
        <f>IFERROR(HLOOKUP(CH97,'FGD Input'!$D$54:$CG$56,3,FALSE),0)</f>
        <v>0</v>
      </c>
      <c r="CI99" s="124">
        <f>IFERROR(HLOOKUP(CI97,'FGD Input'!$D$54:$CG$56,3,FALSE),0)</f>
        <v>0</v>
      </c>
      <c r="CJ99" s="124" t="e">
        <f>HLOOKUP(CJ97,'FGD Input'!$D$54:$CG$56,3,FALSE)</f>
        <v>#N/A</v>
      </c>
      <c r="CK99" s="130"/>
      <c r="CL99" s="130"/>
      <c r="CM99" s="130"/>
      <c r="CN99" s="130"/>
      <c r="CO99" s="130"/>
      <c r="CP99" s="130"/>
      <c r="CQ99" s="130"/>
      <c r="CR99" s="130"/>
      <c r="CS99" s="130"/>
      <c r="CT99" s="130"/>
      <c r="CU99" s="130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</row>
    <row r="100" spans="1:159" s="1" customFormat="1">
      <c r="A100" s="62" t="s">
        <v>645</v>
      </c>
      <c r="B100" s="62"/>
      <c r="C100" s="116">
        <f>'FGD Input'!I36</f>
        <v>125.25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</row>
    <row r="101" spans="1:159" s="1" customFormat="1">
      <c r="A101" s="62" t="s">
        <v>116</v>
      </c>
      <c r="B101" s="62"/>
      <c r="C101" s="116"/>
      <c r="D101" s="116">
        <f>C100</f>
        <v>125.25</v>
      </c>
      <c r="E101" s="116">
        <f>D104</f>
        <v>125.25</v>
      </c>
      <c r="F101" s="116">
        <f t="shared" ref="F101" si="244">E104</f>
        <v>122.91614906832298</v>
      </c>
      <c r="G101" s="116">
        <f t="shared" ref="G101" si="245">F104</f>
        <v>120.58229813664596</v>
      </c>
      <c r="H101" s="116">
        <f t="shared" ref="H101" si="246">G104</f>
        <v>118.24844720496894</v>
      </c>
      <c r="I101" s="116">
        <f t="shared" ref="I101" si="247">H104</f>
        <v>115.91459627329192</v>
      </c>
      <c r="J101" s="116">
        <f t="shared" ref="J101" si="248">I104</f>
        <v>113.5807453416149</v>
      </c>
      <c r="K101" s="116">
        <f t="shared" ref="K101" si="249">J104</f>
        <v>111.24689440993788</v>
      </c>
      <c r="L101" s="116">
        <f t="shared" ref="L101" si="250">K104</f>
        <v>108.91304347826086</v>
      </c>
      <c r="M101" s="116">
        <f t="shared" ref="M101" si="251">L104</f>
        <v>106.38470496894409</v>
      </c>
      <c r="N101" s="116">
        <f t="shared" ref="N101" si="252">M104</f>
        <v>103.85636645962732</v>
      </c>
      <c r="O101" s="116">
        <f t="shared" ref="O101" si="253">N104</f>
        <v>101.32802795031056</v>
      </c>
      <c r="P101" s="116">
        <f t="shared" ref="P101" si="254">O104</f>
        <v>98.799689440993788</v>
      </c>
      <c r="Q101" s="116">
        <f t="shared" ref="Q101" si="255">P104</f>
        <v>96.076863354037272</v>
      </c>
      <c r="R101" s="116">
        <f t="shared" ref="R101" si="256">Q104</f>
        <v>93.354037267080741</v>
      </c>
      <c r="S101" s="116">
        <f t="shared" ref="S101" si="257">R104</f>
        <v>90.631211180124211</v>
      </c>
      <c r="T101" s="116">
        <f t="shared" ref="T101" si="258">S104</f>
        <v>87.908385093167681</v>
      </c>
      <c r="U101" s="116">
        <f t="shared" ref="U101" si="259">T104</f>
        <v>85.574534161490661</v>
      </c>
      <c r="V101" s="116">
        <f t="shared" ref="V101" si="260">U104</f>
        <v>83.240683229813641</v>
      </c>
      <c r="W101" s="116">
        <f t="shared" ref="W101" si="261">V104</f>
        <v>80.906832298136621</v>
      </c>
      <c r="X101" s="116">
        <f t="shared" ref="X101" si="262">W104</f>
        <v>78.572981366459601</v>
      </c>
      <c r="Y101" s="116">
        <f t="shared" ref="Y101" si="263">X104</f>
        <v>76.239130434782581</v>
      </c>
      <c r="Z101" s="116">
        <f t="shared" ref="Z101" si="264">Y104</f>
        <v>73.905279503105561</v>
      </c>
      <c r="AA101" s="116">
        <f t="shared" ref="AA101" si="265">Z104</f>
        <v>71.571428571428541</v>
      </c>
      <c r="AB101" s="116">
        <f t="shared" ref="AB101" si="266">AA104</f>
        <v>69.237577639751521</v>
      </c>
      <c r="AC101" s="116">
        <f t="shared" ref="AC101" si="267">AB104</f>
        <v>66.514751552794991</v>
      </c>
      <c r="AD101" s="116">
        <f t="shared" ref="AD101" si="268">AC104</f>
        <v>63.791925465838467</v>
      </c>
      <c r="AE101" s="116">
        <f t="shared" ref="AE101" si="269">AD104</f>
        <v>61.069099378881944</v>
      </c>
      <c r="AF101" s="116">
        <f t="shared" ref="AF101" si="270">AE104</f>
        <v>58.346273291925421</v>
      </c>
      <c r="AG101" s="116">
        <f t="shared" ref="AG101" si="271">AF104</f>
        <v>55.623447204968897</v>
      </c>
      <c r="AH101" s="116">
        <f t="shared" ref="AH101" si="272">AG104</f>
        <v>52.900621118012374</v>
      </c>
      <c r="AI101" s="116">
        <f t="shared" ref="AI101" si="273">AH104</f>
        <v>50.177795031055851</v>
      </c>
      <c r="AJ101" s="116">
        <f t="shared" ref="AJ101" si="274">AI104</f>
        <v>47.454968944099328</v>
      </c>
      <c r="AK101" s="116">
        <f t="shared" ref="AK101" si="275">AJ104</f>
        <v>44.732142857142804</v>
      </c>
      <c r="AL101" s="116">
        <f t="shared" ref="AL101" si="276">AK104</f>
        <v>42.009316770186281</v>
      </c>
      <c r="AM101" s="116">
        <f t="shared" ref="AM101" si="277">AL104</f>
        <v>39.286490683229758</v>
      </c>
      <c r="AN101" s="116">
        <f t="shared" ref="AN101" si="278">AM104</f>
        <v>36.563664596273235</v>
      </c>
      <c r="AO101" s="116">
        <f t="shared" ref="AO101" si="279">AN104</f>
        <v>33.840838509316711</v>
      </c>
      <c r="AP101" s="116">
        <f t="shared" ref="AP101" si="280">AO104</f>
        <v>31.118012422360188</v>
      </c>
      <c r="AQ101" s="116">
        <f t="shared" ref="AQ101" si="281">AP104</f>
        <v>28.395186335403665</v>
      </c>
      <c r="AR101" s="116">
        <f t="shared" ref="AR101" si="282">AQ104</f>
        <v>25.672360248447141</v>
      </c>
      <c r="AS101" s="116">
        <f t="shared" ref="AS101" si="283">AR104</f>
        <v>22.949534161490618</v>
      </c>
      <c r="AT101" s="116">
        <f t="shared" ref="AT101" si="284">AS104</f>
        <v>20.226708074534095</v>
      </c>
      <c r="AU101" s="116">
        <f t="shared" ref="AU101" si="285">AT104</f>
        <v>17.503881987577572</v>
      </c>
      <c r="AV101" s="116">
        <f t="shared" ref="AV101" si="286">AU104</f>
        <v>14.781055900621048</v>
      </c>
      <c r="AW101" s="116">
        <f t="shared" ref="AW101" si="287">AV104</f>
        <v>12.058229813664525</v>
      </c>
      <c r="AX101" s="116">
        <f t="shared" ref="AX101" si="288">AW104</f>
        <v>9.3354037267080017</v>
      </c>
      <c r="AY101" s="116">
        <f t="shared" ref="AY101" si="289">AX104</f>
        <v>6.6125776397514784</v>
      </c>
      <c r="AZ101" s="116">
        <f t="shared" ref="AZ101" si="290">AY104</f>
        <v>3.8897515527949551</v>
      </c>
      <c r="BA101" s="116">
        <f t="shared" ref="BA101" si="291">AZ104</f>
        <v>-7.815970093361102E-14</v>
      </c>
      <c r="BB101" s="116">
        <f t="shared" ref="BB101" si="292">BA104</f>
        <v>-7.815970093361102E-14</v>
      </c>
      <c r="BC101" s="116">
        <f t="shared" ref="BC101" si="293">BB104</f>
        <v>-7.815970093361102E-14</v>
      </c>
      <c r="BD101" s="116">
        <f t="shared" ref="BD101" si="294">BC104</f>
        <v>-7.815970093361102E-14</v>
      </c>
      <c r="BE101" s="116">
        <f t="shared" ref="BE101" si="295">BD104</f>
        <v>-7.815970093361102E-14</v>
      </c>
      <c r="BF101" s="116">
        <f t="shared" ref="BF101" si="296">BE104</f>
        <v>-7.815970093361102E-14</v>
      </c>
      <c r="BG101" s="116">
        <f t="shared" ref="BG101" si="297">BF104</f>
        <v>-7.815970093361102E-14</v>
      </c>
      <c r="BH101" s="116">
        <f t="shared" ref="BH101" si="298">BG104</f>
        <v>-7.815970093361102E-14</v>
      </c>
      <c r="BI101" s="116">
        <f t="shared" ref="BI101" si="299">BH104</f>
        <v>-7.815970093361102E-14</v>
      </c>
      <c r="BJ101" s="116">
        <f t="shared" ref="BJ101" si="300">BI104</f>
        <v>-7.815970093361102E-14</v>
      </c>
      <c r="BK101" s="116">
        <f t="shared" ref="BK101" si="301">BJ104</f>
        <v>-7.815970093361102E-14</v>
      </c>
      <c r="BL101" s="116">
        <f t="shared" ref="BL101" si="302">BK104</f>
        <v>-7.815970093361102E-14</v>
      </c>
      <c r="BM101" s="116">
        <f t="shared" ref="BM101" si="303">BL104</f>
        <v>-7.815970093361102E-14</v>
      </c>
      <c r="BN101" s="116">
        <f t="shared" ref="BN101" si="304">BM104</f>
        <v>-7.815970093361102E-14</v>
      </c>
      <c r="BO101" s="116">
        <f t="shared" ref="BO101" si="305">BN104</f>
        <v>-7.815970093361102E-14</v>
      </c>
      <c r="BP101" s="116">
        <f t="shared" ref="BP101" si="306">BO104</f>
        <v>-7.815970093361102E-14</v>
      </c>
      <c r="BQ101" s="116">
        <f t="shared" ref="BQ101" si="307">BP104</f>
        <v>-7.815970093361102E-14</v>
      </c>
      <c r="BR101" s="116">
        <f t="shared" ref="BR101" si="308">BQ104</f>
        <v>-7.815970093361102E-14</v>
      </c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</row>
    <row r="102" spans="1:159" s="1" customFormat="1">
      <c r="A102" s="62" t="s">
        <v>117</v>
      </c>
      <c r="B102" s="62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</row>
    <row r="103" spans="1:159" s="1" customFormat="1">
      <c r="A103" s="62" t="s">
        <v>118</v>
      </c>
      <c r="B103" s="62"/>
      <c r="C103" s="116"/>
      <c r="D103" s="116">
        <f>$C$100*D99</f>
        <v>0</v>
      </c>
      <c r="E103" s="116">
        <f t="shared" ref="E103:BP103" si="309">$C$100*E99</f>
        <v>2.3338509316770195</v>
      </c>
      <c r="F103" s="116">
        <f t="shared" si="309"/>
        <v>2.3338509316770195</v>
      </c>
      <c r="G103" s="116">
        <f t="shared" si="309"/>
        <v>2.3338509316770195</v>
      </c>
      <c r="H103" s="116">
        <f t="shared" si="309"/>
        <v>2.3338509316770195</v>
      </c>
      <c r="I103" s="116">
        <f t="shared" si="309"/>
        <v>2.3338509316770195</v>
      </c>
      <c r="J103" s="116">
        <f t="shared" si="309"/>
        <v>2.3338509316770195</v>
      </c>
      <c r="K103" s="116">
        <f t="shared" si="309"/>
        <v>2.3338509316770195</v>
      </c>
      <c r="L103" s="116">
        <f t="shared" si="309"/>
        <v>2.5283385093167716</v>
      </c>
      <c r="M103" s="116">
        <f t="shared" si="309"/>
        <v>2.5283385093167716</v>
      </c>
      <c r="N103" s="116">
        <f t="shared" si="309"/>
        <v>2.5283385093167716</v>
      </c>
      <c r="O103" s="116">
        <f t="shared" si="309"/>
        <v>2.5283385093167716</v>
      </c>
      <c r="P103" s="116">
        <f t="shared" si="309"/>
        <v>2.7228260869565233</v>
      </c>
      <c r="Q103" s="116">
        <f t="shared" si="309"/>
        <v>2.7228260869565233</v>
      </c>
      <c r="R103" s="116">
        <f t="shared" si="309"/>
        <v>2.7228260869565233</v>
      </c>
      <c r="S103" s="116">
        <f t="shared" si="309"/>
        <v>2.7228260869565233</v>
      </c>
      <c r="T103" s="116">
        <f t="shared" si="309"/>
        <v>2.3338509316770195</v>
      </c>
      <c r="U103" s="116">
        <f t="shared" si="309"/>
        <v>2.3338509316770195</v>
      </c>
      <c r="V103" s="116">
        <f t="shared" si="309"/>
        <v>2.3338509316770195</v>
      </c>
      <c r="W103" s="116">
        <f t="shared" si="309"/>
        <v>2.3338509316770195</v>
      </c>
      <c r="X103" s="116">
        <f t="shared" si="309"/>
        <v>2.3338509316770195</v>
      </c>
      <c r="Y103" s="116">
        <f t="shared" si="309"/>
        <v>2.3338509316770195</v>
      </c>
      <c r="Z103" s="116">
        <f t="shared" si="309"/>
        <v>2.3338509316770195</v>
      </c>
      <c r="AA103" s="116">
        <f t="shared" si="309"/>
        <v>2.3338509316770195</v>
      </c>
      <c r="AB103" s="116">
        <f t="shared" si="309"/>
        <v>2.7228260869565233</v>
      </c>
      <c r="AC103" s="116">
        <f t="shared" si="309"/>
        <v>2.7228260869565233</v>
      </c>
      <c r="AD103" s="116">
        <f t="shared" si="309"/>
        <v>2.7228260869565233</v>
      </c>
      <c r="AE103" s="116">
        <f t="shared" si="309"/>
        <v>2.7228260869565233</v>
      </c>
      <c r="AF103" s="116">
        <f t="shared" si="309"/>
        <v>2.7228260869565233</v>
      </c>
      <c r="AG103" s="116">
        <f t="shared" si="309"/>
        <v>2.7228260869565233</v>
      </c>
      <c r="AH103" s="116">
        <f t="shared" si="309"/>
        <v>2.7228260869565233</v>
      </c>
      <c r="AI103" s="116">
        <f t="shared" si="309"/>
        <v>2.7228260869565233</v>
      </c>
      <c r="AJ103" s="116">
        <f t="shared" si="309"/>
        <v>2.7228260869565233</v>
      </c>
      <c r="AK103" s="116">
        <f t="shared" si="309"/>
        <v>2.7228260869565233</v>
      </c>
      <c r="AL103" s="116">
        <f t="shared" si="309"/>
        <v>2.7228260869565233</v>
      </c>
      <c r="AM103" s="116">
        <f t="shared" si="309"/>
        <v>2.7228260869565233</v>
      </c>
      <c r="AN103" s="116">
        <f t="shared" si="309"/>
        <v>2.7228260869565233</v>
      </c>
      <c r="AO103" s="116">
        <f t="shared" si="309"/>
        <v>2.7228260869565233</v>
      </c>
      <c r="AP103" s="116">
        <f t="shared" si="309"/>
        <v>2.7228260869565233</v>
      </c>
      <c r="AQ103" s="116">
        <f t="shared" si="309"/>
        <v>2.7228260869565233</v>
      </c>
      <c r="AR103" s="116">
        <f t="shared" si="309"/>
        <v>2.7228260869565233</v>
      </c>
      <c r="AS103" s="116">
        <f t="shared" si="309"/>
        <v>2.7228260869565233</v>
      </c>
      <c r="AT103" s="116">
        <f t="shared" si="309"/>
        <v>2.7228260869565233</v>
      </c>
      <c r="AU103" s="116">
        <f t="shared" si="309"/>
        <v>2.7228260869565233</v>
      </c>
      <c r="AV103" s="116">
        <f t="shared" si="309"/>
        <v>2.7228260869565233</v>
      </c>
      <c r="AW103" s="116">
        <f t="shared" si="309"/>
        <v>2.7228260869565233</v>
      </c>
      <c r="AX103" s="116">
        <f t="shared" si="309"/>
        <v>2.7228260869565233</v>
      </c>
      <c r="AY103" s="116">
        <f t="shared" si="309"/>
        <v>2.7228260869565233</v>
      </c>
      <c r="AZ103" s="116">
        <f t="shared" si="309"/>
        <v>3.8897515527950333</v>
      </c>
      <c r="BA103" s="116">
        <f t="shared" si="309"/>
        <v>0</v>
      </c>
      <c r="BB103" s="116">
        <f t="shared" si="309"/>
        <v>0</v>
      </c>
      <c r="BC103" s="116">
        <f t="shared" si="309"/>
        <v>0</v>
      </c>
      <c r="BD103" s="116">
        <f t="shared" si="309"/>
        <v>0</v>
      </c>
      <c r="BE103" s="116">
        <f t="shared" si="309"/>
        <v>0</v>
      </c>
      <c r="BF103" s="116">
        <f t="shared" si="309"/>
        <v>0</v>
      </c>
      <c r="BG103" s="116">
        <f t="shared" si="309"/>
        <v>0</v>
      </c>
      <c r="BH103" s="116">
        <f t="shared" si="309"/>
        <v>0</v>
      </c>
      <c r="BI103" s="116">
        <f t="shared" si="309"/>
        <v>0</v>
      </c>
      <c r="BJ103" s="116">
        <f t="shared" si="309"/>
        <v>0</v>
      </c>
      <c r="BK103" s="116">
        <f t="shared" si="309"/>
        <v>0</v>
      </c>
      <c r="BL103" s="116">
        <f t="shared" si="309"/>
        <v>0</v>
      </c>
      <c r="BM103" s="116">
        <f t="shared" si="309"/>
        <v>0</v>
      </c>
      <c r="BN103" s="116">
        <f t="shared" si="309"/>
        <v>0</v>
      </c>
      <c r="BO103" s="116">
        <f t="shared" si="309"/>
        <v>0</v>
      </c>
      <c r="BP103" s="116">
        <f t="shared" si="309"/>
        <v>0</v>
      </c>
      <c r="BQ103" s="116">
        <f t="shared" ref="BQ103:CB103" si="310">$C$100*BQ99</f>
        <v>0</v>
      </c>
      <c r="BR103" s="116">
        <f t="shared" si="310"/>
        <v>0</v>
      </c>
      <c r="BS103" s="116">
        <f t="shared" si="310"/>
        <v>0</v>
      </c>
      <c r="BT103" s="116">
        <f t="shared" si="310"/>
        <v>0</v>
      </c>
      <c r="BU103" s="116">
        <f t="shared" si="310"/>
        <v>0</v>
      </c>
      <c r="BV103" s="116">
        <f t="shared" si="310"/>
        <v>0</v>
      </c>
      <c r="BW103" s="116">
        <f t="shared" si="310"/>
        <v>0</v>
      </c>
      <c r="BX103" s="116">
        <f t="shared" si="310"/>
        <v>0</v>
      </c>
      <c r="BY103" s="116">
        <f t="shared" si="310"/>
        <v>0</v>
      </c>
      <c r="BZ103" s="116">
        <f t="shared" si="310"/>
        <v>0</v>
      </c>
      <c r="CA103" s="116">
        <f t="shared" si="310"/>
        <v>0</v>
      </c>
      <c r="CB103" s="116">
        <f t="shared" si="310"/>
        <v>0</v>
      </c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</row>
    <row r="104" spans="1:159" s="4" customFormat="1" ht="15.75" thickBot="1">
      <c r="A104" s="71" t="s">
        <v>119</v>
      </c>
      <c r="B104" s="125"/>
      <c r="C104" s="125"/>
      <c r="D104" s="125">
        <f>D101+D102-D103</f>
        <v>125.25</v>
      </c>
      <c r="E104" s="125">
        <f t="shared" ref="E104:BP104" si="311">E101+E102-E103</f>
        <v>122.91614906832298</v>
      </c>
      <c r="F104" s="125">
        <f t="shared" si="311"/>
        <v>120.58229813664596</v>
      </c>
      <c r="G104" s="125">
        <f t="shared" si="311"/>
        <v>118.24844720496894</v>
      </c>
      <c r="H104" s="125">
        <f t="shared" si="311"/>
        <v>115.91459627329192</v>
      </c>
      <c r="I104" s="125">
        <f t="shared" si="311"/>
        <v>113.5807453416149</v>
      </c>
      <c r="J104" s="125">
        <f t="shared" si="311"/>
        <v>111.24689440993788</v>
      </c>
      <c r="K104" s="125">
        <f t="shared" si="311"/>
        <v>108.91304347826086</v>
      </c>
      <c r="L104" s="125">
        <f t="shared" si="311"/>
        <v>106.38470496894409</v>
      </c>
      <c r="M104" s="125">
        <f t="shared" si="311"/>
        <v>103.85636645962732</v>
      </c>
      <c r="N104" s="125">
        <f t="shared" si="311"/>
        <v>101.32802795031056</v>
      </c>
      <c r="O104" s="125">
        <f t="shared" si="311"/>
        <v>98.799689440993788</v>
      </c>
      <c r="P104" s="125">
        <f t="shared" si="311"/>
        <v>96.076863354037272</v>
      </c>
      <c r="Q104" s="125">
        <f t="shared" si="311"/>
        <v>93.354037267080741</v>
      </c>
      <c r="R104" s="125">
        <f t="shared" si="311"/>
        <v>90.631211180124211</v>
      </c>
      <c r="S104" s="125">
        <f t="shared" si="311"/>
        <v>87.908385093167681</v>
      </c>
      <c r="T104" s="125">
        <f t="shared" si="311"/>
        <v>85.574534161490661</v>
      </c>
      <c r="U104" s="125">
        <f t="shared" si="311"/>
        <v>83.240683229813641</v>
      </c>
      <c r="V104" s="125">
        <f t="shared" si="311"/>
        <v>80.906832298136621</v>
      </c>
      <c r="W104" s="125">
        <f t="shared" si="311"/>
        <v>78.572981366459601</v>
      </c>
      <c r="X104" s="125">
        <f t="shared" si="311"/>
        <v>76.239130434782581</v>
      </c>
      <c r="Y104" s="125">
        <f t="shared" si="311"/>
        <v>73.905279503105561</v>
      </c>
      <c r="Z104" s="125">
        <f t="shared" si="311"/>
        <v>71.571428571428541</v>
      </c>
      <c r="AA104" s="125">
        <f t="shared" si="311"/>
        <v>69.237577639751521</v>
      </c>
      <c r="AB104" s="125">
        <f t="shared" si="311"/>
        <v>66.514751552794991</v>
      </c>
      <c r="AC104" s="125">
        <f t="shared" si="311"/>
        <v>63.791925465838467</v>
      </c>
      <c r="AD104" s="125">
        <f t="shared" si="311"/>
        <v>61.069099378881944</v>
      </c>
      <c r="AE104" s="125">
        <f t="shared" si="311"/>
        <v>58.346273291925421</v>
      </c>
      <c r="AF104" s="125">
        <f t="shared" si="311"/>
        <v>55.623447204968897</v>
      </c>
      <c r="AG104" s="125">
        <f t="shared" si="311"/>
        <v>52.900621118012374</v>
      </c>
      <c r="AH104" s="125">
        <f t="shared" si="311"/>
        <v>50.177795031055851</v>
      </c>
      <c r="AI104" s="125">
        <f t="shared" si="311"/>
        <v>47.454968944099328</v>
      </c>
      <c r="AJ104" s="125">
        <f t="shared" si="311"/>
        <v>44.732142857142804</v>
      </c>
      <c r="AK104" s="125">
        <f t="shared" si="311"/>
        <v>42.009316770186281</v>
      </c>
      <c r="AL104" s="125">
        <f t="shared" si="311"/>
        <v>39.286490683229758</v>
      </c>
      <c r="AM104" s="125">
        <f t="shared" si="311"/>
        <v>36.563664596273235</v>
      </c>
      <c r="AN104" s="125">
        <f t="shared" si="311"/>
        <v>33.840838509316711</v>
      </c>
      <c r="AO104" s="125">
        <f t="shared" si="311"/>
        <v>31.118012422360188</v>
      </c>
      <c r="AP104" s="125">
        <f t="shared" si="311"/>
        <v>28.395186335403665</v>
      </c>
      <c r="AQ104" s="125">
        <f t="shared" si="311"/>
        <v>25.672360248447141</v>
      </c>
      <c r="AR104" s="125">
        <f t="shared" si="311"/>
        <v>22.949534161490618</v>
      </c>
      <c r="AS104" s="125">
        <f t="shared" si="311"/>
        <v>20.226708074534095</v>
      </c>
      <c r="AT104" s="125">
        <f t="shared" si="311"/>
        <v>17.503881987577572</v>
      </c>
      <c r="AU104" s="125">
        <f t="shared" si="311"/>
        <v>14.781055900621048</v>
      </c>
      <c r="AV104" s="125">
        <f t="shared" si="311"/>
        <v>12.058229813664525</v>
      </c>
      <c r="AW104" s="125">
        <f t="shared" si="311"/>
        <v>9.3354037267080017</v>
      </c>
      <c r="AX104" s="125">
        <f t="shared" si="311"/>
        <v>6.6125776397514784</v>
      </c>
      <c r="AY104" s="125">
        <f t="shared" si="311"/>
        <v>3.8897515527949551</v>
      </c>
      <c r="AZ104" s="125">
        <f t="shared" si="311"/>
        <v>-7.815970093361102E-14</v>
      </c>
      <c r="BA104" s="125">
        <f t="shared" si="311"/>
        <v>-7.815970093361102E-14</v>
      </c>
      <c r="BB104" s="125">
        <f t="shared" si="311"/>
        <v>-7.815970093361102E-14</v>
      </c>
      <c r="BC104" s="125">
        <f t="shared" si="311"/>
        <v>-7.815970093361102E-14</v>
      </c>
      <c r="BD104" s="125">
        <f t="shared" si="311"/>
        <v>-7.815970093361102E-14</v>
      </c>
      <c r="BE104" s="125">
        <f t="shared" si="311"/>
        <v>-7.815970093361102E-14</v>
      </c>
      <c r="BF104" s="125">
        <f t="shared" si="311"/>
        <v>-7.815970093361102E-14</v>
      </c>
      <c r="BG104" s="125">
        <f t="shared" si="311"/>
        <v>-7.815970093361102E-14</v>
      </c>
      <c r="BH104" s="125">
        <f t="shared" si="311"/>
        <v>-7.815970093361102E-14</v>
      </c>
      <c r="BI104" s="125">
        <f t="shared" si="311"/>
        <v>-7.815970093361102E-14</v>
      </c>
      <c r="BJ104" s="125">
        <f t="shared" si="311"/>
        <v>-7.815970093361102E-14</v>
      </c>
      <c r="BK104" s="125">
        <f t="shared" si="311"/>
        <v>-7.815970093361102E-14</v>
      </c>
      <c r="BL104" s="125">
        <f t="shared" si="311"/>
        <v>-7.815970093361102E-14</v>
      </c>
      <c r="BM104" s="125">
        <f t="shared" si="311"/>
        <v>-7.815970093361102E-14</v>
      </c>
      <c r="BN104" s="125">
        <f t="shared" si="311"/>
        <v>-7.815970093361102E-14</v>
      </c>
      <c r="BO104" s="125">
        <f t="shared" si="311"/>
        <v>-7.815970093361102E-14</v>
      </c>
      <c r="BP104" s="125">
        <f t="shared" si="311"/>
        <v>-7.815970093361102E-14</v>
      </c>
      <c r="BQ104" s="125">
        <f t="shared" ref="BQ104:BR104" si="312">BQ101+BQ102-BQ103</f>
        <v>-7.815970093361102E-14</v>
      </c>
      <c r="BR104" s="125">
        <f t="shared" si="312"/>
        <v>-7.815970093361102E-14</v>
      </c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</row>
    <row r="105" spans="1:159" ht="13.5" thickTop="1"/>
    <row r="106" spans="1:159" s="4" customFormat="1" ht="15.75" thickBot="1">
      <c r="A106" s="71" t="s">
        <v>373</v>
      </c>
      <c r="B106" s="125"/>
      <c r="C106" s="125"/>
      <c r="D106" s="125">
        <f>AVERAGE(D101,D104)*$B$54*(D97-C97)/365</f>
        <v>3.5042547945205484</v>
      </c>
      <c r="E106" s="125">
        <f t="shared" ref="E106" si="313">AVERAGE(E101,E104)*$B$54*(E97-D97)/365</f>
        <v>3.3961367523185571</v>
      </c>
      <c r="F106" s="125">
        <f t="shared" ref="F106" si="314">AVERAGE(F101,F104)*$B$54*(F97-E97)/365</f>
        <v>3.3692846783799886</v>
      </c>
      <c r="G106" s="125">
        <f t="shared" ref="G106" si="315">AVERAGE(G101,G104)*$B$54*(G97-F97)/365</f>
        <v>3.3410131115459882</v>
      </c>
      <c r="H106" s="125">
        <f t="shared" ref="H106" si="316">AVERAGE(H101,H104)*$B$54*(H97-G97)/365</f>
        <v>3.2757164383561648</v>
      </c>
      <c r="I106" s="125">
        <f t="shared" ref="I106" si="317">AVERAGE(I101,I104)*$B$54*(I97-H97)/365</f>
        <v>3.1755238981536626</v>
      </c>
      <c r="J106" s="125">
        <f t="shared" ref="J106" si="318">AVERAGE(J101,J104)*$B$54*(J97-I97)/365</f>
        <v>3.1109369714115549</v>
      </c>
      <c r="K106" s="125">
        <f t="shared" ref="K106" si="319">AVERAGE(K101,K104)*$B$54*(K97-J97)/365</f>
        <v>3.0798264187866926</v>
      </c>
      <c r="L106" s="125">
        <f t="shared" ref="L106" si="320">AVERAGE(L101,L104)*$B$54*(L97-K97)/365</f>
        <v>3.0118090508806259</v>
      </c>
      <c r="M106" s="125">
        <f t="shared" ref="M106" si="321">AVERAGE(M101,M104)*$B$54*(M97-L97)/365</f>
        <v>2.8771346624266143</v>
      </c>
      <c r="N106" s="125">
        <f t="shared" ref="N106" si="322">AVERAGE(N101,N104)*$B$54*(N97-M97)/365</f>
        <v>2.839133654705182</v>
      </c>
      <c r="O106" s="125">
        <f t="shared" ref="O106" si="323">AVERAGE(O101,O104)*$B$54*(O97-N97)/365</f>
        <v>2.7995948630136986</v>
      </c>
      <c r="P106" s="125">
        <f t="shared" ref="P106" si="324">AVERAGE(P101,P104)*$B$54*(P97-O97)/365</f>
        <v>2.7261361056751467</v>
      </c>
      <c r="Q106" s="125">
        <f t="shared" ref="Q106" si="325">AVERAGE(Q101,Q104)*$B$54*(Q97-P97)/365</f>
        <v>2.5923489002807791</v>
      </c>
      <c r="R106" s="125">
        <f t="shared" ref="R106" si="326">AVERAGE(R101,R104)*$B$54*(R97-Q97)/365</f>
        <v>2.5458013624181057</v>
      </c>
      <c r="S106" s="125">
        <f t="shared" ref="S106" si="327">AVERAGE(S101,S104)*$B$54*(S97-R97)/365</f>
        <v>2.4975977495107626</v>
      </c>
      <c r="T106" s="125">
        <f t="shared" ref="T106" si="328">AVERAGE(T101,T104)*$B$54*(T97-S97)/365</f>
        <v>2.4268596868884531</v>
      </c>
      <c r="U106" s="125">
        <f t="shared" ref="U106" si="329">AVERAGE(U101,U104)*$B$54*(U97-T97)/365</f>
        <v>2.3102246873138772</v>
      </c>
      <c r="V106" s="125">
        <f t="shared" ref="V106" si="330">AVERAGE(V101,V104)*$B$54*(V97-U97)/365</f>
        <v>2.2713069237641443</v>
      </c>
      <c r="W106" s="125">
        <f t="shared" ref="W106" si="331">AVERAGE(W101,W104)*$B$54*(W97-V97)/365</f>
        <v>2.2309696673189814</v>
      </c>
      <c r="X106" s="125">
        <f t="shared" ref="X106" si="332">AVERAGE(X101,X104)*$B$54*(X97-W97)/365</f>
        <v>2.1656729941291575</v>
      </c>
      <c r="Y106" s="125">
        <f t="shared" ref="Y106" si="333">AVERAGE(Y101,Y104)*$B$54*(Y97-X97)/365</f>
        <v>2.0775461435378193</v>
      </c>
      <c r="Z106" s="125">
        <f t="shared" ref="Z106" si="334">AVERAGE(Z101,Z104)*$B$54*(Z97-Y97)/365</f>
        <v>2.0129592167957107</v>
      </c>
      <c r="AA106" s="125">
        <f t="shared" ref="AA106" si="335">AVERAGE(AA101,AA104)*$B$54*(AA97-Z97)/365</f>
        <v>1.969782974559686</v>
      </c>
      <c r="AB106" s="125">
        <f t="shared" ref="AB106" si="336">AVERAGE(AB101,AB104)*$B$54*(AB97-AA97)/365</f>
        <v>1.8990449119373767</v>
      </c>
      <c r="AC106" s="125">
        <f t="shared" ref="AC106" si="337">AVERAGE(AC101,AC104)*$B$54*(AC97-AB97)/365</f>
        <v>1.7832379498851345</v>
      </c>
      <c r="AD106" s="125">
        <f t="shared" ref="AD106" si="338">AVERAGE(AD101,AD104)*$B$54*(AD97-AC97)/365</f>
        <v>1.7277002903513985</v>
      </c>
      <c r="AE106" s="125">
        <f t="shared" ref="AE106" si="339">AVERAGE(AE101,AE104)*$B$54*(AE97-AD97)/365</f>
        <v>1.6705065557729926</v>
      </c>
      <c r="AF106" s="125">
        <f t="shared" ref="AF106" si="340">AVERAGE(AF101,AF104)*$B$54*(AF97-AE97)/365</f>
        <v>1.5943271037181985</v>
      </c>
      <c r="AG106" s="125">
        <f t="shared" ref="AG106" si="341">AVERAGE(AG101,AG104)*$B$54*(AG97-AF97)/365</f>
        <v>1.485144441844634</v>
      </c>
      <c r="AH106" s="125">
        <f t="shared" ref="AH106" si="342">AVERAGE(AH101,AH104)*$B$54*(AH97-AG97)/365</f>
        <v>1.4262946322215593</v>
      </c>
      <c r="AI106" s="125">
        <f t="shared" ref="AI106" si="343">AVERAGE(AI101,AI104)*$B$54*(AI97-AH97)/365</f>
        <v>1.3657887475538144</v>
      </c>
      <c r="AJ106" s="125">
        <f t="shared" ref="AJ106" si="344">AVERAGE(AJ101,AJ104)*$B$54*(AJ97-AI97)/365</f>
        <v>1.2896092954990201</v>
      </c>
      <c r="AK106" s="125">
        <f t="shared" ref="AK106" si="345">AVERAGE(AK101,AK104)*$B$54*(AK97-AJ97)/365</f>
        <v>1.1870509338041335</v>
      </c>
      <c r="AL106" s="125">
        <f t="shared" ref="AL106" si="346">AVERAGE(AL101,AL104)*$B$54*(AL97-AK97)/365</f>
        <v>1.1248889740917198</v>
      </c>
      <c r="AM106" s="125">
        <f t="shared" ref="AM106" si="347">AVERAGE(AM101,AM104)*$B$54*(AM97-AL97)/365</f>
        <v>1.0610709393346363</v>
      </c>
      <c r="AN106" s="125">
        <f t="shared" ref="AN106" si="348">AVERAGE(AN101,AN104)*$B$54*(AN97-AM97)/365</f>
        <v>0.98489148727984188</v>
      </c>
      <c r="AO106" s="125">
        <f t="shared" ref="AO106" si="349">AVERAGE(AO101,AO104)*$B$54*(AO97-AN97)/365</f>
        <v>0.89883473049434004</v>
      </c>
      <c r="AP106" s="125">
        <f t="shared" ref="AP106" si="350">AVERAGE(AP101,AP104)*$B$54*(AP97-AO97)/365</f>
        <v>0.82348331596188051</v>
      </c>
      <c r="AQ106" s="125">
        <f t="shared" ref="AQ106" si="351">AVERAGE(AQ101,AQ104)*$B$54*(AQ97-AP97)/365</f>
        <v>0.7563531311154581</v>
      </c>
      <c r="AR106" s="125">
        <f t="shared" ref="AR106" si="352">AVERAGE(AR101,AR104)*$B$54*(AR97-AQ97)/365</f>
        <v>0.68017367906066362</v>
      </c>
      <c r="AS106" s="125">
        <f t="shared" ref="AS106" si="353">AVERAGE(AS101,AS104)*$B$54*(AS97-AR97)/365</f>
        <v>0.59086391772313274</v>
      </c>
      <c r="AT106" s="125">
        <f t="shared" ref="AT106" si="354">AVERAGE(AT101,AT104)*$B$54*(AT97-AS97)/365</f>
        <v>0.52207765783204096</v>
      </c>
      <c r="AU106" s="125">
        <f t="shared" ref="AU106" si="355">AVERAGE(AU101,AU104)*$B$54*(AU97-AT97)/365</f>
        <v>0.45163532289627989</v>
      </c>
      <c r="AV106" s="125">
        <f t="shared" ref="AV106" si="356">AVERAGE(AV101,AV104)*$B$54*(AV97-AU97)/365</f>
        <v>0.3754558708414853</v>
      </c>
      <c r="AW106" s="125">
        <f t="shared" ref="AW106" si="357">AVERAGE(AW101,AW104)*$B$54*(AW97-AV97)/365</f>
        <v>0.29277040968263224</v>
      </c>
      <c r="AX106" s="125">
        <f t="shared" ref="AX106" si="358">AVERAGE(AX101,AX104)*$B$54*(AX97-AW97)/365</f>
        <v>0.22067199970220167</v>
      </c>
      <c r="AY106" s="125">
        <f t="shared" ref="AY106" si="359">AVERAGE(AY101,AY104)*$B$54*(AY97-AX97)/365</f>
        <v>0.1469175146771016</v>
      </c>
      <c r="AZ106" s="125">
        <f t="shared" ref="AZ106" si="360">AVERAGE(AZ101,AZ104)*$B$54*(AZ97-AY97)/365</f>
        <v>5.4413894324851067E-2</v>
      </c>
      <c r="BA106" s="125">
        <f t="shared" ref="BA106" si="361">AVERAGE(BA101,BA104)*$B$54*(BA97-AZ97)/365</f>
        <v>-2.1392203077445867E-15</v>
      </c>
      <c r="BB106" s="125">
        <f t="shared" ref="BB106" si="362">AVERAGE(BB101,BB104)*$B$54*(BB97-BA97)/365</f>
        <v>-2.1629894222750821E-15</v>
      </c>
      <c r="BC106" s="125">
        <f t="shared" ref="BC106" si="363">AVERAGE(BC101,BC104)*$B$54*(BC97-BB97)/365</f>
        <v>-2.1867585368055775E-15</v>
      </c>
      <c r="BD106" s="125">
        <f t="shared" ref="BD106" si="364">AVERAGE(BD101,BD104)*$B$54*(BD97-BC97)/365</f>
        <v>-2.1867585368055775E-15</v>
      </c>
      <c r="BE106" s="125">
        <f t="shared" ref="BE106" si="365">AVERAGE(BE101,BE104)*$B$54*(BE97-BD97)/365</f>
        <v>-2.1629894222750821E-15</v>
      </c>
      <c r="BF106" s="125">
        <f t="shared" ref="BF106" si="366">AVERAGE(BF101,BF104)*$B$54*(BF97-BE97)/365</f>
        <v>-2.1629894222750821E-15</v>
      </c>
      <c r="BG106" s="125">
        <f t="shared" ref="BG106" si="367">AVERAGE(BG101,BG104)*$B$54*(BG97-BF97)/365</f>
        <v>-2.1867585368055775E-15</v>
      </c>
      <c r="BH106" s="125">
        <f t="shared" ref="BH106" si="368">AVERAGE(BH101,BH104)*$B$54*(BH97-BG97)/365</f>
        <v>-2.1867585368055775E-15</v>
      </c>
      <c r="BI106" s="125">
        <f t="shared" ref="BI106" si="369">AVERAGE(BI101,BI104)*$B$54*(BI97-BH97)/365</f>
        <v>-2.1392203077445867E-15</v>
      </c>
      <c r="BJ106" s="125">
        <f t="shared" ref="BJ106" si="370">AVERAGE(BJ101,BJ104)*$B$54*(BJ97-BI97)/365</f>
        <v>-2.1629894222750821E-15</v>
      </c>
      <c r="BK106" s="125">
        <f t="shared" ref="BK106" si="371">AVERAGE(BK101,BK104)*$B$54*(BK97-BJ97)/365</f>
        <v>-2.1867585368055775E-15</v>
      </c>
      <c r="BL106" s="125">
        <f t="shared" ref="BL106" si="372">AVERAGE(BL101,BL104)*$B$54*(BL97-BK97)/365</f>
        <v>-2.1867585368055775E-15</v>
      </c>
      <c r="BM106" s="125">
        <f t="shared" ref="BM106" si="373">AVERAGE(BM101,BM104)*$B$54*(BM97-BL97)/365</f>
        <v>-2.1392203077445867E-15</v>
      </c>
      <c r="BN106" s="125">
        <f t="shared" ref="BN106" si="374">AVERAGE(BN101,BN104)*$B$54*(BN97-BM97)/365</f>
        <v>-2.1629894222750821E-15</v>
      </c>
      <c r="BO106" s="125">
        <f t="shared" ref="BO106" si="375">AVERAGE(BO101,BO104)*$B$54*(BO97-BN97)/365</f>
        <v>-2.1867585368055775E-15</v>
      </c>
      <c r="BP106" s="125">
        <f t="shared" ref="BP106" si="376">AVERAGE(BP101,BP104)*$B$54*(BP97-BO97)/365</f>
        <v>-2.1867585368055775E-15</v>
      </c>
      <c r="BQ106" s="125">
        <f t="shared" ref="BQ106" si="377">AVERAGE(BQ101,BQ104)*$B$54*(BQ97-BP97)/365</f>
        <v>-2.1392203077445867E-15</v>
      </c>
      <c r="BR106" s="125">
        <f t="shared" ref="BR106" si="378">AVERAGE(BR101,BR104)*$B$54*(BR97-BQ97)/365</f>
        <v>-2.1629894222750821E-15</v>
      </c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</row>
    <row r="107" spans="1:159" ht="13.5" thickTop="1"/>
    <row r="108" spans="1:159">
      <c r="C108" s="467"/>
      <c r="D108" s="476"/>
    </row>
    <row r="110" spans="1:159">
      <c r="D110" s="483"/>
    </row>
    <row r="111" spans="1:159">
      <c r="D111" s="483"/>
    </row>
    <row r="112" spans="1:159">
      <c r="D112" s="333"/>
    </row>
  </sheetData>
  <mergeCells count="4">
    <mergeCell ref="A4:C4"/>
    <mergeCell ref="B22:C22"/>
    <mergeCell ref="A82:A84"/>
    <mergeCell ref="A96:A98"/>
  </mergeCells>
  <pageMargins left="0.7" right="0.7" top="0.75" bottom="0.75" header="0.3" footer="0.3"/>
  <pageSetup paperSize="9" scale="74" orientation="landscape" horizontalDpi="1200" verticalDpi="1200" r:id="rId1"/>
  <ignoredErrors>
    <ignoredError sqref="D27 L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5"/>
  <sheetViews>
    <sheetView workbookViewId="0">
      <pane xSplit="2" ySplit="7" topLeftCell="C72" activePane="bottomRight" state="frozen"/>
      <selection pane="topRight" activeCell="C1" sqref="C1"/>
      <selection pane="bottomLeft" activeCell="A8" sqref="A8"/>
      <selection pane="bottomRight" activeCell="D72" sqref="D72"/>
    </sheetView>
  </sheetViews>
  <sheetFormatPr defaultRowHeight="15"/>
  <cols>
    <col min="1" max="1" width="27" customWidth="1"/>
    <col min="17" max="17" width="9.42578125" bestFit="1" customWidth="1"/>
    <col min="18" max="18" width="9.140625" style="264"/>
  </cols>
  <sheetData>
    <row r="1" spans="1:29" s="15" customFormat="1" ht="18.75">
      <c r="A1" s="21" t="s">
        <v>29</v>
      </c>
      <c r="B1" s="4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490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9" s="17" customFormat="1" ht="15.75">
      <c r="A2" s="22" t="s">
        <v>221</v>
      </c>
      <c r="B2" s="4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491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9" s="17" customForma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260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9" s="17" customFormat="1" ht="16.5" thickBot="1">
      <c r="A4" s="109" t="s">
        <v>222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260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29" s="17" customFormat="1" ht="15.75" thickTop="1">
      <c r="A5" s="641" t="s">
        <v>0</v>
      </c>
      <c r="B5" s="273"/>
      <c r="C5" s="647" t="s">
        <v>242</v>
      </c>
      <c r="D5" s="46"/>
      <c r="E5" s="19">
        <f>D6+1</f>
        <v>44105</v>
      </c>
      <c r="F5" s="19">
        <f>E6+1</f>
        <v>44287</v>
      </c>
      <c r="G5" s="19">
        <f>F6+1</f>
        <v>44378</v>
      </c>
      <c r="H5" s="19">
        <f>G6+1</f>
        <v>44470</v>
      </c>
      <c r="I5" s="19">
        <f>H6+1</f>
        <v>44562</v>
      </c>
      <c r="J5" s="19">
        <f t="shared" ref="J5:P5" si="0">I6+1</f>
        <v>44652</v>
      </c>
      <c r="K5" s="19">
        <f t="shared" si="0"/>
        <v>44743</v>
      </c>
      <c r="L5" s="19">
        <f t="shared" si="0"/>
        <v>44835</v>
      </c>
      <c r="M5" s="19">
        <f t="shared" si="0"/>
        <v>44927</v>
      </c>
      <c r="N5" s="19">
        <f t="shared" si="0"/>
        <v>45017</v>
      </c>
      <c r="O5" s="19">
        <f t="shared" si="0"/>
        <v>45108</v>
      </c>
      <c r="P5" s="19">
        <f t="shared" si="0"/>
        <v>45200</v>
      </c>
      <c r="Q5" s="19"/>
      <c r="R5" s="260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</row>
    <row r="6" spans="1:29" s="17" customFormat="1">
      <c r="A6" s="642"/>
      <c r="B6" s="274"/>
      <c r="C6" s="648"/>
      <c r="D6" s="6">
        <v>44104</v>
      </c>
      <c r="E6" s="6">
        <v>44286</v>
      </c>
      <c r="F6" s="6">
        <f t="shared" ref="F6:P6" si="1">EOMONTH(E6,3)</f>
        <v>44377</v>
      </c>
      <c r="G6" s="6">
        <f t="shared" si="1"/>
        <v>44469</v>
      </c>
      <c r="H6" s="6">
        <f t="shared" si="1"/>
        <v>44561</v>
      </c>
      <c r="I6" s="6">
        <f t="shared" si="1"/>
        <v>44651</v>
      </c>
      <c r="J6" s="6">
        <f t="shared" si="1"/>
        <v>44742</v>
      </c>
      <c r="K6" s="6">
        <f t="shared" si="1"/>
        <v>44834</v>
      </c>
      <c r="L6" s="6">
        <f t="shared" si="1"/>
        <v>44926</v>
      </c>
      <c r="M6" s="6">
        <f t="shared" si="1"/>
        <v>45016</v>
      </c>
      <c r="N6" s="6">
        <f t="shared" si="1"/>
        <v>45107</v>
      </c>
      <c r="O6" s="6">
        <f t="shared" si="1"/>
        <v>45199</v>
      </c>
      <c r="P6" s="6">
        <f t="shared" si="1"/>
        <v>45291</v>
      </c>
      <c r="Q6" s="6"/>
      <c r="R6" s="260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</row>
    <row r="7" spans="1:29" s="17" customFormat="1">
      <c r="A7" s="643"/>
      <c r="B7" s="275"/>
      <c r="C7" s="649"/>
      <c r="D7" s="132"/>
      <c r="E7" s="132">
        <f>IF(MONTH(E6)&lt;=3,YEAR(E6),YEAR(E6)+1)</f>
        <v>2021</v>
      </c>
      <c r="F7" s="132">
        <f>IF(MONTH(F6)&lt;=3,YEAR(F6),YEAR(F6)+1)</f>
        <v>2022</v>
      </c>
      <c r="G7" s="132">
        <f>IF(MONTH(G6)&lt;=3,YEAR(G6),YEAR(G6)+1)</f>
        <v>2022</v>
      </c>
      <c r="H7" s="132">
        <f>IF(MONTH(H6)&lt;=3,YEAR(H6),YEAR(H6)+1)</f>
        <v>2022</v>
      </c>
      <c r="I7" s="132">
        <f>IF(MONTH(I6)&lt;=3,YEAR(I6),YEAR(I6)+1)</f>
        <v>2022</v>
      </c>
      <c r="J7" s="132">
        <f t="shared" ref="J7:P7" si="2">IF(MONTH(J6)&lt;=3,YEAR(J6),YEAR(J6)+1)</f>
        <v>2023</v>
      </c>
      <c r="K7" s="132">
        <f t="shared" si="2"/>
        <v>2023</v>
      </c>
      <c r="L7" s="132">
        <f t="shared" si="2"/>
        <v>2023</v>
      </c>
      <c r="M7" s="132">
        <f t="shared" si="2"/>
        <v>2023</v>
      </c>
      <c r="N7" s="132">
        <f t="shared" si="2"/>
        <v>2024</v>
      </c>
      <c r="O7" s="132">
        <f t="shared" si="2"/>
        <v>2024</v>
      </c>
      <c r="P7" s="132">
        <f t="shared" si="2"/>
        <v>2024</v>
      </c>
      <c r="Q7" s="132"/>
      <c r="R7" s="260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</row>
    <row r="8" spans="1:29" s="17" customFormat="1">
      <c r="A8" s="62" t="s">
        <v>223</v>
      </c>
      <c r="B8" s="62"/>
      <c r="C8" s="445">
        <f>239-37</f>
        <v>202</v>
      </c>
      <c r="D8" s="116">
        <v>201.75</v>
      </c>
      <c r="E8" s="110">
        <v>0</v>
      </c>
      <c r="F8" s="110">
        <v>0</v>
      </c>
      <c r="G8" s="110">
        <v>1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f>SUM(E8:P8)</f>
        <v>1</v>
      </c>
      <c r="R8" s="112">
        <v>37</v>
      </c>
      <c r="S8" s="116"/>
      <c r="T8" s="106"/>
      <c r="U8" s="106"/>
      <c r="V8" s="106"/>
      <c r="W8" s="106"/>
      <c r="X8" s="106"/>
      <c r="Y8" s="106"/>
      <c r="Z8" s="106"/>
      <c r="AA8" s="106"/>
      <c r="AB8" s="106"/>
      <c r="AC8" s="106"/>
    </row>
    <row r="9" spans="1:29" s="17" customFormat="1">
      <c r="A9" s="62" t="s">
        <v>224</v>
      </c>
      <c r="B9" s="62"/>
      <c r="C9" s="116">
        <v>23.08</v>
      </c>
      <c r="D9" s="116">
        <v>23.08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f t="shared" ref="Q9:Q25" si="3">SUM(E9:P9)</f>
        <v>0</v>
      </c>
      <c r="R9" s="112"/>
      <c r="S9" s="116">
        <f>74.23-D9</f>
        <v>51.150000000000006</v>
      </c>
      <c r="T9" s="106"/>
      <c r="U9" s="106"/>
      <c r="V9" s="106"/>
      <c r="W9" s="106"/>
      <c r="X9" s="106"/>
      <c r="Y9" s="106"/>
      <c r="Z9" s="106"/>
      <c r="AA9" s="106"/>
      <c r="AB9" s="106"/>
      <c r="AC9" s="106"/>
    </row>
    <row r="10" spans="1:29" s="17" customFormat="1">
      <c r="A10" s="62" t="s">
        <v>225</v>
      </c>
      <c r="B10" s="62"/>
      <c r="C10" s="116">
        <f>3172-50.84</f>
        <v>3121.16</v>
      </c>
      <c r="D10" s="116">
        <v>3115.75</v>
      </c>
      <c r="E10" s="110">
        <v>0</v>
      </c>
      <c r="F10" s="110">
        <v>0.5</v>
      </c>
      <c r="G10" s="110">
        <v>0.5</v>
      </c>
      <c r="H10" s="110">
        <f>IF(Assumption!K77="Project Cost Reduction",-'Phasing (2)'!V10,0)</f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f t="shared" si="3"/>
        <v>1</v>
      </c>
      <c r="R10" s="112"/>
      <c r="S10" s="116">
        <v>50.84</v>
      </c>
      <c r="T10" s="260"/>
      <c r="U10" s="446">
        <f>C10-D10</f>
        <v>5.4099999999998545</v>
      </c>
      <c r="V10" s="446">
        <f>75/U10</f>
        <v>13.863216266174126</v>
      </c>
      <c r="W10" s="106"/>
      <c r="X10" s="106"/>
      <c r="Y10" s="106"/>
      <c r="Z10" s="106"/>
      <c r="AA10" s="106"/>
      <c r="AB10" s="106"/>
      <c r="AC10" s="106"/>
    </row>
    <row r="11" spans="1:29" s="17" customFormat="1">
      <c r="A11" s="62" t="s">
        <v>226</v>
      </c>
      <c r="B11" s="62"/>
      <c r="C11" s="116">
        <f>1721.1-3.8-4</f>
        <v>1713.3</v>
      </c>
      <c r="D11" s="116">
        <v>1706.3</v>
      </c>
      <c r="E11" s="110">
        <v>0</v>
      </c>
      <c r="F11" s="110">
        <v>0.5</v>
      </c>
      <c r="G11" s="110">
        <v>0.5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f t="shared" si="3"/>
        <v>1</v>
      </c>
      <c r="R11" s="112">
        <v>4</v>
      </c>
      <c r="S11" s="116">
        <v>3.8</v>
      </c>
      <c r="T11" s="106"/>
      <c r="U11" s="106"/>
      <c r="V11" s="106"/>
      <c r="W11" s="106"/>
      <c r="X11" s="106"/>
      <c r="Y11" s="106"/>
      <c r="Z11" s="106"/>
      <c r="AA11" s="106"/>
      <c r="AB11" s="106"/>
      <c r="AC11" s="106"/>
    </row>
    <row r="12" spans="1:29" s="17" customFormat="1">
      <c r="A12" s="62" t="s">
        <v>227</v>
      </c>
      <c r="B12" s="62"/>
      <c r="C12" s="116">
        <v>178.1</v>
      </c>
      <c r="D12" s="116">
        <v>178.1</v>
      </c>
      <c r="E12" s="110">
        <v>0</v>
      </c>
      <c r="F12" s="110">
        <v>1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f t="shared" si="3"/>
        <v>1</v>
      </c>
      <c r="R12" s="112"/>
      <c r="S12" s="11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</row>
    <row r="13" spans="1:29" s="17" customFormat="1">
      <c r="A13" s="62" t="s">
        <v>228</v>
      </c>
      <c r="B13" s="62"/>
      <c r="C13" s="116">
        <v>107</v>
      </c>
      <c r="D13" s="116">
        <v>107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f t="shared" si="3"/>
        <v>0</v>
      </c>
      <c r="R13" s="112"/>
      <c r="S13" s="11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</row>
    <row r="14" spans="1:29" s="17" customFormat="1">
      <c r="A14" s="62" t="s">
        <v>229</v>
      </c>
      <c r="B14" s="62"/>
      <c r="C14" s="116">
        <f>99-15+2</f>
        <v>86</v>
      </c>
      <c r="D14" s="116">
        <v>77.66</v>
      </c>
      <c r="E14" s="110">
        <v>0</v>
      </c>
      <c r="F14" s="110">
        <v>0.5</v>
      </c>
      <c r="G14" s="110">
        <v>0.5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f t="shared" si="3"/>
        <v>1</v>
      </c>
      <c r="R14" s="112">
        <v>15</v>
      </c>
      <c r="S14" s="11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</row>
    <row r="15" spans="1:29" s="17" customFormat="1">
      <c r="A15" s="62" t="s">
        <v>230</v>
      </c>
      <c r="B15" s="62"/>
      <c r="C15" s="116">
        <v>10</v>
      </c>
      <c r="D15" s="116">
        <v>9.6999999999999993</v>
      </c>
      <c r="E15" s="110">
        <v>0</v>
      </c>
      <c r="F15" s="110">
        <v>1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f t="shared" si="3"/>
        <v>1</v>
      </c>
      <c r="R15" s="112"/>
      <c r="S15" s="11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</row>
    <row r="16" spans="1:29" s="17" customFormat="1">
      <c r="A16" s="62" t="s">
        <v>231</v>
      </c>
      <c r="B16" s="62"/>
      <c r="C16" s="116">
        <f>487-1.19-111</f>
        <v>374.81</v>
      </c>
      <c r="D16" s="116">
        <v>356.85</v>
      </c>
      <c r="E16" s="110">
        <v>0</v>
      </c>
      <c r="F16" s="110">
        <v>0.5</v>
      </c>
      <c r="G16" s="110">
        <v>0.5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f t="shared" si="3"/>
        <v>1</v>
      </c>
      <c r="R16" s="112">
        <v>111</v>
      </c>
      <c r="S16" s="116">
        <v>1.19</v>
      </c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s="17" customFormat="1">
      <c r="A17" s="62" t="s">
        <v>232</v>
      </c>
      <c r="B17" s="62"/>
      <c r="C17" s="116">
        <f>76-0.1</f>
        <v>75.900000000000006</v>
      </c>
      <c r="D17" s="116">
        <v>74.88</v>
      </c>
      <c r="E17" s="110">
        <v>0</v>
      </c>
      <c r="F17" s="110">
        <v>0.5</v>
      </c>
      <c r="G17" s="110">
        <v>0.5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f t="shared" si="3"/>
        <v>1</v>
      </c>
      <c r="R17" s="112"/>
      <c r="S17" s="116">
        <v>0.1</v>
      </c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1:29" s="17" customFormat="1">
      <c r="A18" s="62" t="s">
        <v>233</v>
      </c>
      <c r="B18" s="62"/>
      <c r="C18" s="116">
        <v>98.240000000000009</v>
      </c>
      <c r="D18" s="116">
        <v>98.24</v>
      </c>
      <c r="E18" s="110">
        <v>0</v>
      </c>
      <c r="F18" s="110">
        <v>0.5</v>
      </c>
      <c r="G18" s="110">
        <v>0.5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f t="shared" si="3"/>
        <v>1</v>
      </c>
      <c r="R18" s="112"/>
      <c r="S18" s="11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  <row r="19" spans="1:29" s="17" customFormat="1">
      <c r="A19" s="146" t="s">
        <v>234</v>
      </c>
      <c r="B19" s="146"/>
      <c r="C19" s="10">
        <f>SUM(C8:C18)</f>
        <v>5989.59</v>
      </c>
      <c r="D19" s="10">
        <f t="shared" ref="D19" si="4">SUM(D8:D18)</f>
        <v>5949.31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0"/>
      <c r="R19" s="112">
        <f>SUM(R8:R18)</f>
        <v>167</v>
      </c>
      <c r="S19" s="116">
        <f>SUM(S8:S18)</f>
        <v>107.08</v>
      </c>
      <c r="T19" s="106"/>
      <c r="U19" s="106"/>
      <c r="V19" s="106"/>
      <c r="W19" s="106"/>
      <c r="X19" s="106"/>
      <c r="Y19" s="106"/>
      <c r="Z19" s="106"/>
      <c r="AA19" s="106"/>
      <c r="AB19" s="106"/>
      <c r="AC19" s="106"/>
    </row>
    <row r="20" spans="1:29" s="17" customFormat="1">
      <c r="A20" s="62" t="s">
        <v>235</v>
      </c>
      <c r="B20" s="62"/>
      <c r="C20" s="116">
        <v>408.03</v>
      </c>
      <c r="D20" s="116">
        <v>408.03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f t="shared" si="3"/>
        <v>0</v>
      </c>
      <c r="R20" s="260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</row>
    <row r="21" spans="1:29" s="17" customFormat="1">
      <c r="A21" s="62" t="s">
        <v>236</v>
      </c>
      <c r="B21" s="62"/>
      <c r="C21" s="116">
        <v>17.54</v>
      </c>
      <c r="D21" s="116">
        <v>17.54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f t="shared" si="3"/>
        <v>0</v>
      </c>
      <c r="R21" s="260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</row>
    <row r="22" spans="1:29" s="17" customFormat="1">
      <c r="A22" s="62" t="s">
        <v>237</v>
      </c>
      <c r="B22" s="62"/>
      <c r="C22" s="116">
        <v>86.4</v>
      </c>
      <c r="D22" s="116">
        <v>86.4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f t="shared" si="3"/>
        <v>0</v>
      </c>
      <c r="R22" s="260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</row>
    <row r="23" spans="1:29" s="17" customFormat="1">
      <c r="A23" s="62" t="s">
        <v>238</v>
      </c>
      <c r="B23" s="62"/>
      <c r="C23" s="116">
        <v>1795.8899999999999</v>
      </c>
      <c r="D23" s="116">
        <v>1795.89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f t="shared" si="3"/>
        <v>0</v>
      </c>
      <c r="R23" s="260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</row>
    <row r="24" spans="1:29" s="17" customFormat="1">
      <c r="A24" s="62" t="s">
        <v>239</v>
      </c>
      <c r="B24" s="62"/>
      <c r="C24" s="116">
        <v>0</v>
      </c>
      <c r="D24" s="116">
        <v>0</v>
      </c>
      <c r="E24" s="110">
        <v>0</v>
      </c>
      <c r="F24" s="110">
        <v>0</v>
      </c>
      <c r="G24" s="110">
        <v>1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f t="shared" si="3"/>
        <v>1</v>
      </c>
      <c r="R24" s="260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</row>
    <row r="25" spans="1:29" s="17" customFormat="1">
      <c r="A25" s="62" t="s">
        <v>240</v>
      </c>
      <c r="B25" s="62"/>
      <c r="C25" s="116">
        <v>270.12697364685118</v>
      </c>
      <c r="D25" s="116">
        <v>270.12697364685118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f t="shared" si="3"/>
        <v>0</v>
      </c>
      <c r="R25" s="260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</row>
    <row r="26" spans="1:29" s="17" customFormat="1">
      <c r="A26" s="146" t="s">
        <v>241</v>
      </c>
      <c r="B26" s="146"/>
      <c r="C26" s="10">
        <f>SUM(C19:C25)</f>
        <v>8567.5769736468501</v>
      </c>
      <c r="D26" s="10">
        <f t="shared" ref="D26" si="5">SUM(D19:D25)</f>
        <v>8527.2969736468513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0"/>
      <c r="R26" s="260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</row>
    <row r="27" spans="1:29" s="17" customFormat="1" ht="18.75">
      <c r="A27" s="145"/>
      <c r="B27" s="106"/>
      <c r="C27" s="106"/>
      <c r="D27" s="106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06"/>
      <c r="R27" s="260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</row>
    <row r="28" spans="1:29" s="17" customFormat="1">
      <c r="A28" s="146" t="s">
        <v>243</v>
      </c>
      <c r="B28" s="146"/>
      <c r="C28" s="10"/>
      <c r="D28" s="10">
        <v>222.82</v>
      </c>
      <c r="E28" s="148">
        <v>0</v>
      </c>
      <c r="F28" s="148">
        <f>98/D28</f>
        <v>0.43981689255901624</v>
      </c>
      <c r="G28" s="148">
        <f>1-F28</f>
        <v>0.56018310744098376</v>
      </c>
      <c r="H28" s="148">
        <v>0</v>
      </c>
      <c r="I28" s="148">
        <v>0</v>
      </c>
      <c r="J28" s="148">
        <v>0</v>
      </c>
      <c r="K28" s="148">
        <v>0</v>
      </c>
      <c r="L28" s="148">
        <v>0</v>
      </c>
      <c r="M28" s="148">
        <v>0</v>
      </c>
      <c r="N28" s="148">
        <v>0</v>
      </c>
      <c r="O28" s="148">
        <v>0</v>
      </c>
      <c r="P28" s="148"/>
      <c r="Q28" s="148">
        <f>SUM((E28:P28))</f>
        <v>1</v>
      </c>
      <c r="R28" s="260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</row>
    <row r="29" spans="1:29" s="17" customFormat="1">
      <c r="A29" s="62"/>
      <c r="B29" s="62"/>
      <c r="C29" s="116"/>
      <c r="D29" s="11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47"/>
      <c r="R29" s="260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</row>
    <row r="30" spans="1:29" s="17" customFormat="1">
      <c r="A30" s="62"/>
      <c r="B30" s="62"/>
      <c r="C30" s="112"/>
      <c r="D30" s="11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260"/>
      <c r="R30" s="260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</row>
    <row r="31" spans="1:29" s="17" customFormat="1" ht="16.5" thickBot="1">
      <c r="A31" s="109" t="s">
        <v>222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260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</row>
    <row r="32" spans="1:29" s="17" customFormat="1" ht="15.75" thickTop="1">
      <c r="A32" s="62" t="s">
        <v>223</v>
      </c>
      <c r="B32" s="62"/>
      <c r="C32" s="116">
        <f>C8</f>
        <v>202</v>
      </c>
      <c r="D32" s="116">
        <f>D8</f>
        <v>201.75</v>
      </c>
      <c r="E32" s="116">
        <f>$Q$32*E8</f>
        <v>0</v>
      </c>
      <c r="F32" s="116">
        <f t="shared" ref="F32:P32" si="6">$Q$32*F8</f>
        <v>0</v>
      </c>
      <c r="G32" s="116">
        <f>$Q$32*G8</f>
        <v>0.25</v>
      </c>
      <c r="H32" s="116">
        <f t="shared" si="6"/>
        <v>0</v>
      </c>
      <c r="I32" s="116">
        <f t="shared" si="6"/>
        <v>0</v>
      </c>
      <c r="J32" s="116">
        <f t="shared" si="6"/>
        <v>0</v>
      </c>
      <c r="K32" s="116">
        <f t="shared" si="6"/>
        <v>0</v>
      </c>
      <c r="L32" s="116">
        <f t="shared" si="6"/>
        <v>0</v>
      </c>
      <c r="M32" s="116">
        <f t="shared" si="6"/>
        <v>0</v>
      </c>
      <c r="N32" s="116">
        <f t="shared" si="6"/>
        <v>0</v>
      </c>
      <c r="O32" s="116">
        <f t="shared" si="6"/>
        <v>0</v>
      </c>
      <c r="P32" s="116">
        <f t="shared" si="6"/>
        <v>0</v>
      </c>
      <c r="Q32" s="116">
        <f>C32-D32</f>
        <v>0.25</v>
      </c>
      <c r="R32" s="260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</row>
    <row r="33" spans="1:29" s="17" customFormat="1">
      <c r="A33" s="62" t="s">
        <v>224</v>
      </c>
      <c r="B33" s="62"/>
      <c r="C33" s="116">
        <f t="shared" ref="C33:D42" si="7">C9</f>
        <v>23.08</v>
      </c>
      <c r="D33" s="116">
        <f t="shared" si="7"/>
        <v>23.08</v>
      </c>
      <c r="E33" s="116">
        <f>$Q$33*E9</f>
        <v>0</v>
      </c>
      <c r="F33" s="116">
        <f t="shared" ref="F33:P33" si="8">$Q$33*F9</f>
        <v>0</v>
      </c>
      <c r="G33" s="116">
        <f t="shared" si="8"/>
        <v>0</v>
      </c>
      <c r="H33" s="116">
        <f t="shared" si="8"/>
        <v>0</v>
      </c>
      <c r="I33" s="116">
        <f t="shared" si="8"/>
        <v>0</v>
      </c>
      <c r="J33" s="116">
        <f t="shared" si="8"/>
        <v>0</v>
      </c>
      <c r="K33" s="116">
        <f t="shared" si="8"/>
        <v>0</v>
      </c>
      <c r="L33" s="116">
        <f t="shared" si="8"/>
        <v>0</v>
      </c>
      <c r="M33" s="116">
        <f t="shared" si="8"/>
        <v>0</v>
      </c>
      <c r="N33" s="116">
        <f t="shared" si="8"/>
        <v>0</v>
      </c>
      <c r="O33" s="116">
        <f t="shared" si="8"/>
        <v>0</v>
      </c>
      <c r="P33" s="116">
        <f t="shared" si="8"/>
        <v>0</v>
      </c>
      <c r="Q33" s="116">
        <f t="shared" ref="Q33:Q49" si="9">C33-D33</f>
        <v>0</v>
      </c>
      <c r="R33" s="260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</row>
    <row r="34" spans="1:29" s="17" customFormat="1">
      <c r="A34" s="62" t="s">
        <v>225</v>
      </c>
      <c r="B34" s="62"/>
      <c r="C34" s="116">
        <f t="shared" si="7"/>
        <v>3121.16</v>
      </c>
      <c r="D34" s="116">
        <f t="shared" si="7"/>
        <v>3115.75</v>
      </c>
      <c r="E34" s="116">
        <f>$Q$34*E10</f>
        <v>0</v>
      </c>
      <c r="F34" s="116">
        <f t="shared" ref="F34:P34" si="10">$Q$34*F10</f>
        <v>2.7049999999999272</v>
      </c>
      <c r="G34" s="116">
        <f t="shared" si="10"/>
        <v>2.7049999999999272</v>
      </c>
      <c r="H34" s="116">
        <f t="shared" si="10"/>
        <v>0</v>
      </c>
      <c r="I34" s="116">
        <f t="shared" si="10"/>
        <v>0</v>
      </c>
      <c r="J34" s="116">
        <f t="shared" si="10"/>
        <v>0</v>
      </c>
      <c r="K34" s="116">
        <f t="shared" si="10"/>
        <v>0</v>
      </c>
      <c r="L34" s="116">
        <f t="shared" si="10"/>
        <v>0</v>
      </c>
      <c r="M34" s="116">
        <f t="shared" si="10"/>
        <v>0</v>
      </c>
      <c r="N34" s="116">
        <f t="shared" si="10"/>
        <v>0</v>
      </c>
      <c r="O34" s="116">
        <f t="shared" si="10"/>
        <v>0</v>
      </c>
      <c r="P34" s="116">
        <f t="shared" si="10"/>
        <v>0</v>
      </c>
      <c r="Q34" s="116">
        <f t="shared" si="9"/>
        <v>5.4099999999998545</v>
      </c>
      <c r="R34" s="260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</row>
    <row r="35" spans="1:29" s="17" customFormat="1">
      <c r="A35" s="62" t="s">
        <v>226</v>
      </c>
      <c r="B35" s="62"/>
      <c r="C35" s="116">
        <f t="shared" si="7"/>
        <v>1713.3</v>
      </c>
      <c r="D35" s="116">
        <f t="shared" si="7"/>
        <v>1706.3</v>
      </c>
      <c r="E35" s="116">
        <f>$Q$35*E11</f>
        <v>0</v>
      </c>
      <c r="F35" s="116">
        <f t="shared" ref="F35:P35" si="11">$Q$35*F11</f>
        <v>3.5</v>
      </c>
      <c r="G35" s="116">
        <f t="shared" si="11"/>
        <v>3.5</v>
      </c>
      <c r="H35" s="116">
        <f t="shared" si="11"/>
        <v>0</v>
      </c>
      <c r="I35" s="116">
        <f t="shared" si="11"/>
        <v>0</v>
      </c>
      <c r="J35" s="116">
        <f t="shared" si="11"/>
        <v>0</v>
      </c>
      <c r="K35" s="116">
        <f t="shared" si="11"/>
        <v>0</v>
      </c>
      <c r="L35" s="116">
        <f t="shared" si="11"/>
        <v>0</v>
      </c>
      <c r="M35" s="116">
        <f t="shared" si="11"/>
        <v>0</v>
      </c>
      <c r="N35" s="116">
        <f t="shared" si="11"/>
        <v>0</v>
      </c>
      <c r="O35" s="116">
        <f t="shared" si="11"/>
        <v>0</v>
      </c>
      <c r="P35" s="116">
        <f t="shared" si="11"/>
        <v>0</v>
      </c>
      <c r="Q35" s="116">
        <f t="shared" si="9"/>
        <v>7</v>
      </c>
      <c r="R35" s="260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</row>
    <row r="36" spans="1:29" s="17" customFormat="1">
      <c r="A36" s="62" t="s">
        <v>227</v>
      </c>
      <c r="B36" s="62"/>
      <c r="C36" s="116">
        <f t="shared" si="7"/>
        <v>178.1</v>
      </c>
      <c r="D36" s="116">
        <f t="shared" si="7"/>
        <v>178.1</v>
      </c>
      <c r="E36" s="116">
        <f>$Q$36*E12</f>
        <v>0</v>
      </c>
      <c r="F36" s="116">
        <f t="shared" ref="F36:P36" si="12">$Q$36*F12</f>
        <v>0</v>
      </c>
      <c r="G36" s="116">
        <f t="shared" si="12"/>
        <v>0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</v>
      </c>
      <c r="P36" s="116">
        <f t="shared" si="12"/>
        <v>0</v>
      </c>
      <c r="Q36" s="116">
        <f t="shared" si="9"/>
        <v>0</v>
      </c>
      <c r="R36" s="260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1:29" s="17" customFormat="1">
      <c r="A37" s="62" t="s">
        <v>228</v>
      </c>
      <c r="B37" s="62"/>
      <c r="C37" s="116">
        <f t="shared" si="7"/>
        <v>107</v>
      </c>
      <c r="D37" s="116">
        <f t="shared" si="7"/>
        <v>107</v>
      </c>
      <c r="E37" s="116">
        <f>$Q$37*E13</f>
        <v>0</v>
      </c>
      <c r="F37" s="116">
        <f t="shared" ref="F37:P37" si="13">$Q$37*F13</f>
        <v>0</v>
      </c>
      <c r="G37" s="116">
        <f t="shared" si="13"/>
        <v>0</v>
      </c>
      <c r="H37" s="116">
        <f t="shared" si="13"/>
        <v>0</v>
      </c>
      <c r="I37" s="116">
        <f t="shared" si="13"/>
        <v>0</v>
      </c>
      <c r="J37" s="116">
        <f t="shared" si="13"/>
        <v>0</v>
      </c>
      <c r="K37" s="116">
        <f t="shared" si="13"/>
        <v>0</v>
      </c>
      <c r="L37" s="116">
        <f t="shared" si="13"/>
        <v>0</v>
      </c>
      <c r="M37" s="116">
        <f t="shared" si="13"/>
        <v>0</v>
      </c>
      <c r="N37" s="116">
        <f t="shared" si="13"/>
        <v>0</v>
      </c>
      <c r="O37" s="116">
        <f t="shared" si="13"/>
        <v>0</v>
      </c>
      <c r="P37" s="116">
        <f t="shared" si="13"/>
        <v>0</v>
      </c>
      <c r="Q37" s="116">
        <f t="shared" si="9"/>
        <v>0</v>
      </c>
      <c r="R37" s="260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</row>
    <row r="38" spans="1:29" s="17" customFormat="1">
      <c r="A38" s="62" t="s">
        <v>229</v>
      </c>
      <c r="B38" s="62"/>
      <c r="C38" s="116">
        <f t="shared" si="7"/>
        <v>86</v>
      </c>
      <c r="D38" s="116">
        <f t="shared" si="7"/>
        <v>77.66</v>
      </c>
      <c r="E38" s="116">
        <f>$Q$38*E14</f>
        <v>0</v>
      </c>
      <c r="F38" s="116">
        <f t="shared" ref="F38:P38" si="14">$Q$38*F14</f>
        <v>4.1700000000000017</v>
      </c>
      <c r="G38" s="116">
        <f t="shared" si="14"/>
        <v>4.1700000000000017</v>
      </c>
      <c r="H38" s="116">
        <f t="shared" si="14"/>
        <v>0</v>
      </c>
      <c r="I38" s="116">
        <f t="shared" si="14"/>
        <v>0</v>
      </c>
      <c r="J38" s="116">
        <f t="shared" si="14"/>
        <v>0</v>
      </c>
      <c r="K38" s="116">
        <f t="shared" si="14"/>
        <v>0</v>
      </c>
      <c r="L38" s="116">
        <f t="shared" si="14"/>
        <v>0</v>
      </c>
      <c r="M38" s="116">
        <f t="shared" si="14"/>
        <v>0</v>
      </c>
      <c r="N38" s="116">
        <f t="shared" si="14"/>
        <v>0</v>
      </c>
      <c r="O38" s="116">
        <f t="shared" si="14"/>
        <v>0</v>
      </c>
      <c r="P38" s="116">
        <f t="shared" si="14"/>
        <v>0</v>
      </c>
      <c r="Q38" s="116">
        <f t="shared" si="9"/>
        <v>8.3400000000000034</v>
      </c>
      <c r="R38" s="260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</row>
    <row r="39" spans="1:29" s="17" customFormat="1">
      <c r="A39" s="62" t="s">
        <v>230</v>
      </c>
      <c r="B39" s="62"/>
      <c r="C39" s="116">
        <f t="shared" si="7"/>
        <v>10</v>
      </c>
      <c r="D39" s="116">
        <f t="shared" si="7"/>
        <v>9.6999999999999993</v>
      </c>
      <c r="E39" s="116">
        <f>Q39*E15</f>
        <v>0</v>
      </c>
      <c r="F39" s="116">
        <f t="shared" ref="F39:P39" si="15">R39*F15</f>
        <v>0</v>
      </c>
      <c r="G39" s="116">
        <f t="shared" si="15"/>
        <v>0</v>
      </c>
      <c r="H39" s="116">
        <f t="shared" si="15"/>
        <v>0</v>
      </c>
      <c r="I39" s="116">
        <f t="shared" si="15"/>
        <v>0</v>
      </c>
      <c r="J39" s="116">
        <f t="shared" si="15"/>
        <v>0</v>
      </c>
      <c r="K39" s="116">
        <f t="shared" si="15"/>
        <v>0</v>
      </c>
      <c r="L39" s="116">
        <f t="shared" si="15"/>
        <v>0</v>
      </c>
      <c r="M39" s="116">
        <f t="shared" si="15"/>
        <v>0</v>
      </c>
      <c r="N39" s="116">
        <f t="shared" si="15"/>
        <v>0</v>
      </c>
      <c r="O39" s="116">
        <f t="shared" si="15"/>
        <v>0</v>
      </c>
      <c r="P39" s="116">
        <f t="shared" si="15"/>
        <v>0</v>
      </c>
      <c r="Q39" s="116">
        <f t="shared" si="9"/>
        <v>0.30000000000000071</v>
      </c>
      <c r="R39" s="260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</row>
    <row r="40" spans="1:29" s="17" customFormat="1">
      <c r="A40" s="62" t="s">
        <v>231</v>
      </c>
      <c r="B40" s="62"/>
      <c r="C40" s="116">
        <f t="shared" si="7"/>
        <v>374.81</v>
      </c>
      <c r="D40" s="116">
        <f t="shared" si="7"/>
        <v>356.85</v>
      </c>
      <c r="E40" s="116">
        <f>$Q$40*E16</f>
        <v>0</v>
      </c>
      <c r="F40" s="116">
        <f t="shared" ref="F40:P40" si="16">$Q$40*F16</f>
        <v>8.9799999999999898</v>
      </c>
      <c r="G40" s="116">
        <f t="shared" si="16"/>
        <v>8.9799999999999898</v>
      </c>
      <c r="H40" s="116">
        <f t="shared" si="16"/>
        <v>0</v>
      </c>
      <c r="I40" s="116">
        <f t="shared" si="16"/>
        <v>0</v>
      </c>
      <c r="J40" s="116">
        <f t="shared" si="16"/>
        <v>0</v>
      </c>
      <c r="K40" s="116">
        <f t="shared" si="16"/>
        <v>0</v>
      </c>
      <c r="L40" s="116">
        <f t="shared" si="16"/>
        <v>0</v>
      </c>
      <c r="M40" s="116">
        <f t="shared" si="16"/>
        <v>0</v>
      </c>
      <c r="N40" s="116">
        <f t="shared" si="16"/>
        <v>0</v>
      </c>
      <c r="O40" s="116">
        <f t="shared" si="16"/>
        <v>0</v>
      </c>
      <c r="P40" s="116">
        <f t="shared" si="16"/>
        <v>0</v>
      </c>
      <c r="Q40" s="116">
        <f t="shared" si="9"/>
        <v>17.95999999999998</v>
      </c>
      <c r="R40" s="260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</row>
    <row r="41" spans="1:29" s="17" customFormat="1">
      <c r="A41" s="62" t="s">
        <v>232</v>
      </c>
      <c r="B41" s="62"/>
      <c r="C41" s="116">
        <f t="shared" si="7"/>
        <v>75.900000000000006</v>
      </c>
      <c r="D41" s="116">
        <f t="shared" si="7"/>
        <v>74.88</v>
      </c>
      <c r="E41" s="116">
        <f>$Q$41*E17</f>
        <v>0</v>
      </c>
      <c r="F41" s="116">
        <f t="shared" ref="F41:P41" si="17">$Q$41*F17</f>
        <v>0.51000000000000512</v>
      </c>
      <c r="G41" s="116">
        <f t="shared" si="17"/>
        <v>0.51000000000000512</v>
      </c>
      <c r="H41" s="116">
        <f t="shared" si="17"/>
        <v>0</v>
      </c>
      <c r="I41" s="116">
        <f t="shared" si="17"/>
        <v>0</v>
      </c>
      <c r="J41" s="116">
        <f t="shared" si="17"/>
        <v>0</v>
      </c>
      <c r="K41" s="116">
        <f t="shared" si="17"/>
        <v>0</v>
      </c>
      <c r="L41" s="116">
        <f t="shared" si="17"/>
        <v>0</v>
      </c>
      <c r="M41" s="116">
        <f t="shared" si="17"/>
        <v>0</v>
      </c>
      <c r="N41" s="116">
        <f t="shared" si="17"/>
        <v>0</v>
      </c>
      <c r="O41" s="116">
        <f t="shared" si="17"/>
        <v>0</v>
      </c>
      <c r="P41" s="116">
        <f t="shared" si="17"/>
        <v>0</v>
      </c>
      <c r="Q41" s="116">
        <f t="shared" si="9"/>
        <v>1.0200000000000102</v>
      </c>
      <c r="R41" s="260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</row>
    <row r="42" spans="1:29" s="17" customFormat="1">
      <c r="A42" s="62" t="s">
        <v>233</v>
      </c>
      <c r="B42" s="62"/>
      <c r="C42" s="116">
        <f t="shared" si="7"/>
        <v>98.240000000000009</v>
      </c>
      <c r="D42" s="116">
        <f t="shared" si="7"/>
        <v>98.24</v>
      </c>
      <c r="E42" s="116">
        <f>$Q$42*E18</f>
        <v>0</v>
      </c>
      <c r="F42" s="116">
        <f t="shared" ref="F42:P42" si="18">$Q$42*F18</f>
        <v>0</v>
      </c>
      <c r="G42" s="116">
        <f t="shared" si="18"/>
        <v>0</v>
      </c>
      <c r="H42" s="116">
        <f t="shared" si="18"/>
        <v>0</v>
      </c>
      <c r="I42" s="116">
        <f t="shared" si="18"/>
        <v>0</v>
      </c>
      <c r="J42" s="116">
        <f t="shared" si="18"/>
        <v>0</v>
      </c>
      <c r="K42" s="116">
        <f t="shared" si="18"/>
        <v>0</v>
      </c>
      <c r="L42" s="116">
        <f t="shared" si="18"/>
        <v>0</v>
      </c>
      <c r="M42" s="116">
        <f t="shared" si="18"/>
        <v>0</v>
      </c>
      <c r="N42" s="116">
        <f t="shared" si="18"/>
        <v>0</v>
      </c>
      <c r="O42" s="116">
        <f t="shared" si="18"/>
        <v>0</v>
      </c>
      <c r="P42" s="116">
        <f t="shared" si="18"/>
        <v>0</v>
      </c>
      <c r="Q42" s="116">
        <f t="shared" si="9"/>
        <v>0</v>
      </c>
      <c r="R42" s="260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</row>
    <row r="43" spans="1:29" s="17" customFormat="1">
      <c r="A43" s="146" t="s">
        <v>234</v>
      </c>
      <c r="B43" s="146"/>
      <c r="C43" s="10">
        <f>SUM(C32:C42)</f>
        <v>5989.59</v>
      </c>
      <c r="D43" s="10">
        <f t="shared" ref="D43:Q43" si="19">SUM(D32:D42)</f>
        <v>5949.31</v>
      </c>
      <c r="E43" s="10">
        <f t="shared" si="19"/>
        <v>0</v>
      </c>
      <c r="F43" s="10">
        <f t="shared" si="19"/>
        <v>19.864999999999924</v>
      </c>
      <c r="G43" s="10">
        <f t="shared" si="19"/>
        <v>20.114999999999924</v>
      </c>
      <c r="H43" s="10">
        <f t="shared" si="19"/>
        <v>0</v>
      </c>
      <c r="I43" s="10">
        <f t="shared" si="19"/>
        <v>0</v>
      </c>
      <c r="J43" s="10">
        <f t="shared" si="19"/>
        <v>0</v>
      </c>
      <c r="K43" s="10">
        <f t="shared" si="19"/>
        <v>0</v>
      </c>
      <c r="L43" s="10">
        <f t="shared" si="19"/>
        <v>0</v>
      </c>
      <c r="M43" s="10">
        <f t="shared" si="19"/>
        <v>0</v>
      </c>
      <c r="N43" s="10">
        <f t="shared" si="19"/>
        <v>0</v>
      </c>
      <c r="O43" s="10">
        <f t="shared" si="19"/>
        <v>0</v>
      </c>
      <c r="P43" s="10">
        <f t="shared" si="19"/>
        <v>0</v>
      </c>
      <c r="Q43" s="10">
        <f t="shared" si="19"/>
        <v>40.279999999999845</v>
      </c>
      <c r="R43" s="260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</row>
    <row r="44" spans="1:29" s="17" customFormat="1">
      <c r="A44" s="62" t="s">
        <v>235</v>
      </c>
      <c r="B44" s="62"/>
      <c r="C44" s="116">
        <f>C20</f>
        <v>408.03</v>
      </c>
      <c r="D44" s="116">
        <f>D20</f>
        <v>408.03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f t="shared" si="9"/>
        <v>0</v>
      </c>
      <c r="R44" s="260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</row>
    <row r="45" spans="1:29" s="17" customFormat="1">
      <c r="A45" s="62" t="s">
        <v>236</v>
      </c>
      <c r="B45" s="62"/>
      <c r="C45" s="116">
        <f t="shared" ref="C45:D49" si="20">C21</f>
        <v>17.54</v>
      </c>
      <c r="D45" s="116">
        <f t="shared" si="20"/>
        <v>17.54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f t="shared" si="9"/>
        <v>0</v>
      </c>
      <c r="R45" s="260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</row>
    <row r="46" spans="1:29" s="17" customFormat="1">
      <c r="A46" s="62" t="s">
        <v>237</v>
      </c>
      <c r="B46" s="62"/>
      <c r="C46" s="116">
        <f t="shared" si="20"/>
        <v>86.4</v>
      </c>
      <c r="D46" s="116">
        <f t="shared" si="20"/>
        <v>86.4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f t="shared" si="9"/>
        <v>0</v>
      </c>
      <c r="R46" s="260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</row>
    <row r="47" spans="1:29" s="17" customFormat="1">
      <c r="A47" s="62" t="s">
        <v>238</v>
      </c>
      <c r="B47" s="62"/>
      <c r="C47" s="116">
        <f t="shared" si="20"/>
        <v>1795.8899999999999</v>
      </c>
      <c r="D47" s="116">
        <f t="shared" si="20"/>
        <v>1795.89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f t="shared" si="9"/>
        <v>0</v>
      </c>
      <c r="R47" s="260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</row>
    <row r="48" spans="1:29" s="17" customFormat="1">
      <c r="A48" s="62" t="s">
        <v>239</v>
      </c>
      <c r="B48" s="62"/>
      <c r="C48" s="116">
        <f t="shared" si="20"/>
        <v>0</v>
      </c>
      <c r="D48" s="116">
        <f t="shared" si="20"/>
        <v>0</v>
      </c>
      <c r="E48" s="116">
        <f t="shared" ref="E48:N48" si="21">$Q$42*E24</f>
        <v>0</v>
      </c>
      <c r="F48" s="116">
        <f t="shared" si="21"/>
        <v>0</v>
      </c>
      <c r="G48" s="116">
        <f>$Q$48*G24</f>
        <v>0</v>
      </c>
      <c r="H48" s="116">
        <f t="shared" si="21"/>
        <v>0</v>
      </c>
      <c r="I48" s="116">
        <f t="shared" si="21"/>
        <v>0</v>
      </c>
      <c r="J48" s="116">
        <f t="shared" si="21"/>
        <v>0</v>
      </c>
      <c r="K48" s="116">
        <f t="shared" si="21"/>
        <v>0</v>
      </c>
      <c r="L48" s="116">
        <f t="shared" si="21"/>
        <v>0</v>
      </c>
      <c r="M48" s="116">
        <f t="shared" si="21"/>
        <v>0</v>
      </c>
      <c r="N48" s="116">
        <f t="shared" si="21"/>
        <v>0</v>
      </c>
      <c r="O48" s="116">
        <f t="shared" ref="O48:P49" si="22">$Q$42*O24</f>
        <v>0</v>
      </c>
      <c r="P48" s="116">
        <f t="shared" si="22"/>
        <v>0</v>
      </c>
      <c r="Q48" s="116">
        <f t="shared" si="9"/>
        <v>0</v>
      </c>
      <c r="R48" s="260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</row>
    <row r="49" spans="1:29" s="17" customFormat="1">
      <c r="A49" s="62" t="s">
        <v>240</v>
      </c>
      <c r="B49" s="62"/>
      <c r="C49" s="116">
        <f t="shared" si="20"/>
        <v>270.12697364685118</v>
      </c>
      <c r="D49" s="116">
        <f t="shared" si="20"/>
        <v>270.12697364685118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f t="shared" si="22"/>
        <v>0</v>
      </c>
      <c r="P49" s="116">
        <f t="shared" si="22"/>
        <v>0</v>
      </c>
      <c r="Q49" s="116">
        <f t="shared" si="9"/>
        <v>0</v>
      </c>
      <c r="R49" s="260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</row>
    <row r="50" spans="1:29" s="17" customFormat="1">
      <c r="A50" s="146" t="s">
        <v>241</v>
      </c>
      <c r="B50" s="146"/>
      <c r="C50" s="10">
        <f>SUM(C43:C49)</f>
        <v>8567.5769736468501</v>
      </c>
      <c r="D50" s="10">
        <f t="shared" ref="D50:Q50" si="23">SUM(D43:D49)</f>
        <v>8527.2969736468513</v>
      </c>
      <c r="E50" s="10">
        <f t="shared" si="23"/>
        <v>0</v>
      </c>
      <c r="F50" s="10">
        <f>SUM(F43:F49)</f>
        <v>19.864999999999924</v>
      </c>
      <c r="G50" s="10">
        <f t="shared" si="23"/>
        <v>20.114999999999924</v>
      </c>
      <c r="H50" s="10">
        <f t="shared" si="23"/>
        <v>0</v>
      </c>
      <c r="I50" s="10">
        <f t="shared" si="23"/>
        <v>0</v>
      </c>
      <c r="J50" s="10">
        <f t="shared" si="23"/>
        <v>0</v>
      </c>
      <c r="K50" s="10">
        <f t="shared" si="23"/>
        <v>0</v>
      </c>
      <c r="L50" s="10">
        <f t="shared" si="23"/>
        <v>0</v>
      </c>
      <c r="M50" s="10">
        <f t="shared" si="23"/>
        <v>0</v>
      </c>
      <c r="N50" s="10">
        <f t="shared" si="23"/>
        <v>0</v>
      </c>
      <c r="O50" s="10">
        <f t="shared" si="23"/>
        <v>0</v>
      </c>
      <c r="P50" s="10">
        <f t="shared" si="23"/>
        <v>0</v>
      </c>
      <c r="Q50" s="10">
        <f t="shared" si="23"/>
        <v>40.279999999999845</v>
      </c>
      <c r="R50" s="260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</row>
    <row r="51" spans="1:29" s="17" customFormat="1" ht="18.75">
      <c r="A51" s="145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260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</row>
    <row r="52" spans="1:29" s="17" customFormat="1">
      <c r="A52" s="146" t="s">
        <v>243</v>
      </c>
      <c r="B52" s="146"/>
      <c r="C52" s="10"/>
      <c r="D52" s="10">
        <f>D28</f>
        <v>222.82</v>
      </c>
      <c r="E52" s="10">
        <f>$D$52*E28</f>
        <v>0</v>
      </c>
      <c r="F52" s="10">
        <f t="shared" ref="F52:Q52" si="24">$D$52*F28</f>
        <v>98</v>
      </c>
      <c r="G52" s="10">
        <f t="shared" si="24"/>
        <v>124.82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/>
      <c r="L52" s="10"/>
      <c r="M52" s="10"/>
      <c r="N52" s="10"/>
      <c r="O52" s="10"/>
      <c r="P52" s="10">
        <f t="shared" si="24"/>
        <v>0</v>
      </c>
      <c r="Q52" s="10">
        <f t="shared" si="24"/>
        <v>222.82</v>
      </c>
      <c r="R52" s="260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</row>
    <row r="53" spans="1:29" s="17" customFormat="1" ht="18.75">
      <c r="A53" s="145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260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</row>
    <row r="54" spans="1:29" s="17" customFormat="1">
      <c r="A54" s="146" t="s">
        <v>244</v>
      </c>
      <c r="B54" s="146"/>
      <c r="C54" s="10"/>
      <c r="D54" s="10"/>
      <c r="E54" s="10">
        <f>E50+E52</f>
        <v>0</v>
      </c>
      <c r="F54" s="10">
        <f t="shared" ref="F54:P54" si="25">F50+F52</f>
        <v>117.86499999999992</v>
      </c>
      <c r="G54" s="10">
        <f t="shared" si="25"/>
        <v>144.93499999999992</v>
      </c>
      <c r="H54" s="10">
        <f t="shared" si="25"/>
        <v>0</v>
      </c>
      <c r="I54" s="10">
        <f t="shared" si="25"/>
        <v>0</v>
      </c>
      <c r="J54" s="10">
        <f t="shared" si="25"/>
        <v>0</v>
      </c>
      <c r="K54" s="10">
        <f t="shared" si="25"/>
        <v>0</v>
      </c>
      <c r="L54" s="10">
        <f t="shared" si="25"/>
        <v>0</v>
      </c>
      <c r="M54" s="10">
        <f t="shared" si="25"/>
        <v>0</v>
      </c>
      <c r="N54" s="10">
        <f t="shared" si="25"/>
        <v>0</v>
      </c>
      <c r="O54" s="10">
        <f t="shared" si="25"/>
        <v>0</v>
      </c>
      <c r="P54" s="10">
        <f t="shared" si="25"/>
        <v>0</v>
      </c>
      <c r="Q54" s="10">
        <f>SUM(E54:P54)</f>
        <v>262.79999999999984</v>
      </c>
      <c r="R54" s="260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</row>
    <row r="55" spans="1:29" s="17" customFormat="1" ht="18.75">
      <c r="A55" s="145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260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</row>
    <row r="56" spans="1:29" s="1" customFormat="1" ht="12.75">
      <c r="A56" s="62" t="s">
        <v>245</v>
      </c>
      <c r="B56" s="62"/>
      <c r="C56" s="116"/>
      <c r="D56" s="116"/>
      <c r="E56" s="116">
        <v>34.42</v>
      </c>
      <c r="F56" s="116">
        <f>E58</f>
        <v>34.42</v>
      </c>
      <c r="G56" s="116">
        <f t="shared" ref="G56:P56" si="26">F58</f>
        <v>84.126606499999951</v>
      </c>
      <c r="H56" s="116">
        <f t="shared" si="26"/>
        <v>-60.808393499999966</v>
      </c>
      <c r="I56" s="116">
        <f t="shared" si="26"/>
        <v>-60.808393499999966</v>
      </c>
      <c r="J56" s="116">
        <f t="shared" si="26"/>
        <v>-60.808393499999966</v>
      </c>
      <c r="K56" s="116">
        <f t="shared" si="26"/>
        <v>-60.808393499999966</v>
      </c>
      <c r="L56" s="116">
        <f t="shared" si="26"/>
        <v>-60.808393499999966</v>
      </c>
      <c r="M56" s="116">
        <f t="shared" si="26"/>
        <v>-60.808393499999966</v>
      </c>
      <c r="N56" s="116">
        <f t="shared" si="26"/>
        <v>-60.808393499999966</v>
      </c>
      <c r="O56" s="116">
        <f t="shared" si="26"/>
        <v>-60.808393499999966</v>
      </c>
      <c r="P56" s="116">
        <f t="shared" si="26"/>
        <v>-60.808393499999966</v>
      </c>
      <c r="Q56" s="116"/>
      <c r="R56" s="11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s="1" customFormat="1" ht="12.75">
      <c r="A57" s="62" t="s">
        <v>246</v>
      </c>
      <c r="B57" s="62"/>
      <c r="C57" s="116"/>
      <c r="D57" s="116"/>
      <c r="E57" s="116"/>
      <c r="F57" s="116">
        <f>HLOOKUP(F6,'Finance Cost'!$D$6:$BS$11,6,FALSE)+HLOOKUP(F6,'Finance Cost'!$D$6:$BS$19,14,FALSE)</f>
        <v>167.57160649999986</v>
      </c>
      <c r="G57" s="116">
        <f>HLOOKUP(G6,'Finance Cost'!$D$6:$BS$11,6,FALSE)+HLOOKUP(G6,'Finance Cost'!$D$6:$BS$19,14,FALSE)</f>
        <v>0</v>
      </c>
      <c r="H57" s="116"/>
      <c r="I57" s="116">
        <f>HLOOKUP(I6,'Finance Cost'!$D$6:$BS$11,6,FALSE)+HLOOKUP(I6,'Finance Cost'!$D$6:$BS$19,14,FALSE)</f>
        <v>0</v>
      </c>
      <c r="J57" s="116">
        <f>HLOOKUP(J6,'Finance Cost'!$D$6:$BS$11,6,FALSE)+HLOOKUP(J6,'Finance Cost'!$D$6:$BS$19,14,FALSE)</f>
        <v>0</v>
      </c>
      <c r="K57" s="116">
        <f>HLOOKUP(K6,'Finance Cost'!$D$6:$BS$11,6,FALSE)+HLOOKUP(K6,'Finance Cost'!$D$6:$BS$19,14,FALSE)</f>
        <v>0</v>
      </c>
      <c r="L57" s="116">
        <f>HLOOKUP(L6,'Finance Cost'!$D$6:$BS$11,6,FALSE)+HLOOKUP(L6,'Finance Cost'!$D$6:$BS$19,14,FALSE)</f>
        <v>0</v>
      </c>
      <c r="M57" s="116">
        <f>HLOOKUP(M6,'Finance Cost'!$D$6:$BS$11,6,FALSE)+HLOOKUP(M6,'Finance Cost'!$D$6:$BS$19,14,FALSE)</f>
        <v>0</v>
      </c>
      <c r="N57" s="116">
        <f>HLOOKUP(N6,'Finance Cost'!$D$6:$BS$11,6,FALSE)+HLOOKUP(N6,'Finance Cost'!$D$6:$BS$19,14,FALSE)</f>
        <v>0</v>
      </c>
      <c r="O57" s="116">
        <f>HLOOKUP(O6,'Finance Cost'!$D$6:$BS$11,6,FALSE)+HLOOKUP(O6,'Finance Cost'!$D$6:$BS$19,14,FALSE)</f>
        <v>0</v>
      </c>
      <c r="P57" s="116">
        <f>HLOOKUP(P6,'Finance Cost'!$D$6:$BS$11,6,FALSE)+HLOOKUP(P6,'Finance Cost'!$D$6:$BS$19,14,FALSE)</f>
        <v>0</v>
      </c>
      <c r="Q57" s="116"/>
      <c r="R57" s="11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s="1" customFormat="1" ht="13.5" thickBot="1">
      <c r="A58" s="91" t="s">
        <v>247</v>
      </c>
      <c r="B58" s="91"/>
      <c r="C58" s="91"/>
      <c r="D58" s="91"/>
      <c r="E58" s="150">
        <f>E56+E57-E54</f>
        <v>34.42</v>
      </c>
      <c r="F58" s="150">
        <f t="shared" ref="F58:P58" si="27">F56+F57-F54</f>
        <v>84.126606499999951</v>
      </c>
      <c r="G58" s="150">
        <f t="shared" si="27"/>
        <v>-60.808393499999966</v>
      </c>
      <c r="H58" s="150">
        <f t="shared" si="27"/>
        <v>-60.808393499999966</v>
      </c>
      <c r="I58" s="150">
        <f t="shared" si="27"/>
        <v>-60.808393499999966</v>
      </c>
      <c r="J58" s="150">
        <f t="shared" si="27"/>
        <v>-60.808393499999966</v>
      </c>
      <c r="K58" s="150">
        <f t="shared" si="27"/>
        <v>-60.808393499999966</v>
      </c>
      <c r="L58" s="150">
        <f t="shared" si="27"/>
        <v>-60.808393499999966</v>
      </c>
      <c r="M58" s="150">
        <f t="shared" si="27"/>
        <v>-60.808393499999966</v>
      </c>
      <c r="N58" s="150">
        <f t="shared" si="27"/>
        <v>-60.808393499999966</v>
      </c>
      <c r="O58" s="150">
        <f t="shared" si="27"/>
        <v>-60.808393499999966</v>
      </c>
      <c r="P58" s="150">
        <f t="shared" si="27"/>
        <v>-60.808393499999966</v>
      </c>
      <c r="Q58" s="91"/>
      <c r="R58" s="112"/>
      <c r="S58" s="62"/>
      <c r="T58" s="62"/>
      <c r="U58" s="62"/>
      <c r="V58" s="62"/>
      <c r="W58" s="62"/>
      <c r="X58" s="62"/>
      <c r="Y58" s="62"/>
      <c r="Z58" s="62"/>
      <c r="AA58" s="62"/>
      <c r="AB58" s="62"/>
    </row>
    <row r="59" spans="1:29" s="17" customFormat="1" ht="19.5" thickTop="1">
      <c r="A59" s="145"/>
      <c r="B59" s="106"/>
      <c r="C59" s="106"/>
      <c r="D59" s="147"/>
      <c r="E59" s="147"/>
      <c r="F59" s="106"/>
      <c r="G59" s="446"/>
      <c r="H59" s="446"/>
      <c r="I59" s="106"/>
      <c r="J59" s="106"/>
      <c r="K59" s="106"/>
      <c r="L59" s="106"/>
      <c r="M59" s="106"/>
      <c r="N59" s="106"/>
      <c r="O59" s="106"/>
      <c r="P59" s="106"/>
      <c r="Q59" s="106"/>
      <c r="R59" s="260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</row>
    <row r="60" spans="1:29" s="17" customFormat="1" ht="19.5" thickBot="1">
      <c r="A60" s="145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47"/>
      <c r="Q60" s="147"/>
      <c r="R60" s="260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</row>
    <row r="61" spans="1:29" s="17" customFormat="1" ht="15.75" thickTop="1">
      <c r="A61" s="641" t="s">
        <v>0</v>
      </c>
      <c r="B61" s="46"/>
      <c r="C61" s="19">
        <f>B62+1</f>
        <v>42461</v>
      </c>
      <c r="D61" s="19">
        <f>C62+1</f>
        <v>42826</v>
      </c>
      <c r="E61" s="19">
        <v>43191</v>
      </c>
      <c r="F61" s="19">
        <f>E62+1</f>
        <v>43556</v>
      </c>
      <c r="G61" s="19">
        <f>F62+1</f>
        <v>43922</v>
      </c>
      <c r="H61" s="19">
        <f t="shared" ref="H61:AB61" si="28">G62+1</f>
        <v>44287</v>
      </c>
      <c r="I61" s="19">
        <f t="shared" si="28"/>
        <v>44652</v>
      </c>
      <c r="J61" s="19">
        <f t="shared" si="28"/>
        <v>45017</v>
      </c>
      <c r="K61" s="19">
        <f t="shared" si="28"/>
        <v>45383</v>
      </c>
      <c r="L61" s="19">
        <f t="shared" si="28"/>
        <v>45748</v>
      </c>
      <c r="M61" s="19">
        <f t="shared" si="28"/>
        <v>46113</v>
      </c>
      <c r="N61" s="19">
        <f t="shared" si="28"/>
        <v>46478</v>
      </c>
      <c r="O61" s="19">
        <f t="shared" si="28"/>
        <v>46844</v>
      </c>
      <c r="P61" s="19">
        <f t="shared" si="28"/>
        <v>47209</v>
      </c>
      <c r="Q61" s="19">
        <f t="shared" si="28"/>
        <v>47574</v>
      </c>
      <c r="R61" s="492">
        <f t="shared" si="28"/>
        <v>47939</v>
      </c>
      <c r="S61" s="19">
        <f t="shared" si="28"/>
        <v>48305</v>
      </c>
      <c r="T61" s="19">
        <f t="shared" si="28"/>
        <v>48670</v>
      </c>
      <c r="U61" s="19">
        <f t="shared" si="28"/>
        <v>49035</v>
      </c>
      <c r="V61" s="19">
        <f t="shared" si="28"/>
        <v>49400</v>
      </c>
      <c r="W61" s="19">
        <f t="shared" si="28"/>
        <v>49766</v>
      </c>
      <c r="X61" s="19">
        <f t="shared" si="28"/>
        <v>50131</v>
      </c>
      <c r="Y61" s="19">
        <f t="shared" si="28"/>
        <v>50496</v>
      </c>
      <c r="Z61" s="19">
        <f t="shared" si="28"/>
        <v>50861</v>
      </c>
      <c r="AA61" s="19">
        <f t="shared" si="28"/>
        <v>51227</v>
      </c>
      <c r="AB61" s="19">
        <f t="shared" si="28"/>
        <v>51592</v>
      </c>
    </row>
    <row r="62" spans="1:29" s="17" customFormat="1">
      <c r="A62" s="642"/>
      <c r="B62" s="6">
        <v>42460</v>
      </c>
      <c r="C62" s="6">
        <f>EOMONTH(B62,12)</f>
        <v>42825</v>
      </c>
      <c r="D62" s="6">
        <f>EOMONTH(C62,12)</f>
        <v>43190</v>
      </c>
      <c r="E62" s="6">
        <v>43555</v>
      </c>
      <c r="F62" s="6">
        <f>EOMONTH(E62,12)</f>
        <v>43921</v>
      </c>
      <c r="G62" s="6">
        <f t="shared" ref="G62:AB62" si="29">EOMONTH(F62,12)</f>
        <v>44286</v>
      </c>
      <c r="H62" s="6">
        <f t="shared" si="29"/>
        <v>44651</v>
      </c>
      <c r="I62" s="6">
        <f t="shared" si="29"/>
        <v>45016</v>
      </c>
      <c r="J62" s="6">
        <f t="shared" si="29"/>
        <v>45382</v>
      </c>
      <c r="K62" s="6">
        <f t="shared" si="29"/>
        <v>45747</v>
      </c>
      <c r="L62" s="6">
        <f t="shared" si="29"/>
        <v>46112</v>
      </c>
      <c r="M62" s="6">
        <f t="shared" si="29"/>
        <v>46477</v>
      </c>
      <c r="N62" s="6">
        <f t="shared" si="29"/>
        <v>46843</v>
      </c>
      <c r="O62" s="6">
        <f t="shared" si="29"/>
        <v>47208</v>
      </c>
      <c r="P62" s="6">
        <f t="shared" si="29"/>
        <v>47573</v>
      </c>
      <c r="Q62" s="6">
        <f t="shared" si="29"/>
        <v>47938</v>
      </c>
      <c r="R62" s="493">
        <f t="shared" si="29"/>
        <v>48304</v>
      </c>
      <c r="S62" s="6">
        <f t="shared" si="29"/>
        <v>48669</v>
      </c>
      <c r="T62" s="6">
        <f t="shared" si="29"/>
        <v>49034</v>
      </c>
      <c r="U62" s="6">
        <f t="shared" si="29"/>
        <v>49399</v>
      </c>
      <c r="V62" s="6">
        <f t="shared" si="29"/>
        <v>49765</v>
      </c>
      <c r="W62" s="6">
        <f t="shared" si="29"/>
        <v>50130</v>
      </c>
      <c r="X62" s="6">
        <f t="shared" si="29"/>
        <v>50495</v>
      </c>
      <c r="Y62" s="6">
        <f t="shared" si="29"/>
        <v>50860</v>
      </c>
      <c r="Z62" s="6">
        <f t="shared" si="29"/>
        <v>51226</v>
      </c>
      <c r="AA62" s="6">
        <f t="shared" si="29"/>
        <v>51591</v>
      </c>
      <c r="AB62" s="6">
        <f t="shared" si="29"/>
        <v>51956</v>
      </c>
    </row>
    <row r="63" spans="1:29" s="17" customFormat="1">
      <c r="A63" s="643"/>
      <c r="B63" s="8">
        <f>YEAR(B62)</f>
        <v>2016</v>
      </c>
      <c r="C63" s="8">
        <f>YEAR(C62)</f>
        <v>2017</v>
      </c>
      <c r="D63" s="8">
        <f t="shared" ref="D63:AB63" si="30">YEAR(D62)</f>
        <v>2018</v>
      </c>
      <c r="E63" s="8">
        <f t="shared" si="30"/>
        <v>2019</v>
      </c>
      <c r="F63" s="8">
        <f t="shared" si="30"/>
        <v>2020</v>
      </c>
      <c r="G63" s="8">
        <f t="shared" si="30"/>
        <v>2021</v>
      </c>
      <c r="H63" s="8">
        <f t="shared" si="30"/>
        <v>2022</v>
      </c>
      <c r="I63" s="8">
        <f t="shared" si="30"/>
        <v>2023</v>
      </c>
      <c r="J63" s="8">
        <f t="shared" si="30"/>
        <v>2024</v>
      </c>
      <c r="K63" s="8">
        <f t="shared" si="30"/>
        <v>2025</v>
      </c>
      <c r="L63" s="8">
        <f t="shared" si="30"/>
        <v>2026</v>
      </c>
      <c r="M63" s="8">
        <f t="shared" si="30"/>
        <v>2027</v>
      </c>
      <c r="N63" s="8">
        <f t="shared" si="30"/>
        <v>2028</v>
      </c>
      <c r="O63" s="8">
        <f t="shared" si="30"/>
        <v>2029</v>
      </c>
      <c r="P63" s="8">
        <f t="shared" si="30"/>
        <v>2030</v>
      </c>
      <c r="Q63" s="8">
        <f t="shared" si="30"/>
        <v>2031</v>
      </c>
      <c r="R63" s="494">
        <f t="shared" si="30"/>
        <v>2032</v>
      </c>
      <c r="S63" s="8">
        <f t="shared" si="30"/>
        <v>2033</v>
      </c>
      <c r="T63" s="8">
        <f t="shared" si="30"/>
        <v>2034</v>
      </c>
      <c r="U63" s="8">
        <f t="shared" si="30"/>
        <v>2035</v>
      </c>
      <c r="V63" s="8">
        <f t="shared" si="30"/>
        <v>2036</v>
      </c>
      <c r="W63" s="8">
        <f t="shared" si="30"/>
        <v>2037</v>
      </c>
      <c r="X63" s="8">
        <f t="shared" si="30"/>
        <v>2038</v>
      </c>
      <c r="Y63" s="8">
        <f t="shared" si="30"/>
        <v>2039</v>
      </c>
      <c r="Z63" s="8">
        <f t="shared" si="30"/>
        <v>2040</v>
      </c>
      <c r="AA63" s="8">
        <f t="shared" si="30"/>
        <v>2041</v>
      </c>
      <c r="AB63" s="8">
        <f t="shared" si="30"/>
        <v>2042</v>
      </c>
    </row>
    <row r="64" spans="1:29" ht="15.75">
      <c r="A64" s="138" t="s">
        <v>214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112"/>
      <c r="S64" s="62"/>
      <c r="T64" s="62"/>
      <c r="U64" s="62"/>
      <c r="V64" s="62"/>
      <c r="W64" s="62"/>
      <c r="X64" s="62"/>
      <c r="Y64" s="62"/>
      <c r="Z64" s="62"/>
      <c r="AA64" s="62"/>
      <c r="AB64" s="62"/>
    </row>
    <row r="65" spans="1:28">
      <c r="A65" s="62" t="s">
        <v>215</v>
      </c>
      <c r="B65" s="62"/>
      <c r="C65" s="62"/>
      <c r="D65" s="140">
        <f>C69</f>
        <v>0</v>
      </c>
      <c r="E65" s="140">
        <v>7742.3490000000002</v>
      </c>
      <c r="F65" s="140">
        <f t="shared" ref="F65:AB65" si="31">E69</f>
        <v>7747.9630000000016</v>
      </c>
      <c r="G65" s="140">
        <f t="shared" si="31"/>
        <v>8111.2600000000011</v>
      </c>
      <c r="H65" s="140">
        <f t="shared" ca="1" si="31"/>
        <v>8195.7438809958676</v>
      </c>
      <c r="I65" s="140">
        <f t="shared" ca="1" si="31"/>
        <v>8497.8869501284662</v>
      </c>
      <c r="J65" s="140">
        <f t="shared" ca="1" si="31"/>
        <v>8651.5298296350993</v>
      </c>
      <c r="K65" s="140">
        <f t="shared" ca="1" si="31"/>
        <v>8651.5298296350993</v>
      </c>
      <c r="L65" s="140">
        <f t="shared" ca="1" si="31"/>
        <v>8651.5298296350993</v>
      </c>
      <c r="M65" s="140">
        <f t="shared" ca="1" si="31"/>
        <v>8651.5298296350993</v>
      </c>
      <c r="N65" s="140">
        <f t="shared" ca="1" si="31"/>
        <v>8651.5298296350993</v>
      </c>
      <c r="O65" s="140">
        <f t="shared" ca="1" si="31"/>
        <v>8651.5298296350993</v>
      </c>
      <c r="P65" s="140">
        <f t="shared" ca="1" si="31"/>
        <v>8651.5298296350993</v>
      </c>
      <c r="Q65" s="140">
        <f t="shared" ca="1" si="31"/>
        <v>8651.5298296350993</v>
      </c>
      <c r="R65" s="112">
        <f t="shared" ca="1" si="31"/>
        <v>8651.5298296350993</v>
      </c>
      <c r="S65" s="140">
        <f t="shared" ca="1" si="31"/>
        <v>8651.5298296350993</v>
      </c>
      <c r="T65" s="140">
        <f t="shared" ca="1" si="31"/>
        <v>8651.5298296350993</v>
      </c>
      <c r="U65" s="140">
        <f t="shared" ca="1" si="31"/>
        <v>8651.5298296350993</v>
      </c>
      <c r="V65" s="140">
        <f t="shared" ca="1" si="31"/>
        <v>8651.5298296350993</v>
      </c>
      <c r="W65" s="140">
        <f t="shared" ca="1" si="31"/>
        <v>8651.5298296350993</v>
      </c>
      <c r="X65" s="140">
        <f t="shared" ca="1" si="31"/>
        <v>8651.5298296350993</v>
      </c>
      <c r="Y65" s="140">
        <f t="shared" ca="1" si="31"/>
        <v>8651.5298296350993</v>
      </c>
      <c r="Z65" s="140">
        <f t="shared" ca="1" si="31"/>
        <v>8651.5298296350993</v>
      </c>
      <c r="AA65" s="140">
        <f t="shared" ca="1" si="31"/>
        <v>8651.5298296350993</v>
      </c>
      <c r="AB65" s="140">
        <f t="shared" ca="1" si="31"/>
        <v>8651.5298296350993</v>
      </c>
    </row>
    <row r="66" spans="1:28">
      <c r="A66" s="62" t="s">
        <v>216</v>
      </c>
      <c r="B66" s="62"/>
      <c r="C66" s="62"/>
      <c r="D66" s="62"/>
      <c r="E66" s="116">
        <v>0</v>
      </c>
      <c r="F66" s="116">
        <f>SUMIF($E$7:$P$7,F63,$E$50:$P$50)+E71</f>
        <v>363.29699999999997</v>
      </c>
      <c r="G66" s="116">
        <f ca="1">G71</f>
        <v>84.48388099586559</v>
      </c>
      <c r="H66" s="116">
        <f ca="1">H71</f>
        <v>302.14306913259787</v>
      </c>
      <c r="I66" s="140">
        <f ca="1">I71</f>
        <v>153.64287950663257</v>
      </c>
      <c r="J66" s="62"/>
      <c r="K66" s="62"/>
      <c r="L66" s="62"/>
      <c r="M66" s="62"/>
      <c r="N66" s="62"/>
      <c r="O66" s="62"/>
      <c r="P66" s="62"/>
      <c r="Q66" s="62"/>
      <c r="R66" s="112"/>
      <c r="S66" s="62"/>
      <c r="T66" s="62"/>
      <c r="U66" s="62"/>
      <c r="V66" s="62"/>
      <c r="W66" s="62"/>
      <c r="X66" s="62"/>
      <c r="Y66" s="62"/>
      <c r="Z66" s="62"/>
      <c r="AA66" s="62"/>
      <c r="AB66" s="62"/>
    </row>
    <row r="67" spans="1:28">
      <c r="A67" s="62" t="s">
        <v>217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112"/>
      <c r="S67" s="62"/>
      <c r="T67" s="62"/>
      <c r="U67" s="62"/>
      <c r="V67" s="62"/>
      <c r="W67" s="62"/>
      <c r="X67" s="62"/>
      <c r="Y67" s="62"/>
      <c r="Z67" s="62"/>
      <c r="AA67" s="62"/>
      <c r="AB67" s="62"/>
    </row>
    <row r="68" spans="1:28">
      <c r="A68" s="62" t="s">
        <v>219</v>
      </c>
      <c r="B68" s="171">
        <f>0.95/25</f>
        <v>3.7999999999999999E-2</v>
      </c>
      <c r="C68" s="62"/>
      <c r="D68" s="62">
        <v>482.14</v>
      </c>
      <c r="E68" s="116">
        <f>'Financial Statement'!E36</f>
        <v>788.41800000000001</v>
      </c>
      <c r="F68" s="116">
        <f>(F65)*$B$68+E68</f>
        <v>1082.840594</v>
      </c>
      <c r="G68" s="116">
        <f>(G65)*$B$68+F68</f>
        <v>1391.0684740000002</v>
      </c>
      <c r="H68" s="116">
        <f ca="1">(H65)*$B$68+G68</f>
        <v>1702.5067414778432</v>
      </c>
      <c r="I68" s="116">
        <f t="shared" ref="I68:AB68" ca="1" si="32">(I65)*$B$68+H68</f>
        <v>2025.4264455827249</v>
      </c>
      <c r="J68" s="116">
        <f t="shared" ca="1" si="32"/>
        <v>2354.1845791088585</v>
      </c>
      <c r="K68" s="116">
        <f t="shared" ca="1" si="32"/>
        <v>2682.9427126349924</v>
      </c>
      <c r="L68" s="116">
        <f t="shared" ca="1" si="32"/>
        <v>3011.7008461611263</v>
      </c>
      <c r="M68" s="116">
        <f t="shared" ca="1" si="32"/>
        <v>3340.4589796872601</v>
      </c>
      <c r="N68" s="116">
        <f t="shared" ca="1" si="32"/>
        <v>3669.217113213394</v>
      </c>
      <c r="O68" s="116">
        <f t="shared" ca="1" si="32"/>
        <v>3997.9752467395278</v>
      </c>
      <c r="P68" s="116">
        <f t="shared" ca="1" si="32"/>
        <v>4326.7333802656613</v>
      </c>
      <c r="Q68" s="116">
        <f t="shared" ca="1" si="32"/>
        <v>4655.4915137917951</v>
      </c>
      <c r="R68" s="112">
        <f t="shared" ca="1" si="32"/>
        <v>4984.249647317929</v>
      </c>
      <c r="S68" s="116">
        <f t="shared" ca="1" si="32"/>
        <v>5313.0077808440628</v>
      </c>
      <c r="T68" s="116">
        <f t="shared" ca="1" si="32"/>
        <v>5641.7659143701967</v>
      </c>
      <c r="U68" s="116">
        <f t="shared" ca="1" si="32"/>
        <v>5970.5240478963306</v>
      </c>
      <c r="V68" s="116">
        <f t="shared" ca="1" si="32"/>
        <v>6299.2821814224644</v>
      </c>
      <c r="W68" s="116">
        <f t="shared" ca="1" si="32"/>
        <v>6628.0403149485983</v>
      </c>
      <c r="X68" s="116">
        <f t="shared" ca="1" si="32"/>
        <v>6956.7984484747321</v>
      </c>
      <c r="Y68" s="116">
        <f t="shared" ca="1" si="32"/>
        <v>7285.556582000866</v>
      </c>
      <c r="Z68" s="116">
        <f t="shared" ca="1" si="32"/>
        <v>7614.3147155269999</v>
      </c>
      <c r="AA68" s="116">
        <f t="shared" ca="1" si="32"/>
        <v>7943.0728490531337</v>
      </c>
      <c r="AB68" s="116">
        <f t="shared" ca="1" si="32"/>
        <v>8271.8309825792676</v>
      </c>
    </row>
    <row r="69" spans="1:28" s="4" customFormat="1">
      <c r="A69" s="37" t="s">
        <v>218</v>
      </c>
      <c r="B69" s="50"/>
      <c r="C69" s="10">
        <f>C65+C66-C67-C68</f>
        <v>0</v>
      </c>
      <c r="D69" s="10">
        <f t="shared" ref="D69:AB69" si="33">D65+D66-D67</f>
        <v>0</v>
      </c>
      <c r="E69" s="10">
        <f>'Financial Statement'!E34</f>
        <v>7747.9630000000016</v>
      </c>
      <c r="F69" s="10">
        <f t="shared" si="33"/>
        <v>8111.2600000000011</v>
      </c>
      <c r="G69" s="10">
        <f ca="1">G65+G66-G67</f>
        <v>8195.7438809958676</v>
      </c>
      <c r="H69" s="10">
        <f t="shared" ca="1" si="33"/>
        <v>8497.8869501284662</v>
      </c>
      <c r="I69" s="10">
        <f t="shared" ca="1" si="33"/>
        <v>8651.5298296350993</v>
      </c>
      <c r="J69" s="10">
        <f t="shared" ca="1" si="33"/>
        <v>8651.5298296350993</v>
      </c>
      <c r="K69" s="10">
        <f t="shared" ca="1" si="33"/>
        <v>8651.5298296350993</v>
      </c>
      <c r="L69" s="10">
        <f t="shared" ca="1" si="33"/>
        <v>8651.5298296350993</v>
      </c>
      <c r="M69" s="10">
        <f t="shared" ca="1" si="33"/>
        <v>8651.5298296350993</v>
      </c>
      <c r="N69" s="10">
        <f t="shared" ca="1" si="33"/>
        <v>8651.5298296350993</v>
      </c>
      <c r="O69" s="10">
        <f t="shared" ca="1" si="33"/>
        <v>8651.5298296350993</v>
      </c>
      <c r="P69" s="10">
        <f t="shared" ca="1" si="33"/>
        <v>8651.5298296350993</v>
      </c>
      <c r="Q69" s="10">
        <f t="shared" ca="1" si="33"/>
        <v>8651.5298296350993</v>
      </c>
      <c r="R69" s="67">
        <f t="shared" ca="1" si="33"/>
        <v>8651.5298296350993</v>
      </c>
      <c r="S69" s="10">
        <f t="shared" ca="1" si="33"/>
        <v>8651.5298296350993</v>
      </c>
      <c r="T69" s="10">
        <f t="shared" ca="1" si="33"/>
        <v>8651.5298296350993</v>
      </c>
      <c r="U69" s="10">
        <f t="shared" ca="1" si="33"/>
        <v>8651.5298296350993</v>
      </c>
      <c r="V69" s="10">
        <f t="shared" ca="1" si="33"/>
        <v>8651.5298296350993</v>
      </c>
      <c r="W69" s="10">
        <f t="shared" ca="1" si="33"/>
        <v>8651.5298296350993</v>
      </c>
      <c r="X69" s="10">
        <f t="shared" ca="1" si="33"/>
        <v>8651.5298296350993</v>
      </c>
      <c r="Y69" s="10">
        <f t="shared" ca="1" si="33"/>
        <v>8651.5298296350993</v>
      </c>
      <c r="Z69" s="10">
        <f t="shared" ca="1" si="33"/>
        <v>8651.5298296350993</v>
      </c>
      <c r="AA69" s="10">
        <f t="shared" ca="1" si="33"/>
        <v>8651.5298296350993</v>
      </c>
      <c r="AB69" s="10">
        <f t="shared" ca="1" si="33"/>
        <v>8651.5298296350993</v>
      </c>
    </row>
    <row r="70" spans="1:28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112"/>
      <c r="S70" s="62"/>
      <c r="T70" s="62"/>
      <c r="U70" s="62"/>
      <c r="V70" s="62"/>
      <c r="W70" s="62"/>
      <c r="X70" s="62"/>
      <c r="Y70" s="62"/>
      <c r="Z70" s="62"/>
      <c r="AA70" s="62"/>
      <c r="AB70" s="62"/>
    </row>
    <row r="71" spans="1:28" s="4" customFormat="1">
      <c r="A71" s="37" t="s">
        <v>220</v>
      </c>
      <c r="B71" s="50"/>
      <c r="C71" s="10"/>
      <c r="D71" s="440">
        <v>299.76600000000002</v>
      </c>
      <c r="E71" s="440">
        <f>'Financial Statement'!E35</f>
        <v>363.29699999999997</v>
      </c>
      <c r="F71" s="440">
        <f>SUMIF('FGD Phasing'!$E$21:$AC$21,'Phasing (2)'!F76,'FGD Phasing'!$E$37:$AC$37)</f>
        <v>0</v>
      </c>
      <c r="G71" s="440">
        <f ca="1">SUMIF('FGD Phasing'!$E$21:$AC$21,'Phasing (2)'!G76,'FGD Phasing'!$E$37:$AC$37)</f>
        <v>84.48388099586559</v>
      </c>
      <c r="H71" s="440">
        <f ca="1">SUMIF('FGD Phasing'!$E$21:$AC$21,'Phasing (2)'!H76,'FGD Phasing'!$E$37:$AC$37)</f>
        <v>302.14306913259787</v>
      </c>
      <c r="I71" s="440">
        <f ca="1">SUMIF('FGD Phasing'!$E$21:$AC$21,'Phasing (2)'!I76,'FGD Phasing'!$E$37:$AC$37)</f>
        <v>153.64287950663257</v>
      </c>
      <c r="J71" s="10"/>
      <c r="K71" s="10"/>
      <c r="L71" s="10"/>
      <c r="M71" s="10"/>
      <c r="N71" s="10"/>
      <c r="O71" s="10"/>
      <c r="P71" s="10"/>
      <c r="Q71" s="10"/>
      <c r="R71" s="67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112"/>
      <c r="S72" s="62"/>
      <c r="T72" s="62"/>
      <c r="U72" s="62"/>
      <c r="V72" s="62"/>
      <c r="W72" s="62"/>
      <c r="X72" s="62"/>
      <c r="Y72" s="62"/>
      <c r="Z72" s="62"/>
      <c r="AA72" s="62"/>
      <c r="AB72" s="62"/>
    </row>
    <row r="73" spans="1:28" ht="15.75" thickBo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112"/>
      <c r="S73" s="62"/>
      <c r="T73" s="62"/>
      <c r="U73" s="62"/>
      <c r="V73" s="62"/>
      <c r="W73" s="62"/>
      <c r="X73" s="62"/>
      <c r="Y73" s="62"/>
      <c r="Z73" s="62"/>
      <c r="AA73" s="62"/>
      <c r="AB73" s="62"/>
    </row>
    <row r="74" spans="1:28" ht="15.75" thickTop="1">
      <c r="A74" s="641" t="s">
        <v>0</v>
      </c>
      <c r="B74" s="46"/>
      <c r="C74" s="19">
        <f>B75+1</f>
        <v>42461</v>
      </c>
      <c r="D74" s="19">
        <f>C75+1</f>
        <v>42826</v>
      </c>
      <c r="E74" s="19">
        <v>43191</v>
      </c>
      <c r="F74" s="19">
        <f>E75+1</f>
        <v>43556</v>
      </c>
      <c r="G74" s="19">
        <f>F75+1</f>
        <v>43922</v>
      </c>
      <c r="H74" s="19">
        <f t="shared" ref="H74:AB74" si="34">G75+1</f>
        <v>44287</v>
      </c>
      <c r="I74" s="19">
        <f t="shared" si="34"/>
        <v>44652</v>
      </c>
      <c r="J74" s="19">
        <f t="shared" si="34"/>
        <v>45017</v>
      </c>
      <c r="K74" s="19">
        <f t="shared" si="34"/>
        <v>45383</v>
      </c>
      <c r="L74" s="19">
        <f t="shared" si="34"/>
        <v>45748</v>
      </c>
      <c r="M74" s="19">
        <f t="shared" si="34"/>
        <v>46113</v>
      </c>
      <c r="N74" s="19">
        <f t="shared" si="34"/>
        <v>46478</v>
      </c>
      <c r="O74" s="19">
        <f t="shared" si="34"/>
        <v>46844</v>
      </c>
      <c r="P74" s="19">
        <f t="shared" si="34"/>
        <v>47209</v>
      </c>
      <c r="Q74" s="19">
        <f t="shared" si="34"/>
        <v>47574</v>
      </c>
      <c r="R74" s="492">
        <f t="shared" si="34"/>
        <v>47939</v>
      </c>
      <c r="S74" s="19">
        <f t="shared" si="34"/>
        <v>48305</v>
      </c>
      <c r="T74" s="19">
        <f t="shared" si="34"/>
        <v>48670</v>
      </c>
      <c r="U74" s="19">
        <f t="shared" si="34"/>
        <v>49035</v>
      </c>
      <c r="V74" s="19">
        <f t="shared" si="34"/>
        <v>49400</v>
      </c>
      <c r="W74" s="19">
        <f t="shared" si="34"/>
        <v>49766</v>
      </c>
      <c r="X74" s="19">
        <f t="shared" si="34"/>
        <v>50131</v>
      </c>
      <c r="Y74" s="19">
        <f t="shared" si="34"/>
        <v>50496</v>
      </c>
      <c r="Z74" s="19">
        <f t="shared" si="34"/>
        <v>50861</v>
      </c>
      <c r="AA74" s="19">
        <f t="shared" si="34"/>
        <v>51227</v>
      </c>
      <c r="AB74" s="19">
        <f t="shared" si="34"/>
        <v>51592</v>
      </c>
    </row>
    <row r="75" spans="1:28">
      <c r="A75" s="642"/>
      <c r="B75" s="6">
        <v>42460</v>
      </c>
      <c r="C75" s="6">
        <f>EOMONTH(B75,12)</f>
        <v>42825</v>
      </c>
      <c r="D75" s="6">
        <f>EOMONTH(C75,12)</f>
        <v>43190</v>
      </c>
      <c r="E75" s="6">
        <v>43555</v>
      </c>
      <c r="F75" s="6">
        <f>EOMONTH(E75,12)</f>
        <v>43921</v>
      </c>
      <c r="G75" s="6">
        <f t="shared" ref="G75:AB75" si="35">EOMONTH(F75,12)</f>
        <v>44286</v>
      </c>
      <c r="H75" s="6">
        <f t="shared" si="35"/>
        <v>44651</v>
      </c>
      <c r="I75" s="6">
        <f t="shared" si="35"/>
        <v>45016</v>
      </c>
      <c r="J75" s="6">
        <f t="shared" si="35"/>
        <v>45382</v>
      </c>
      <c r="K75" s="6">
        <f t="shared" si="35"/>
        <v>45747</v>
      </c>
      <c r="L75" s="6">
        <f t="shared" si="35"/>
        <v>46112</v>
      </c>
      <c r="M75" s="6">
        <f t="shared" si="35"/>
        <v>46477</v>
      </c>
      <c r="N75" s="6">
        <f t="shared" si="35"/>
        <v>46843</v>
      </c>
      <c r="O75" s="6">
        <f t="shared" si="35"/>
        <v>47208</v>
      </c>
      <c r="P75" s="6">
        <f t="shared" si="35"/>
        <v>47573</v>
      </c>
      <c r="Q75" s="6">
        <f t="shared" si="35"/>
        <v>47938</v>
      </c>
      <c r="R75" s="493">
        <f t="shared" si="35"/>
        <v>48304</v>
      </c>
      <c r="S75" s="6">
        <f t="shared" si="35"/>
        <v>48669</v>
      </c>
      <c r="T75" s="6">
        <f t="shared" si="35"/>
        <v>49034</v>
      </c>
      <c r="U75" s="6">
        <f t="shared" si="35"/>
        <v>49399</v>
      </c>
      <c r="V75" s="6">
        <f t="shared" si="35"/>
        <v>49765</v>
      </c>
      <c r="W75" s="6">
        <f t="shared" si="35"/>
        <v>50130</v>
      </c>
      <c r="X75" s="6">
        <f t="shared" si="35"/>
        <v>50495</v>
      </c>
      <c r="Y75" s="6">
        <f t="shared" si="35"/>
        <v>50860</v>
      </c>
      <c r="Z75" s="6">
        <f t="shared" si="35"/>
        <v>51226</v>
      </c>
      <c r="AA75" s="6">
        <f t="shared" si="35"/>
        <v>51591</v>
      </c>
      <c r="AB75" s="6">
        <f t="shared" si="35"/>
        <v>51956</v>
      </c>
    </row>
    <row r="76" spans="1:28">
      <c r="A76" s="643"/>
      <c r="B76" s="8">
        <f>YEAR(B75)</f>
        <v>2016</v>
      </c>
      <c r="C76" s="8">
        <f>YEAR(C75)</f>
        <v>2017</v>
      </c>
      <c r="D76" s="8">
        <f t="shared" ref="D76:AB76" si="36">YEAR(D75)</f>
        <v>2018</v>
      </c>
      <c r="E76" s="8">
        <f t="shared" si="36"/>
        <v>2019</v>
      </c>
      <c r="F76" s="8">
        <f t="shared" si="36"/>
        <v>2020</v>
      </c>
      <c r="G76" s="8">
        <f t="shared" si="36"/>
        <v>2021</v>
      </c>
      <c r="H76" s="8">
        <f t="shared" si="36"/>
        <v>2022</v>
      </c>
      <c r="I76" s="8">
        <f t="shared" si="36"/>
        <v>2023</v>
      </c>
      <c r="J76" s="8">
        <f t="shared" si="36"/>
        <v>2024</v>
      </c>
      <c r="K76" s="8">
        <f t="shared" si="36"/>
        <v>2025</v>
      </c>
      <c r="L76" s="8">
        <f t="shared" si="36"/>
        <v>2026</v>
      </c>
      <c r="M76" s="8">
        <f t="shared" si="36"/>
        <v>2027</v>
      </c>
      <c r="N76" s="8">
        <f t="shared" si="36"/>
        <v>2028</v>
      </c>
      <c r="O76" s="8">
        <f t="shared" si="36"/>
        <v>2029</v>
      </c>
      <c r="P76" s="8">
        <f t="shared" si="36"/>
        <v>2030</v>
      </c>
      <c r="Q76" s="8">
        <f t="shared" si="36"/>
        <v>2031</v>
      </c>
      <c r="R76" s="494">
        <f t="shared" si="36"/>
        <v>2032</v>
      </c>
      <c r="S76" s="8">
        <f t="shared" si="36"/>
        <v>2033</v>
      </c>
      <c r="T76" s="8">
        <f t="shared" si="36"/>
        <v>2034</v>
      </c>
      <c r="U76" s="8">
        <f t="shared" si="36"/>
        <v>2035</v>
      </c>
      <c r="V76" s="8">
        <f t="shared" si="36"/>
        <v>2036</v>
      </c>
      <c r="W76" s="8">
        <f t="shared" si="36"/>
        <v>2037</v>
      </c>
      <c r="X76" s="8">
        <f t="shared" si="36"/>
        <v>2038</v>
      </c>
      <c r="Y76" s="8">
        <f t="shared" si="36"/>
        <v>2039</v>
      </c>
      <c r="Z76" s="8">
        <f t="shared" si="36"/>
        <v>2040</v>
      </c>
      <c r="AA76" s="8">
        <f t="shared" si="36"/>
        <v>2041</v>
      </c>
      <c r="AB76" s="8">
        <f t="shared" si="36"/>
        <v>2042</v>
      </c>
    </row>
    <row r="77" spans="1:28" ht="15.75">
      <c r="A77" s="138" t="s">
        <v>290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112"/>
      <c r="S77" s="62"/>
      <c r="T77" s="62"/>
      <c r="U77" s="62"/>
      <c r="V77" s="62"/>
      <c r="W77" s="62"/>
      <c r="X77" s="62"/>
      <c r="Y77" s="62"/>
      <c r="Z77" s="62"/>
      <c r="AA77" s="62"/>
      <c r="AB77" s="62"/>
    </row>
    <row r="78" spans="1:28">
      <c r="A78" s="62" t="s">
        <v>215</v>
      </c>
      <c r="B78" s="62"/>
      <c r="C78" s="112">
        <v>5494.9469613086258</v>
      </c>
      <c r="D78" s="140">
        <f>C82</f>
        <v>4460.967536802189</v>
      </c>
      <c r="E78" s="140">
        <f>D82</f>
        <v>4460.967536802189</v>
      </c>
      <c r="F78" s="140">
        <f t="shared" ref="F78:AB78" si="37">E82</f>
        <v>3791.8224062818608</v>
      </c>
      <c r="G78" s="140">
        <f t="shared" si="37"/>
        <v>3559.0987703395813</v>
      </c>
      <c r="H78" s="140">
        <f t="shared" ca="1" si="37"/>
        <v>3103.3815447098195</v>
      </c>
      <c r="I78" s="140">
        <f t="shared" ca="1" si="37"/>
        <v>2917.3566519509995</v>
      </c>
      <c r="J78" s="140">
        <f t="shared" ca="1" si="37"/>
        <v>2621.8728177019848</v>
      </c>
      <c r="K78" s="140">
        <f t="shared" ca="1" si="37"/>
        <v>2228.5918950466871</v>
      </c>
      <c r="L78" s="140">
        <f t="shared" ca="1" si="37"/>
        <v>1894.3031107896841</v>
      </c>
      <c r="M78" s="140">
        <f t="shared" ca="1" si="37"/>
        <v>1610.1576441712314</v>
      </c>
      <c r="N78" s="140">
        <f t="shared" ca="1" si="37"/>
        <v>1368.6339975455467</v>
      </c>
      <c r="O78" s="140">
        <f t="shared" ca="1" si="37"/>
        <v>1163.3388979137146</v>
      </c>
      <c r="P78" s="140">
        <f t="shared" ca="1" si="37"/>
        <v>988.83806322665737</v>
      </c>
      <c r="Q78" s="140">
        <f t="shared" ca="1" si="37"/>
        <v>840.51235374265877</v>
      </c>
      <c r="R78" s="112">
        <f t="shared" ca="1" si="37"/>
        <v>714.43550068126001</v>
      </c>
      <c r="S78" s="140">
        <f t="shared" ca="1" si="37"/>
        <v>607.27017557907106</v>
      </c>
      <c r="T78" s="140">
        <f t="shared" ca="1" si="37"/>
        <v>516.17964924221042</v>
      </c>
      <c r="U78" s="140">
        <f t="shared" ca="1" si="37"/>
        <v>438.75270185587885</v>
      </c>
      <c r="V78" s="140">
        <f t="shared" ca="1" si="37"/>
        <v>372.93979657749702</v>
      </c>
      <c r="W78" s="140">
        <f t="shared" ca="1" si="37"/>
        <v>316.99882709087245</v>
      </c>
      <c r="X78" s="140">
        <f t="shared" ca="1" si="37"/>
        <v>269.44900302724159</v>
      </c>
      <c r="Y78" s="140">
        <f t="shared" ca="1" si="37"/>
        <v>229.03165257315536</v>
      </c>
      <c r="Z78" s="140">
        <f t="shared" ca="1" si="37"/>
        <v>194.67690468718206</v>
      </c>
      <c r="AA78" s="140">
        <f t="shared" ca="1" si="37"/>
        <v>165.47536898410476</v>
      </c>
      <c r="AB78" s="140">
        <f t="shared" ca="1" si="37"/>
        <v>140.65406363648904</v>
      </c>
    </row>
    <row r="79" spans="1:28">
      <c r="A79" s="62" t="s">
        <v>216</v>
      </c>
      <c r="B79" s="62"/>
      <c r="C79" s="112">
        <v>30.049769749000003</v>
      </c>
      <c r="D79" s="62"/>
      <c r="E79" s="116">
        <f>E66</f>
        <v>0</v>
      </c>
      <c r="F79" s="116">
        <f t="shared" ref="F79:I79" si="38">F66</f>
        <v>363.29699999999997</v>
      </c>
      <c r="G79" s="116">
        <f t="shared" ca="1" si="38"/>
        <v>84.48388099586559</v>
      </c>
      <c r="H79" s="116">
        <f t="shared" ca="1" si="38"/>
        <v>302.14306913259787</v>
      </c>
      <c r="I79" s="116">
        <f t="shared" ca="1" si="38"/>
        <v>153.64287950663257</v>
      </c>
      <c r="J79" s="62"/>
      <c r="K79" s="62"/>
      <c r="L79" s="62"/>
      <c r="M79" s="62"/>
      <c r="N79" s="62"/>
      <c r="O79" s="62"/>
      <c r="P79" s="62"/>
      <c r="Q79" s="62"/>
      <c r="R79" s="112"/>
      <c r="S79" s="62"/>
      <c r="T79" s="62"/>
      <c r="U79" s="62"/>
      <c r="V79" s="62"/>
      <c r="W79" s="62"/>
      <c r="X79" s="62"/>
      <c r="Y79" s="62"/>
      <c r="Z79" s="62"/>
      <c r="AA79" s="62"/>
      <c r="AB79" s="62"/>
    </row>
    <row r="80" spans="1:28">
      <c r="A80" s="62" t="s">
        <v>217</v>
      </c>
      <c r="B80" s="62"/>
      <c r="C80" s="251">
        <f>C77/10^7</f>
        <v>0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112"/>
      <c r="S80" s="62"/>
      <c r="T80" s="62"/>
      <c r="U80" s="62"/>
      <c r="V80" s="62"/>
      <c r="W80" s="62"/>
      <c r="X80" s="62"/>
      <c r="Y80" s="62"/>
      <c r="Z80" s="62"/>
      <c r="AA80" s="62"/>
      <c r="AB80" s="62"/>
    </row>
    <row r="81" spans="1:28">
      <c r="A81" s="62" t="s">
        <v>219</v>
      </c>
      <c r="B81" s="171">
        <v>0.15</v>
      </c>
      <c r="C81" s="112">
        <v>1064.0291942554368</v>
      </c>
      <c r="D81" s="116">
        <f t="shared" ref="D81:AB81" si="39">(D78*$B$81)+(D79*$B$81/2)</f>
        <v>669.14513052032828</v>
      </c>
      <c r="E81" s="116">
        <f t="shared" si="39"/>
        <v>669.14513052032828</v>
      </c>
      <c r="F81" s="116">
        <f t="shared" si="39"/>
        <v>596.020635942279</v>
      </c>
      <c r="G81" s="116">
        <f t="shared" ca="1" si="39"/>
        <v>540.20110662562706</v>
      </c>
      <c r="H81" s="116">
        <f t="shared" ca="1" si="39"/>
        <v>488.16796189141775</v>
      </c>
      <c r="I81" s="116">
        <f t="shared" ca="1" si="39"/>
        <v>449.12671375564736</v>
      </c>
      <c r="J81" s="116">
        <f t="shared" ca="1" si="39"/>
        <v>393.28092265529773</v>
      </c>
      <c r="K81" s="116">
        <f t="shared" ca="1" si="39"/>
        <v>334.28878425700304</v>
      </c>
      <c r="L81" s="116">
        <f t="shared" ca="1" si="39"/>
        <v>284.14546661845259</v>
      </c>
      <c r="M81" s="116">
        <f t="shared" ca="1" si="39"/>
        <v>241.52364662568471</v>
      </c>
      <c r="N81" s="116">
        <f t="shared" ca="1" si="39"/>
        <v>205.29509963183199</v>
      </c>
      <c r="O81" s="116">
        <f t="shared" ca="1" si="39"/>
        <v>174.50083468705719</v>
      </c>
      <c r="P81" s="116">
        <f t="shared" ca="1" si="39"/>
        <v>148.32570948399859</v>
      </c>
      <c r="Q81" s="116">
        <f t="shared" ca="1" si="39"/>
        <v>126.07685306139881</v>
      </c>
      <c r="R81" s="112">
        <f t="shared" ca="1" si="39"/>
        <v>107.165325102189</v>
      </c>
      <c r="S81" s="116">
        <f t="shared" ca="1" si="39"/>
        <v>91.090526336860663</v>
      </c>
      <c r="T81" s="116">
        <f t="shared" ca="1" si="39"/>
        <v>77.426947386331562</v>
      </c>
      <c r="U81" s="116">
        <f t="shared" ca="1" si="39"/>
        <v>65.81290527838182</v>
      </c>
      <c r="V81" s="116">
        <f t="shared" ca="1" si="39"/>
        <v>55.940969486624553</v>
      </c>
      <c r="W81" s="116">
        <f t="shared" ca="1" si="39"/>
        <v>47.549824063630865</v>
      </c>
      <c r="X81" s="116">
        <f t="shared" ca="1" si="39"/>
        <v>40.41735045408624</v>
      </c>
      <c r="Y81" s="116">
        <f t="shared" ca="1" si="39"/>
        <v>34.354747885973303</v>
      </c>
      <c r="Z81" s="116">
        <f t="shared" ca="1" si="39"/>
        <v>29.201535703077308</v>
      </c>
      <c r="AA81" s="116">
        <f t="shared" ca="1" si="39"/>
        <v>24.821305347615713</v>
      </c>
      <c r="AB81" s="116">
        <f t="shared" ca="1" si="39"/>
        <v>21.098109545473356</v>
      </c>
    </row>
    <row r="82" spans="1:28">
      <c r="A82" s="37" t="s">
        <v>218</v>
      </c>
      <c r="B82" s="50"/>
      <c r="C82" s="10">
        <f>C78+C79-C80-C81</f>
        <v>4460.967536802189</v>
      </c>
      <c r="D82" s="10">
        <f t="shared" ref="D82" si="40">D78+D79-D80</f>
        <v>4460.967536802189</v>
      </c>
      <c r="E82" s="10">
        <f>E78+E79-E80-E81</f>
        <v>3791.8224062818608</v>
      </c>
      <c r="F82" s="10">
        <f t="shared" ref="F82:AB82" si="41">F78+F79-F80-F81</f>
        <v>3559.0987703395813</v>
      </c>
      <c r="G82" s="10">
        <f t="shared" ca="1" si="41"/>
        <v>3103.3815447098195</v>
      </c>
      <c r="H82" s="10">
        <f t="shared" ca="1" si="41"/>
        <v>2917.3566519509995</v>
      </c>
      <c r="I82" s="10">
        <f t="shared" ca="1" si="41"/>
        <v>2621.8728177019848</v>
      </c>
      <c r="J82" s="10">
        <f t="shared" ca="1" si="41"/>
        <v>2228.5918950466871</v>
      </c>
      <c r="K82" s="10">
        <f t="shared" ca="1" si="41"/>
        <v>1894.3031107896841</v>
      </c>
      <c r="L82" s="10">
        <f t="shared" ca="1" si="41"/>
        <v>1610.1576441712314</v>
      </c>
      <c r="M82" s="10">
        <f t="shared" ca="1" si="41"/>
        <v>1368.6339975455467</v>
      </c>
      <c r="N82" s="10">
        <f t="shared" ca="1" si="41"/>
        <v>1163.3388979137146</v>
      </c>
      <c r="O82" s="10">
        <f t="shared" ca="1" si="41"/>
        <v>988.83806322665737</v>
      </c>
      <c r="P82" s="10">
        <f t="shared" ca="1" si="41"/>
        <v>840.51235374265877</v>
      </c>
      <c r="Q82" s="10">
        <f t="shared" ca="1" si="41"/>
        <v>714.43550068126001</v>
      </c>
      <c r="R82" s="67">
        <f t="shared" ca="1" si="41"/>
        <v>607.27017557907106</v>
      </c>
      <c r="S82" s="10">
        <f t="shared" ca="1" si="41"/>
        <v>516.17964924221042</v>
      </c>
      <c r="T82" s="10">
        <f t="shared" ca="1" si="41"/>
        <v>438.75270185587885</v>
      </c>
      <c r="U82" s="10">
        <f t="shared" ca="1" si="41"/>
        <v>372.93979657749702</v>
      </c>
      <c r="V82" s="10">
        <f t="shared" ca="1" si="41"/>
        <v>316.99882709087245</v>
      </c>
      <c r="W82" s="10">
        <f t="shared" ca="1" si="41"/>
        <v>269.44900302724159</v>
      </c>
      <c r="X82" s="10">
        <f t="shared" ca="1" si="41"/>
        <v>229.03165257315536</v>
      </c>
      <c r="Y82" s="10">
        <f t="shared" ca="1" si="41"/>
        <v>194.67690468718206</v>
      </c>
      <c r="Z82" s="10">
        <f t="shared" ca="1" si="41"/>
        <v>165.47536898410476</v>
      </c>
      <c r="AA82" s="10">
        <f t="shared" ca="1" si="41"/>
        <v>140.65406363648904</v>
      </c>
      <c r="AB82" s="10">
        <f t="shared" ca="1" si="41"/>
        <v>119.55595409101568</v>
      </c>
    </row>
    <row r="83" spans="1:28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112"/>
      <c r="S83" s="62"/>
      <c r="T83" s="62"/>
      <c r="U83" s="62"/>
      <c r="V83" s="62"/>
      <c r="W83" s="62"/>
      <c r="X83" s="62"/>
      <c r="Y83" s="62"/>
      <c r="Z83" s="62"/>
      <c r="AA83" s="62"/>
      <c r="AB83" s="62"/>
    </row>
    <row r="84" spans="1:28">
      <c r="A84" s="37" t="s">
        <v>220</v>
      </c>
      <c r="B84" s="50"/>
      <c r="C84" s="10"/>
      <c r="D84" s="440">
        <f>D71</f>
        <v>299.76600000000002</v>
      </c>
      <c r="E84" s="440">
        <f t="shared" ref="E84:I84" si="42">E71</f>
        <v>363.29699999999997</v>
      </c>
      <c r="F84" s="440">
        <f t="shared" si="42"/>
        <v>0</v>
      </c>
      <c r="G84" s="440">
        <f t="shared" ca="1" si="42"/>
        <v>84.48388099586559</v>
      </c>
      <c r="H84" s="440">
        <f t="shared" ca="1" si="42"/>
        <v>302.14306913259787</v>
      </c>
      <c r="I84" s="440">
        <f t="shared" ca="1" si="42"/>
        <v>153.64287950663257</v>
      </c>
      <c r="J84" s="10"/>
      <c r="K84" s="10"/>
      <c r="L84" s="10"/>
      <c r="M84" s="10"/>
      <c r="N84" s="10"/>
      <c r="O84" s="10"/>
      <c r="P84" s="10"/>
      <c r="Q84" s="10"/>
      <c r="R84" s="67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112"/>
      <c r="S85" s="62"/>
      <c r="T85" s="62"/>
      <c r="U85" s="62"/>
      <c r="V85" s="62"/>
      <c r="W85" s="62"/>
      <c r="X85" s="62"/>
      <c r="Y85" s="62"/>
      <c r="Z85" s="62"/>
      <c r="AA85" s="62"/>
      <c r="AB85" s="62"/>
    </row>
    <row r="86" spans="1:28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112"/>
      <c r="S86" s="62"/>
      <c r="T86" s="62"/>
      <c r="U86" s="62"/>
      <c r="V86" s="62"/>
      <c r="W86" s="62"/>
      <c r="X86" s="62"/>
      <c r="Y86" s="62"/>
      <c r="Z86" s="62"/>
      <c r="AA86" s="62"/>
      <c r="AB86" s="62"/>
    </row>
    <row r="87" spans="1:28">
      <c r="A87" s="14" t="s">
        <v>31</v>
      </c>
      <c r="B87" s="4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490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112"/>
      <c r="S88" s="62"/>
      <c r="T88" s="62"/>
      <c r="U88" s="62"/>
      <c r="V88" s="62"/>
      <c r="W88" s="62"/>
      <c r="X88" s="62"/>
      <c r="Y88" s="62"/>
      <c r="Z88" s="62"/>
      <c r="AA88" s="62"/>
      <c r="AB88" s="62"/>
    </row>
    <row r="89" spans="1:28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112"/>
      <c r="S89" s="62"/>
      <c r="T89" s="62"/>
      <c r="U89" s="62"/>
      <c r="V89" s="62"/>
      <c r="W89" s="62"/>
      <c r="X89" s="62"/>
      <c r="Y89" s="62"/>
      <c r="Z89" s="62"/>
      <c r="AA89" s="62"/>
      <c r="AB89" s="62"/>
    </row>
    <row r="90" spans="1:28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112"/>
      <c r="S90" s="62"/>
      <c r="T90" s="62"/>
      <c r="U90" s="62"/>
      <c r="V90" s="62"/>
      <c r="W90" s="62"/>
      <c r="X90" s="62"/>
      <c r="Y90" s="62"/>
      <c r="Z90" s="62"/>
      <c r="AA90" s="62"/>
      <c r="AB90" s="62"/>
    </row>
    <row r="91" spans="1:28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112"/>
      <c r="S91" s="62"/>
      <c r="T91" s="62"/>
      <c r="U91" s="62"/>
      <c r="V91" s="62"/>
      <c r="W91" s="62"/>
      <c r="X91" s="62"/>
      <c r="Y91" s="62"/>
      <c r="Z91" s="62"/>
      <c r="AA91" s="62"/>
      <c r="AB91" s="62"/>
    </row>
    <row r="92" spans="1:28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112"/>
      <c r="S92" s="62"/>
      <c r="T92" s="62"/>
      <c r="U92" s="62"/>
      <c r="V92" s="62"/>
      <c r="W92" s="62"/>
      <c r="X92" s="62"/>
      <c r="Y92" s="62"/>
      <c r="Z92" s="62"/>
      <c r="AA92" s="62"/>
      <c r="AB92" s="62"/>
    </row>
    <row r="93" spans="1:28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112"/>
      <c r="S93" s="62"/>
      <c r="T93" s="62"/>
      <c r="U93" s="62"/>
      <c r="V93" s="62"/>
      <c r="W93" s="62"/>
      <c r="X93" s="62"/>
      <c r="Y93" s="62"/>
      <c r="Z93" s="62"/>
      <c r="AA93" s="62"/>
      <c r="AB93" s="62"/>
    </row>
    <row r="94" spans="1:28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112"/>
      <c r="S94" s="62"/>
      <c r="T94" s="62"/>
      <c r="U94" s="62"/>
      <c r="V94" s="62"/>
      <c r="W94" s="62"/>
      <c r="X94" s="62"/>
      <c r="Y94" s="62"/>
      <c r="Z94" s="62"/>
      <c r="AA94" s="62"/>
      <c r="AB94" s="62"/>
    </row>
    <row r="95" spans="1:28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112"/>
      <c r="S95" s="62"/>
      <c r="T95" s="62"/>
      <c r="U95" s="62"/>
      <c r="V95" s="62"/>
      <c r="W95" s="62"/>
      <c r="X95" s="62"/>
      <c r="Y95" s="62"/>
      <c r="Z95" s="62"/>
      <c r="AA95" s="62"/>
      <c r="AB95" s="62"/>
    </row>
    <row r="96" spans="1:28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112"/>
      <c r="S96" s="62"/>
      <c r="T96" s="62"/>
      <c r="U96" s="62"/>
      <c r="V96" s="62"/>
      <c r="W96" s="62"/>
      <c r="X96" s="62"/>
      <c r="Y96" s="62"/>
      <c r="Z96" s="62"/>
      <c r="AA96" s="62"/>
      <c r="AB96" s="62"/>
    </row>
    <row r="97" spans="1:28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112"/>
      <c r="S97" s="62"/>
      <c r="T97" s="62"/>
      <c r="U97" s="62"/>
      <c r="V97" s="62"/>
      <c r="W97" s="62"/>
      <c r="X97" s="62"/>
      <c r="Y97" s="62"/>
      <c r="Z97" s="62"/>
      <c r="AA97" s="62"/>
      <c r="AB97" s="62"/>
    </row>
    <row r="98" spans="1:28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112"/>
      <c r="S98" s="62"/>
      <c r="T98" s="62"/>
      <c r="U98" s="62"/>
      <c r="V98" s="62"/>
      <c r="W98" s="62"/>
      <c r="X98" s="62"/>
      <c r="Y98" s="62"/>
      <c r="Z98" s="62"/>
      <c r="AA98" s="62"/>
      <c r="AB98" s="62"/>
    </row>
    <row r="99" spans="1:28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11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spans="1:28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11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</row>
    <row r="101" spans="1:28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11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</row>
    <row r="102" spans="1:28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11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spans="1:28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11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spans="1:28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11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</row>
    <row r="105" spans="1:28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11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spans="1:28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11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spans="1:28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11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</row>
    <row r="108" spans="1:28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11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</row>
    <row r="109" spans="1:28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11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</row>
    <row r="110" spans="1:28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11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</row>
    <row r="111" spans="1:28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11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</row>
    <row r="112" spans="1:28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11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</row>
    <row r="113" spans="1:28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11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</row>
    <row r="114" spans="1:28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11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</row>
    <row r="115" spans="1:28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11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</row>
    <row r="116" spans="1:28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11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</row>
    <row r="117" spans="1:28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11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</row>
    <row r="118" spans="1:28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11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</row>
    <row r="119" spans="1:28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11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</row>
    <row r="120" spans="1:28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11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</row>
    <row r="121" spans="1:28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11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</row>
    <row r="122" spans="1:28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11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</row>
    <row r="123" spans="1:28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11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</row>
    <row r="124" spans="1:28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11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</row>
    <row r="125" spans="1:28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11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</row>
    <row r="126" spans="1:28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11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</row>
    <row r="127" spans="1:28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11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</row>
    <row r="128" spans="1:28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11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</row>
    <row r="129" spans="1:28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11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</row>
    <row r="130" spans="1:28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11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</row>
    <row r="131" spans="1:28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11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</row>
    <row r="132" spans="1:28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11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</row>
    <row r="133" spans="1:28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11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</row>
    <row r="134" spans="1:28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11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</row>
    <row r="135" spans="1:28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11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</row>
    <row r="136" spans="1:28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11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</row>
    <row r="137" spans="1:28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11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</row>
    <row r="138" spans="1:28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11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</row>
    <row r="139" spans="1:28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11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</row>
    <row r="140" spans="1:28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11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</row>
    <row r="141" spans="1:28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11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</row>
    <row r="142" spans="1:28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11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</row>
    <row r="143" spans="1:28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11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</row>
    <row r="144" spans="1:28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11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</row>
    <row r="145" spans="1:28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11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</row>
    <row r="146" spans="1:28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11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</row>
    <row r="147" spans="1:28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11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</row>
    <row r="148" spans="1:28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11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</row>
    <row r="149" spans="1:28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11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</row>
    <row r="150" spans="1:28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11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</row>
    <row r="151" spans="1:28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11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</row>
    <row r="152" spans="1:28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11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</row>
    <row r="153" spans="1:28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11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</row>
    <row r="154" spans="1:28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11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</row>
    <row r="155" spans="1:28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11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</row>
    <row r="156" spans="1:28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11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</row>
    <row r="157" spans="1:28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11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</row>
    <row r="158" spans="1:28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11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</row>
    <row r="159" spans="1:28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11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</row>
    <row r="160" spans="1:28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11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</row>
    <row r="161" spans="1:28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11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</row>
    <row r="162" spans="1:28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11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</row>
    <row r="163" spans="1:28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11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</row>
    <row r="164" spans="1:28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11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</row>
    <row r="165" spans="1:28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11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</row>
  </sheetData>
  <mergeCells count="4">
    <mergeCell ref="A5:A7"/>
    <mergeCell ref="C5:C7"/>
    <mergeCell ref="A61:A63"/>
    <mergeCell ref="A74:A76"/>
  </mergeCells>
  <pageMargins left="0.7" right="0.7" top="0.75" bottom="0.75" header="0.3" footer="0.3"/>
  <pageSetup paperSize="9" orientation="portrait" r:id="rId1"/>
  <ignoredErrors>
    <ignoredError sqref="Q8:Q18 Q20:Q25 Q28" formulaRange="1"/>
    <ignoredError sqref="D82 C43:D43 Q43 G48 E6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04"/>
  <sheetViews>
    <sheetView topLeftCell="A87" workbookViewId="0">
      <selection activeCell="C107" sqref="C107"/>
    </sheetView>
  </sheetViews>
  <sheetFormatPr defaultRowHeight="15"/>
  <cols>
    <col min="1" max="1" width="43.140625" style="17" customWidth="1"/>
    <col min="2" max="2" width="45.85546875" style="17" customWidth="1"/>
    <col min="3" max="3" width="13.28515625" style="17" customWidth="1"/>
    <col min="4" max="4" width="15.7109375" style="17" bestFit="1" customWidth="1"/>
    <col min="5" max="16384" width="9.140625" style="17"/>
  </cols>
  <sheetData>
    <row r="1" spans="1:85" s="1" customFormat="1" ht="18.75">
      <c r="A1" s="21" t="s">
        <v>29</v>
      </c>
      <c r="B1" s="279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</row>
    <row r="2" spans="1:85" s="1" customFormat="1" ht="18.75">
      <c r="A2" s="21" t="s">
        <v>388</v>
      </c>
      <c r="B2" s="280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</row>
    <row r="3" spans="1:85" s="106" customFormat="1"/>
    <row r="4" spans="1:85" s="1" customFormat="1" ht="16.5" thickBot="1">
      <c r="A4" s="109" t="s">
        <v>557</v>
      </c>
      <c r="B4" s="282"/>
      <c r="C4" s="283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</row>
    <row r="5" spans="1:85" s="106" customFormat="1" ht="15.75" thickTop="1">
      <c r="A5" s="241" t="s">
        <v>558</v>
      </c>
    </row>
    <row r="6" spans="1:85" s="106" customFormat="1">
      <c r="A6" s="291" t="s">
        <v>559</v>
      </c>
      <c r="B6" s="62"/>
      <c r="C6" s="62"/>
    </row>
    <row r="7" spans="1:85" s="106" customFormat="1">
      <c r="A7" s="172" t="s">
        <v>560</v>
      </c>
      <c r="B7" s="62" t="s">
        <v>561</v>
      </c>
      <c r="C7" s="112">
        <f>(1102256/10^7)</f>
        <v>0.11022560000000001</v>
      </c>
    </row>
    <row r="8" spans="1:85" s="106" customFormat="1">
      <c r="A8" s="172" t="s">
        <v>562</v>
      </c>
      <c r="B8" s="62" t="s">
        <v>561</v>
      </c>
      <c r="C8" s="112">
        <f>4507841/10^7</f>
        <v>0.45078410000000002</v>
      </c>
    </row>
    <row r="9" spans="1:85" s="106" customFormat="1">
      <c r="A9" s="62"/>
      <c r="B9" s="62"/>
      <c r="C9" s="303">
        <f>C7+C8</f>
        <v>0.56100970000000006</v>
      </c>
    </row>
    <row r="10" spans="1:85" s="106" customFormat="1">
      <c r="A10" s="241" t="s">
        <v>563</v>
      </c>
      <c r="B10" s="62"/>
      <c r="C10" s="112"/>
    </row>
    <row r="11" spans="1:85" s="106" customFormat="1">
      <c r="A11" s="172" t="s">
        <v>564</v>
      </c>
      <c r="B11" s="62" t="s">
        <v>561</v>
      </c>
      <c r="C11" s="303">
        <v>0.2112</v>
      </c>
    </row>
    <row r="12" spans="1:85" s="106" customFormat="1">
      <c r="A12" s="241" t="s">
        <v>565</v>
      </c>
      <c r="B12" s="62"/>
      <c r="C12" s="112"/>
    </row>
    <row r="13" spans="1:85" s="106" customFormat="1">
      <c r="A13" s="172" t="s">
        <v>562</v>
      </c>
      <c r="B13" s="62" t="s">
        <v>566</v>
      </c>
      <c r="C13" s="303">
        <f>SUM('FGD Phasing'!D23:D24)*1%</f>
        <v>2.8990322424999992</v>
      </c>
    </row>
    <row r="14" spans="1:85" s="106" customFormat="1">
      <c r="A14" s="241" t="s">
        <v>567</v>
      </c>
      <c r="B14" s="62"/>
      <c r="C14" s="112"/>
    </row>
    <row r="15" spans="1:85" s="106" customFormat="1">
      <c r="A15" s="62"/>
      <c r="B15" s="62" t="s">
        <v>568</v>
      </c>
      <c r="C15" s="116">
        <v>15</v>
      </c>
    </row>
    <row r="16" spans="1:85" s="106" customFormat="1">
      <c r="A16" s="62"/>
      <c r="B16" s="62" t="s">
        <v>569</v>
      </c>
      <c r="C16" s="116">
        <v>12</v>
      </c>
    </row>
    <row r="17" spans="1:5" s="106" customFormat="1">
      <c r="A17" s="62"/>
      <c r="B17" s="62" t="s">
        <v>570</v>
      </c>
      <c r="C17" s="116">
        <v>90000</v>
      </c>
    </row>
    <row r="18" spans="1:5" s="106" customFormat="1">
      <c r="A18" s="62"/>
      <c r="B18" s="291" t="s">
        <v>509</v>
      </c>
      <c r="C18" s="303">
        <f>(C15*C16*C17)/10^7</f>
        <v>1.62</v>
      </c>
    </row>
    <row r="19" spans="1:5" s="106" customFormat="1">
      <c r="A19" s="62"/>
      <c r="B19" s="291"/>
      <c r="C19" s="303"/>
    </row>
    <row r="20" spans="1:5" s="106" customFormat="1">
      <c r="A20" s="400" t="s">
        <v>571</v>
      </c>
      <c r="B20" s="400"/>
      <c r="C20" s="401">
        <f>C13+C11+C9+C18</f>
        <v>5.2912419424999992</v>
      </c>
    </row>
    <row r="21" spans="1:5" s="106" customFormat="1">
      <c r="A21" s="62"/>
      <c r="B21" s="62"/>
      <c r="C21" s="62"/>
    </row>
    <row r="22" spans="1:5" s="106" customFormat="1">
      <c r="A22" s="241" t="s">
        <v>572</v>
      </c>
      <c r="B22" s="62"/>
      <c r="C22" s="62"/>
    </row>
    <row r="23" spans="1:5" s="106" customFormat="1">
      <c r="A23" s="62" t="s">
        <v>573</v>
      </c>
      <c r="B23" s="402">
        <v>5.0000000000000001E-3</v>
      </c>
      <c r="C23" s="112">
        <f ca="1">'FGD Input'!L36*B23</f>
        <v>1.3997618611316103</v>
      </c>
    </row>
    <row r="24" spans="1:5" s="106" customFormat="1">
      <c r="A24" s="62" t="s">
        <v>574</v>
      </c>
      <c r="B24" s="62"/>
      <c r="C24" s="112">
        <v>0.5</v>
      </c>
    </row>
    <row r="25" spans="1:5" s="106" customFormat="1">
      <c r="A25" s="62" t="s">
        <v>575</v>
      </c>
      <c r="B25" s="62"/>
      <c r="C25" s="112">
        <v>1.3</v>
      </c>
    </row>
    <row r="26" spans="1:5" s="106" customFormat="1">
      <c r="A26" s="62" t="s">
        <v>576</v>
      </c>
      <c r="B26" s="62"/>
      <c r="C26" s="112">
        <v>0.5</v>
      </c>
    </row>
    <row r="27" spans="1:5" s="106" customFormat="1">
      <c r="A27" s="400" t="s">
        <v>577</v>
      </c>
      <c r="B27" s="400"/>
      <c r="C27" s="401">
        <f ca="1">SUM(C23:C26)</f>
        <v>3.6997618611316101</v>
      </c>
    </row>
    <row r="28" spans="1:5" s="106" customFormat="1">
      <c r="A28" s="62"/>
      <c r="B28" s="62"/>
      <c r="C28" s="62"/>
    </row>
    <row r="29" spans="1:5" s="106" customFormat="1">
      <c r="A29" s="291" t="s">
        <v>578</v>
      </c>
      <c r="B29" s="62"/>
      <c r="C29" s="62"/>
    </row>
    <row r="30" spans="1:5" s="106" customFormat="1">
      <c r="A30" s="291"/>
      <c r="B30" s="62" t="s">
        <v>579</v>
      </c>
      <c r="C30" s="62" t="s">
        <v>580</v>
      </c>
      <c r="D30" s="62" t="s">
        <v>581</v>
      </c>
    </row>
    <row r="31" spans="1:5" s="106" customFormat="1">
      <c r="A31" s="403" t="s">
        <v>582</v>
      </c>
      <c r="B31" s="404">
        <v>1</v>
      </c>
      <c r="C31" s="405">
        <v>6000000</v>
      </c>
      <c r="D31" s="406">
        <f t="shared" ref="D31:D39" si="0">C31*B31</f>
        <v>6000000</v>
      </c>
      <c r="E31" s="407"/>
    </row>
    <row r="32" spans="1:5" s="106" customFormat="1">
      <c r="A32" s="403" t="s">
        <v>583</v>
      </c>
      <c r="B32" s="404">
        <v>1</v>
      </c>
      <c r="C32" s="405">
        <v>5000000</v>
      </c>
      <c r="D32" s="406">
        <f t="shared" si="0"/>
        <v>5000000</v>
      </c>
      <c r="E32" s="407"/>
    </row>
    <row r="33" spans="1:5" s="106" customFormat="1">
      <c r="A33" s="407" t="s">
        <v>584</v>
      </c>
      <c r="B33" s="408">
        <v>2</v>
      </c>
      <c r="C33" s="409">
        <v>5000000</v>
      </c>
      <c r="D33" s="406">
        <f t="shared" si="0"/>
        <v>10000000</v>
      </c>
      <c r="E33" s="407"/>
    </row>
    <row r="34" spans="1:5" s="106" customFormat="1">
      <c r="A34" s="403" t="s">
        <v>585</v>
      </c>
      <c r="B34" s="404">
        <v>2</v>
      </c>
      <c r="C34" s="406">
        <v>2000000</v>
      </c>
      <c r="D34" s="406">
        <f t="shared" si="0"/>
        <v>4000000</v>
      </c>
      <c r="E34" s="407"/>
    </row>
    <row r="35" spans="1:5" s="106" customFormat="1">
      <c r="A35" s="403" t="s">
        <v>586</v>
      </c>
      <c r="B35" s="404">
        <v>5</v>
      </c>
      <c r="C35" s="406">
        <v>1000000</v>
      </c>
      <c r="D35" s="406">
        <f t="shared" si="0"/>
        <v>5000000</v>
      </c>
      <c r="E35" s="407"/>
    </row>
    <row r="36" spans="1:5" s="106" customFormat="1" ht="25.5">
      <c r="A36" s="403" t="s">
        <v>587</v>
      </c>
      <c r="B36" s="410">
        <v>4</v>
      </c>
      <c r="C36" s="406">
        <v>1000000</v>
      </c>
      <c r="D36" s="406">
        <f t="shared" si="0"/>
        <v>4000000</v>
      </c>
      <c r="E36" s="407"/>
    </row>
    <row r="37" spans="1:5" s="106" customFormat="1">
      <c r="A37" s="403" t="s">
        <v>588</v>
      </c>
      <c r="B37" s="410">
        <v>3</v>
      </c>
      <c r="C37" s="406">
        <v>500000</v>
      </c>
      <c r="D37" s="406">
        <f t="shared" si="0"/>
        <v>1500000</v>
      </c>
      <c r="E37" s="407"/>
    </row>
    <row r="38" spans="1:5" s="106" customFormat="1">
      <c r="A38" s="403" t="s">
        <v>589</v>
      </c>
      <c r="B38" s="410">
        <v>2</v>
      </c>
      <c r="C38" s="406">
        <v>2000000</v>
      </c>
      <c r="D38" s="406">
        <f t="shared" si="0"/>
        <v>4000000</v>
      </c>
      <c r="E38" s="407"/>
    </row>
    <row r="39" spans="1:5" s="106" customFormat="1">
      <c r="A39" s="403" t="s">
        <v>590</v>
      </c>
      <c r="B39" s="410">
        <v>1</v>
      </c>
      <c r="C39" s="406">
        <v>400000</v>
      </c>
      <c r="D39" s="406">
        <f t="shared" si="0"/>
        <v>400000</v>
      </c>
      <c r="E39" s="407"/>
    </row>
    <row r="40" spans="1:5" s="106" customFormat="1">
      <c r="A40" s="400" t="s">
        <v>591</v>
      </c>
      <c r="B40" s="400"/>
      <c r="C40" s="411"/>
      <c r="D40" s="411">
        <f>SUM(D31:D39)</f>
        <v>39900000</v>
      </c>
    </row>
    <row r="41" spans="1:5" s="106" customFormat="1">
      <c r="A41" s="400" t="s">
        <v>592</v>
      </c>
      <c r="B41" s="400"/>
      <c r="C41" s="411"/>
      <c r="D41" s="411">
        <f>D40*2</f>
        <v>79800000</v>
      </c>
    </row>
    <row r="42" spans="1:5" s="106" customFormat="1">
      <c r="A42" s="412"/>
      <c r="B42" s="413"/>
      <c r="C42" s="414"/>
      <c r="D42" s="415">
        <f>D41/10^7</f>
        <v>7.98</v>
      </c>
      <c r="E42" s="416"/>
    </row>
    <row r="43" spans="1:5" s="106" customFormat="1">
      <c r="A43" s="412"/>
      <c r="B43" s="413"/>
      <c r="C43" s="414"/>
      <c r="D43" s="415"/>
      <c r="E43" s="416"/>
    </row>
    <row r="44" spans="1:5" s="106" customFormat="1">
      <c r="A44" s="417" t="s">
        <v>593</v>
      </c>
      <c r="B44" s="413"/>
      <c r="C44" s="414"/>
      <c r="D44" s="414"/>
      <c r="E44" s="416"/>
    </row>
    <row r="45" spans="1:5" s="62" customFormat="1" ht="12.75">
      <c r="A45" s="403" t="s">
        <v>594</v>
      </c>
      <c r="B45" s="413"/>
      <c r="D45" s="418">
        <v>0.2</v>
      </c>
      <c r="E45" s="416"/>
    </row>
    <row r="46" spans="1:5" s="106" customFormat="1" ht="25.5">
      <c r="A46" s="403" t="s">
        <v>595</v>
      </c>
      <c r="B46" s="413"/>
      <c r="D46" s="418">
        <f>12*2*30*10000/10^7</f>
        <v>0.72</v>
      </c>
      <c r="E46" s="416"/>
    </row>
    <row r="47" spans="1:5" s="106" customFormat="1">
      <c r="A47" s="403" t="s">
        <v>596</v>
      </c>
      <c r="B47" s="413"/>
      <c r="D47" s="418">
        <v>0.5</v>
      </c>
      <c r="E47" s="416"/>
    </row>
    <row r="48" spans="1:5" s="106" customFormat="1">
      <c r="A48" s="403" t="s">
        <v>597</v>
      </c>
      <c r="B48" s="413"/>
      <c r="D48" s="418">
        <f>3*22*80000/10^7</f>
        <v>0.52800000000000002</v>
      </c>
      <c r="E48" s="416"/>
    </row>
    <row r="49" spans="1:85" s="106" customFormat="1">
      <c r="A49" s="403" t="s">
        <v>598</v>
      </c>
      <c r="B49" s="413"/>
      <c r="D49" s="418">
        <f>1000000*10/10^7</f>
        <v>1</v>
      </c>
      <c r="E49" s="416"/>
    </row>
    <row r="50" spans="1:85" s="106" customFormat="1">
      <c r="A50" s="403" t="s">
        <v>599</v>
      </c>
      <c r="B50" s="413"/>
      <c r="D50" s="418">
        <v>1</v>
      </c>
      <c r="E50" s="416"/>
    </row>
    <row r="51" spans="1:85" s="106" customFormat="1">
      <c r="A51" s="403" t="s">
        <v>600</v>
      </c>
      <c r="B51" s="413"/>
      <c r="D51" s="418">
        <f>600*10^3*24*70%*40/10^7</f>
        <v>40.32</v>
      </c>
      <c r="E51" s="416"/>
    </row>
    <row r="52" spans="1:85" s="106" customFormat="1">
      <c r="A52" s="412"/>
      <c r="B52" s="413"/>
      <c r="C52" s="415"/>
      <c r="D52" s="414"/>
      <c r="E52" s="416"/>
    </row>
    <row r="53" spans="1:85" s="106" customFormat="1">
      <c r="A53" s="412"/>
      <c r="B53" s="413"/>
      <c r="C53" s="414"/>
      <c r="D53" s="414"/>
      <c r="E53" s="416"/>
    </row>
    <row r="54" spans="1:85" s="106" customFormat="1" ht="15.75" thickBot="1">
      <c r="A54" s="419" t="s">
        <v>601</v>
      </c>
      <c r="B54" s="420"/>
      <c r="C54" s="421"/>
      <c r="D54" s="421">
        <f ca="1">C20+C27+D42+SUM(D45:D51)</f>
        <v>61.239003803631611</v>
      </c>
    </row>
    <row r="55" spans="1:85" s="106" customFormat="1" ht="15.75" thickTop="1">
      <c r="A55" s="412"/>
      <c r="B55" s="413"/>
      <c r="C55" s="414"/>
      <c r="D55" s="414"/>
      <c r="E55" s="416"/>
    </row>
    <row r="56" spans="1:85" s="106" customFormat="1">
      <c r="A56" s="412"/>
      <c r="B56" s="413"/>
      <c r="C56" s="414"/>
      <c r="D56" s="414"/>
      <c r="E56" s="416"/>
    </row>
    <row r="57" spans="1:85" s="106" customFormat="1"/>
    <row r="58" spans="1:85" s="1" customFormat="1" ht="16.5" thickBot="1">
      <c r="A58" s="109" t="s">
        <v>602</v>
      </c>
      <c r="B58" s="282"/>
      <c r="C58" s="283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</row>
    <row r="59" spans="1:85" s="106" customFormat="1" ht="15.75" thickTop="1">
      <c r="A59" s="241" t="s">
        <v>520</v>
      </c>
    </row>
    <row r="60" spans="1:85" s="106" customFormat="1">
      <c r="A60" s="62" t="s">
        <v>603</v>
      </c>
      <c r="B60" s="422" t="s">
        <v>604</v>
      </c>
      <c r="C60" s="423">
        <v>16</v>
      </c>
    </row>
    <row r="61" spans="1:85" s="106" customFormat="1">
      <c r="A61" s="62" t="s">
        <v>605</v>
      </c>
      <c r="B61" s="62"/>
      <c r="C61" s="423">
        <v>50</v>
      </c>
    </row>
    <row r="62" spans="1:85" s="106" customFormat="1">
      <c r="A62" s="62" t="s">
        <v>606</v>
      </c>
      <c r="B62" s="422" t="s">
        <v>607</v>
      </c>
      <c r="C62" s="423">
        <f>'FGD Input'!F165</f>
        <v>2185.4540000000002</v>
      </c>
    </row>
    <row r="63" spans="1:85" s="106" customFormat="1">
      <c r="A63" s="291" t="s">
        <v>608</v>
      </c>
      <c r="B63" s="425" t="s">
        <v>347</v>
      </c>
      <c r="C63" s="426">
        <f>(C60*C61*C62*24)/10^7</f>
        <v>4.1960716800000002</v>
      </c>
    </row>
    <row r="64" spans="1:85" s="106" customFormat="1">
      <c r="A64" s="249"/>
      <c r="B64" s="249"/>
      <c r="C64" s="249"/>
    </row>
    <row r="65" spans="1:4" s="106" customFormat="1">
      <c r="A65" s="241" t="s">
        <v>609</v>
      </c>
      <c r="B65" s="29"/>
      <c r="C65" s="62"/>
    </row>
    <row r="66" spans="1:4" s="106" customFormat="1">
      <c r="A66" s="62" t="s">
        <v>610</v>
      </c>
      <c r="B66" s="422" t="s">
        <v>604</v>
      </c>
      <c r="C66" s="424">
        <v>25.5</v>
      </c>
    </row>
    <row r="67" spans="1:4" s="106" customFormat="1">
      <c r="A67" s="62" t="s">
        <v>605</v>
      </c>
      <c r="B67" s="62"/>
      <c r="C67" s="423">
        <v>50</v>
      </c>
    </row>
    <row r="68" spans="1:4" s="106" customFormat="1">
      <c r="A68" s="62" t="s">
        <v>611</v>
      </c>
      <c r="B68" s="422" t="s">
        <v>607</v>
      </c>
      <c r="C68" s="424">
        <v>250</v>
      </c>
    </row>
    <row r="69" spans="1:4" s="106" customFormat="1">
      <c r="A69" s="291" t="s">
        <v>612</v>
      </c>
      <c r="B69" s="425" t="s">
        <v>347</v>
      </c>
      <c r="C69" s="426">
        <f>(C66*C67*C68*24)/10^7</f>
        <v>0.76500000000000001</v>
      </c>
    </row>
    <row r="70" spans="1:4" s="106" customFormat="1">
      <c r="A70" s="62"/>
      <c r="B70" s="29"/>
      <c r="C70" s="62"/>
    </row>
    <row r="71" spans="1:4" s="106" customFormat="1">
      <c r="A71" s="427" t="s">
        <v>613</v>
      </c>
      <c r="B71" s="428"/>
      <c r="C71" s="428"/>
    </row>
    <row r="72" spans="1:4" s="106" customFormat="1">
      <c r="A72" s="62" t="s">
        <v>614</v>
      </c>
      <c r="B72" s="422" t="s">
        <v>615</v>
      </c>
      <c r="C72" s="423">
        <v>12980</v>
      </c>
      <c r="D72" s="147"/>
    </row>
    <row r="73" spans="1:4" s="106" customFormat="1">
      <c r="A73" s="62" t="s">
        <v>605</v>
      </c>
      <c r="B73" s="62"/>
      <c r="C73" s="423">
        <v>50</v>
      </c>
    </row>
    <row r="74" spans="1:4" s="106" customFormat="1">
      <c r="A74" s="62" t="s">
        <v>616</v>
      </c>
      <c r="B74" s="422" t="s">
        <v>617</v>
      </c>
      <c r="C74" s="424">
        <v>4</v>
      </c>
    </row>
    <row r="75" spans="1:4" s="106" customFormat="1">
      <c r="A75" s="291" t="s">
        <v>618</v>
      </c>
      <c r="B75" s="425" t="s">
        <v>347</v>
      </c>
      <c r="C75" s="426">
        <f>(C72*C73*C74*24)/10^7</f>
        <v>6.2304000000000004</v>
      </c>
    </row>
    <row r="76" spans="1:4" s="106" customFormat="1">
      <c r="A76" s="62"/>
      <c r="B76" s="29"/>
      <c r="C76" s="62"/>
    </row>
    <row r="77" spans="1:4" s="106" customFormat="1">
      <c r="A77" s="427" t="s">
        <v>89</v>
      </c>
      <c r="B77" s="428"/>
      <c r="C77" s="428"/>
    </row>
    <row r="78" spans="1:4" s="106" customFormat="1">
      <c r="A78" s="62" t="s">
        <v>619</v>
      </c>
      <c r="B78" s="422" t="s">
        <v>620</v>
      </c>
      <c r="C78" s="423">
        <v>278</v>
      </c>
    </row>
    <row r="79" spans="1:4" s="106" customFormat="1">
      <c r="A79" s="62" t="s">
        <v>605</v>
      </c>
      <c r="B79" s="62"/>
      <c r="C79" s="423">
        <v>50</v>
      </c>
    </row>
    <row r="80" spans="1:4" s="106" customFormat="1">
      <c r="A80" s="62" t="s">
        <v>524</v>
      </c>
      <c r="B80" s="422" t="s">
        <v>621</v>
      </c>
      <c r="C80" s="424">
        <v>5.5</v>
      </c>
    </row>
    <row r="81" spans="1:3" s="106" customFormat="1">
      <c r="A81" s="291" t="s">
        <v>622</v>
      </c>
      <c r="B81" s="425" t="s">
        <v>347</v>
      </c>
      <c r="C81" s="426">
        <f>(C78*C79*C80*24)/10^7</f>
        <v>0.18348</v>
      </c>
    </row>
    <row r="82" spans="1:3" s="106" customFormat="1">
      <c r="A82" s="62"/>
      <c r="B82" s="29"/>
      <c r="C82" s="62"/>
    </row>
    <row r="83" spans="1:3" s="106" customFormat="1">
      <c r="A83" s="427" t="s">
        <v>623</v>
      </c>
      <c r="B83" s="428"/>
      <c r="C83" s="428"/>
    </row>
    <row r="84" spans="1:3" s="106" customFormat="1">
      <c r="A84" s="62" t="s">
        <v>624</v>
      </c>
      <c r="B84" s="62"/>
      <c r="C84" s="423">
        <v>5</v>
      </c>
    </row>
    <row r="85" spans="1:3" s="106" customFormat="1">
      <c r="A85" s="62" t="s">
        <v>605</v>
      </c>
      <c r="B85" s="62"/>
      <c r="C85" s="423">
        <v>60</v>
      </c>
    </row>
    <row r="86" spans="1:3" s="106" customFormat="1">
      <c r="A86" s="62" t="s">
        <v>625</v>
      </c>
      <c r="B86" s="422" t="s">
        <v>398</v>
      </c>
      <c r="C86" s="423">
        <v>3000</v>
      </c>
    </row>
    <row r="87" spans="1:3" s="106" customFormat="1">
      <c r="A87" s="62" t="s">
        <v>626</v>
      </c>
      <c r="B87" s="62"/>
      <c r="C87" s="423">
        <f>'FGD Input'!AA30</f>
        <v>76</v>
      </c>
    </row>
    <row r="88" spans="1:3" s="106" customFormat="1">
      <c r="A88" s="291" t="s">
        <v>627</v>
      </c>
      <c r="B88" s="425" t="s">
        <v>347</v>
      </c>
      <c r="C88" s="426">
        <f>(C84*C85*C86*C87)/10^7</f>
        <v>6.84</v>
      </c>
    </row>
    <row r="89" spans="1:3" s="106" customFormat="1">
      <c r="A89" s="62"/>
      <c r="B89" s="29"/>
      <c r="C89" s="62"/>
    </row>
    <row r="90" spans="1:3" s="106" customFormat="1">
      <c r="A90" s="427" t="s">
        <v>628</v>
      </c>
      <c r="B90" s="428"/>
      <c r="C90" s="428"/>
    </row>
    <row r="91" spans="1:3" s="106" customFormat="1">
      <c r="A91" s="62" t="s">
        <v>629</v>
      </c>
      <c r="B91" s="62"/>
      <c r="C91" s="423">
        <v>4</v>
      </c>
    </row>
    <row r="92" spans="1:3" s="106" customFormat="1">
      <c r="A92" s="62" t="s">
        <v>531</v>
      </c>
      <c r="B92" s="62"/>
      <c r="C92" s="423">
        <v>4</v>
      </c>
    </row>
    <row r="93" spans="1:3" s="106" customFormat="1">
      <c r="A93" s="62" t="s">
        <v>630</v>
      </c>
      <c r="B93" s="422" t="s">
        <v>631</v>
      </c>
      <c r="C93" s="423">
        <v>95000</v>
      </c>
    </row>
    <row r="94" spans="1:3" s="106" customFormat="1">
      <c r="A94" s="291" t="s">
        <v>608</v>
      </c>
      <c r="B94" s="425" t="s">
        <v>347</v>
      </c>
      <c r="C94" s="426">
        <f>(C91*C92*C93)/10^7</f>
        <v>0.152</v>
      </c>
    </row>
    <row r="95" spans="1:3" s="106" customFormat="1">
      <c r="A95" s="62"/>
      <c r="B95" s="29"/>
      <c r="C95" s="62"/>
    </row>
    <row r="96" spans="1:3" s="106" customFormat="1">
      <c r="A96" s="427" t="s">
        <v>632</v>
      </c>
      <c r="B96" s="428"/>
      <c r="C96" s="429">
        <v>2</v>
      </c>
    </row>
    <row r="97" spans="1:3" s="106" customFormat="1">
      <c r="A97" s="62"/>
      <c r="B97" s="62"/>
      <c r="C97" s="62"/>
    </row>
    <row r="98" spans="1:3" s="106" customFormat="1" ht="15.75" thickBot="1">
      <c r="A98" s="419" t="s">
        <v>633</v>
      </c>
      <c r="B98" s="420"/>
      <c r="C98" s="421">
        <f>C63+C69+C75+C81+C88+C94+C96</f>
        <v>20.36695168</v>
      </c>
    </row>
    <row r="99" spans="1:3" s="106" customFormat="1" ht="15.75" thickTop="1">
      <c r="A99" s="62"/>
      <c r="B99" s="62"/>
      <c r="C99" s="62"/>
    </row>
    <row r="100" spans="1:3" s="106" customFormat="1"/>
    <row r="101" spans="1:3" s="106" customFormat="1">
      <c r="A101" s="430" t="s">
        <v>634</v>
      </c>
      <c r="B101" s="431"/>
      <c r="C101" s="431"/>
    </row>
    <row r="102" spans="1:3" s="106" customFormat="1">
      <c r="A102" s="432" t="s">
        <v>635</v>
      </c>
      <c r="B102" s="432" t="s">
        <v>636</v>
      </c>
      <c r="C102" s="433" t="s">
        <v>509</v>
      </c>
    </row>
    <row r="103" spans="1:3" s="106" customFormat="1">
      <c r="A103" s="434" t="s">
        <v>637</v>
      </c>
      <c r="B103" s="434" t="s">
        <v>638</v>
      </c>
      <c r="C103" s="435">
        <f>'FGD Phasing'!D29*3%</f>
        <v>11.601386819473516</v>
      </c>
    </row>
    <row r="104" spans="1:3" s="106" customFormat="1">
      <c r="A104" s="434" t="s">
        <v>639</v>
      </c>
      <c r="B104" s="434"/>
      <c r="C104" s="436">
        <v>13</v>
      </c>
    </row>
    <row r="105" spans="1:3" s="106" customFormat="1">
      <c r="A105" s="437"/>
      <c r="B105" s="432" t="s">
        <v>533</v>
      </c>
      <c r="C105" s="438">
        <f>ROUND(SUM(C103:C104),0)</f>
        <v>25</v>
      </c>
    </row>
    <row r="106" spans="1:3" s="106" customFormat="1"/>
    <row r="107" spans="1:3" s="106" customFormat="1"/>
    <row r="108" spans="1:3" s="106" customFormat="1"/>
    <row r="109" spans="1:3" s="106" customFormat="1"/>
    <row r="110" spans="1:3" s="106" customFormat="1"/>
    <row r="111" spans="1:3" s="106" customFormat="1"/>
    <row r="112" spans="1:3" s="106" customFormat="1"/>
    <row r="113" s="106" customFormat="1"/>
    <row r="114" s="106" customFormat="1"/>
    <row r="115" s="106" customFormat="1"/>
    <row r="116" s="106" customFormat="1"/>
    <row r="117" s="106" customFormat="1"/>
    <row r="118" s="106" customFormat="1"/>
    <row r="119" s="106" customFormat="1"/>
    <row r="120" s="106" customFormat="1"/>
    <row r="121" s="106" customFormat="1"/>
    <row r="122" s="106" customFormat="1"/>
    <row r="123" s="106" customFormat="1"/>
    <row r="124" s="106" customFormat="1"/>
    <row r="125" s="106" customFormat="1"/>
    <row r="126" s="106" customFormat="1"/>
    <row r="127" s="106" customFormat="1"/>
    <row r="128" s="106" customFormat="1"/>
    <row r="129" s="106" customFormat="1"/>
    <row r="130" s="106" customFormat="1"/>
    <row r="131" s="106" customFormat="1"/>
    <row r="132" s="106" customFormat="1"/>
    <row r="133" s="106" customFormat="1"/>
    <row r="134" s="106" customFormat="1"/>
    <row r="135" s="106" customFormat="1"/>
    <row r="136" s="106" customFormat="1"/>
    <row r="137" s="106" customFormat="1"/>
    <row r="138" s="106" customFormat="1"/>
    <row r="139" s="106" customFormat="1"/>
    <row r="140" s="106" customFormat="1"/>
    <row r="141" s="106" customFormat="1"/>
    <row r="142" s="106" customFormat="1"/>
    <row r="143" s="106" customFormat="1"/>
    <row r="144" s="106" customFormat="1"/>
    <row r="145" s="106" customFormat="1"/>
    <row r="146" s="106" customFormat="1"/>
    <row r="147" s="106" customFormat="1"/>
    <row r="148" s="106" customFormat="1"/>
    <row r="149" s="106" customFormat="1"/>
    <row r="150" s="106" customFormat="1"/>
    <row r="151" s="106" customFormat="1"/>
    <row r="152" s="106" customFormat="1"/>
    <row r="153" s="106" customFormat="1"/>
    <row r="154" s="106" customFormat="1"/>
    <row r="155" s="106" customFormat="1"/>
    <row r="156" s="106" customFormat="1"/>
    <row r="157" s="106" customFormat="1"/>
    <row r="158" s="106" customFormat="1"/>
    <row r="159" s="106" customFormat="1"/>
    <row r="160" s="106" customFormat="1"/>
    <row r="161" s="106" customFormat="1"/>
    <row r="162" s="106" customFormat="1"/>
    <row r="163" s="106" customFormat="1"/>
    <row r="164" s="106" customFormat="1"/>
    <row r="165" s="106" customFormat="1"/>
    <row r="166" s="106" customFormat="1"/>
    <row r="167" s="106" customFormat="1"/>
    <row r="168" s="106" customFormat="1"/>
    <row r="169" s="106" customFormat="1"/>
    <row r="170" s="106" customFormat="1"/>
    <row r="171" s="106" customFormat="1"/>
    <row r="172" s="106" customFormat="1"/>
    <row r="173" s="106" customFormat="1"/>
    <row r="174" s="106" customFormat="1"/>
    <row r="175" s="106" customFormat="1"/>
    <row r="176" s="106" customFormat="1"/>
    <row r="177" s="106" customFormat="1"/>
    <row r="178" s="106" customFormat="1"/>
    <row r="179" s="106" customFormat="1"/>
    <row r="180" s="106" customFormat="1"/>
    <row r="181" s="106" customFormat="1"/>
    <row r="182" s="106" customFormat="1"/>
    <row r="183" s="106" customFormat="1"/>
    <row r="184" s="106" customFormat="1"/>
    <row r="185" s="106" customFormat="1"/>
    <row r="186" s="106" customFormat="1"/>
    <row r="187" s="106" customFormat="1"/>
    <row r="188" s="106" customFormat="1"/>
    <row r="189" s="106" customFormat="1"/>
    <row r="190" s="106" customFormat="1"/>
    <row r="191" s="106" customFormat="1"/>
    <row r="192" s="106" customFormat="1"/>
    <row r="193" s="106" customFormat="1"/>
    <row r="194" s="106" customFormat="1"/>
    <row r="195" s="106" customFormat="1"/>
    <row r="196" s="106" customFormat="1"/>
    <row r="197" s="106" customFormat="1"/>
    <row r="198" s="106" customFormat="1"/>
    <row r="199" s="106" customFormat="1"/>
    <row r="200" s="106" customFormat="1"/>
    <row r="201" s="106" customFormat="1"/>
    <row r="202" s="106" customFormat="1"/>
    <row r="203" s="106" customFormat="1"/>
    <row r="204" s="106" customFormat="1"/>
    <row r="205" s="106" customFormat="1"/>
    <row r="206" s="106" customFormat="1"/>
    <row r="207" s="106" customFormat="1"/>
    <row r="208" s="106" customFormat="1"/>
    <row r="209" s="106" customFormat="1"/>
    <row r="210" s="106" customFormat="1"/>
    <row r="211" s="106" customFormat="1"/>
    <row r="212" s="106" customFormat="1"/>
    <row r="213" s="106" customFormat="1"/>
    <row r="214" s="106" customFormat="1"/>
    <row r="215" s="106" customFormat="1"/>
    <row r="216" s="106" customFormat="1"/>
    <row r="217" s="106" customFormat="1"/>
    <row r="218" s="106" customFormat="1"/>
    <row r="219" s="106" customFormat="1"/>
    <row r="220" s="106" customFormat="1"/>
    <row r="221" s="106" customFormat="1"/>
    <row r="222" s="106" customFormat="1"/>
    <row r="223" s="106" customFormat="1"/>
    <row r="224" s="106" customFormat="1"/>
    <row r="225" s="106" customFormat="1"/>
    <row r="226" s="106" customFormat="1"/>
    <row r="227" s="106" customFormat="1"/>
    <row r="228" s="106" customFormat="1"/>
    <row r="229" s="106" customFormat="1"/>
    <row r="230" s="106" customFormat="1"/>
    <row r="231" s="106" customFormat="1"/>
    <row r="232" s="106" customFormat="1"/>
    <row r="233" s="106" customFormat="1"/>
    <row r="234" s="106" customFormat="1"/>
    <row r="235" s="106" customFormat="1"/>
    <row r="236" s="106" customFormat="1"/>
    <row r="237" s="106" customFormat="1"/>
    <row r="238" s="106" customFormat="1"/>
    <row r="239" s="106" customFormat="1"/>
    <row r="240" s="106" customFormat="1"/>
    <row r="241" s="106" customFormat="1"/>
    <row r="242" s="106" customFormat="1"/>
    <row r="243" s="106" customFormat="1"/>
    <row r="244" s="106" customFormat="1"/>
    <row r="245" s="106" customFormat="1"/>
    <row r="246" s="106" customFormat="1"/>
    <row r="247" s="106" customFormat="1"/>
    <row r="248" s="106" customFormat="1"/>
    <row r="249" s="106" customFormat="1"/>
    <row r="250" s="106" customFormat="1"/>
    <row r="251" s="106" customFormat="1"/>
    <row r="252" s="106" customFormat="1"/>
    <row r="253" s="106" customFormat="1"/>
    <row r="254" s="106" customFormat="1"/>
    <row r="255" s="106" customFormat="1"/>
    <row r="256" s="106" customFormat="1"/>
    <row r="257" s="106" customFormat="1"/>
    <row r="258" s="106" customFormat="1"/>
    <row r="259" s="106" customFormat="1"/>
    <row r="260" s="106" customFormat="1"/>
    <row r="261" s="106" customFormat="1"/>
    <row r="262" s="106" customFormat="1"/>
    <row r="263" s="106" customFormat="1"/>
    <row r="264" s="106" customFormat="1"/>
    <row r="265" s="106" customFormat="1"/>
    <row r="266" s="106" customFormat="1"/>
    <row r="267" s="106" customFormat="1"/>
    <row r="268" s="106" customFormat="1"/>
    <row r="269" s="106" customFormat="1"/>
    <row r="270" s="106" customFormat="1"/>
    <row r="271" s="106" customFormat="1"/>
    <row r="272" s="106" customFormat="1"/>
    <row r="273" s="106" customFormat="1"/>
    <row r="274" s="106" customFormat="1"/>
    <row r="275" s="106" customFormat="1"/>
    <row r="276" s="106" customFormat="1"/>
    <row r="277" s="106" customFormat="1"/>
    <row r="278" s="106" customFormat="1"/>
    <row r="279" s="106" customFormat="1"/>
    <row r="280" s="106" customFormat="1"/>
    <row r="281" s="106" customFormat="1"/>
    <row r="282" s="106" customFormat="1"/>
    <row r="283" s="106" customFormat="1"/>
    <row r="284" s="106" customFormat="1"/>
    <row r="285" s="106" customFormat="1"/>
    <row r="286" s="106" customFormat="1"/>
    <row r="287" s="106" customFormat="1"/>
    <row r="288" s="106" customFormat="1"/>
    <row r="289" s="106" customFormat="1"/>
    <row r="290" s="106" customFormat="1"/>
    <row r="291" s="106" customFormat="1"/>
    <row r="292" s="106" customFormat="1"/>
    <row r="293" s="106" customFormat="1"/>
    <row r="294" s="106" customFormat="1"/>
    <row r="295" s="106" customFormat="1"/>
    <row r="296" s="106" customFormat="1"/>
    <row r="297" s="106" customFormat="1"/>
    <row r="298" s="106" customFormat="1"/>
    <row r="299" s="106" customFormat="1"/>
    <row r="300" s="106" customFormat="1"/>
    <row r="301" s="106" customFormat="1"/>
    <row r="302" s="106" customFormat="1"/>
    <row r="303" s="106" customFormat="1"/>
    <row r="304" s="106" customFormat="1"/>
    <row r="305" s="106" customFormat="1"/>
    <row r="306" s="106" customFormat="1"/>
    <row r="307" s="106" customFormat="1"/>
    <row r="308" s="106" customFormat="1"/>
    <row r="309" s="106" customFormat="1"/>
    <row r="310" s="106" customFormat="1"/>
    <row r="311" s="106" customFormat="1"/>
    <row r="312" s="106" customFormat="1"/>
    <row r="313" s="106" customFormat="1"/>
    <row r="314" s="106" customFormat="1"/>
    <row r="315" s="106" customFormat="1"/>
    <row r="316" s="106" customFormat="1"/>
    <row r="317" s="106" customFormat="1"/>
    <row r="318" s="106" customFormat="1"/>
    <row r="319" s="106" customFormat="1"/>
    <row r="320" s="106" customFormat="1"/>
    <row r="321" s="106" customFormat="1"/>
    <row r="322" s="106" customFormat="1"/>
    <row r="323" s="106" customFormat="1"/>
    <row r="324" s="106" customFormat="1"/>
    <row r="325" s="106" customFormat="1"/>
    <row r="326" s="106" customFormat="1"/>
    <row r="327" s="106" customFormat="1"/>
    <row r="328" s="106" customFormat="1"/>
    <row r="329" s="106" customFormat="1"/>
    <row r="330" s="106" customFormat="1"/>
    <row r="331" s="106" customFormat="1"/>
    <row r="332" s="106" customFormat="1"/>
    <row r="333" s="106" customFormat="1"/>
    <row r="334" s="106" customFormat="1"/>
    <row r="335" s="106" customFormat="1"/>
    <row r="336" s="106" customFormat="1"/>
    <row r="337" s="106" customFormat="1"/>
    <row r="338" s="106" customFormat="1"/>
    <row r="339" s="106" customFormat="1"/>
    <row r="340" s="106" customFormat="1"/>
    <row r="341" s="106" customFormat="1"/>
    <row r="342" s="106" customFormat="1"/>
    <row r="343" s="106" customFormat="1"/>
    <row r="344" s="106" customFormat="1"/>
    <row r="345" s="106" customFormat="1"/>
    <row r="346" s="106" customFormat="1"/>
    <row r="347" s="106" customFormat="1"/>
    <row r="348" s="106" customFormat="1"/>
    <row r="349" s="106" customFormat="1"/>
    <row r="350" s="106" customFormat="1"/>
    <row r="351" s="106" customFormat="1"/>
    <row r="352" s="106" customFormat="1"/>
    <row r="353" s="106" customFormat="1"/>
    <row r="354" s="106" customFormat="1"/>
    <row r="355" s="106" customFormat="1"/>
    <row r="356" s="106" customFormat="1"/>
    <row r="357" s="106" customFormat="1"/>
    <row r="358" s="106" customFormat="1"/>
    <row r="359" s="106" customFormat="1"/>
    <row r="360" s="106" customFormat="1"/>
    <row r="361" s="106" customFormat="1"/>
    <row r="362" s="106" customFormat="1"/>
    <row r="363" s="106" customFormat="1"/>
    <row r="364" s="106" customFormat="1"/>
    <row r="365" s="106" customFormat="1"/>
    <row r="366" s="106" customFormat="1"/>
    <row r="367" s="106" customFormat="1"/>
    <row r="368" s="106" customFormat="1"/>
    <row r="369" s="106" customFormat="1"/>
    <row r="370" s="106" customFormat="1"/>
    <row r="371" s="106" customFormat="1"/>
    <row r="372" s="106" customFormat="1"/>
    <row r="373" s="106" customFormat="1"/>
    <row r="374" s="106" customFormat="1"/>
    <row r="375" s="106" customFormat="1"/>
    <row r="376" s="106" customFormat="1"/>
    <row r="377" s="106" customFormat="1"/>
    <row r="378" s="106" customFormat="1"/>
    <row r="379" s="106" customFormat="1"/>
    <row r="380" s="106" customFormat="1"/>
    <row r="381" s="106" customFormat="1"/>
    <row r="382" s="106" customFormat="1"/>
    <row r="383" s="106" customFormat="1"/>
    <row r="384" s="106" customFormat="1"/>
    <row r="385" s="106" customFormat="1"/>
    <row r="386" s="106" customFormat="1"/>
    <row r="387" s="106" customFormat="1"/>
    <row r="388" s="106" customFormat="1"/>
    <row r="389" s="106" customFormat="1"/>
    <row r="390" s="106" customFormat="1"/>
    <row r="391" s="106" customFormat="1"/>
    <row r="392" s="106" customFormat="1"/>
    <row r="393" s="106" customFormat="1"/>
    <row r="394" s="106" customFormat="1"/>
    <row r="395" s="106" customFormat="1"/>
    <row r="396" s="106" customFormat="1"/>
    <row r="397" s="106" customFormat="1"/>
    <row r="398" s="106" customFormat="1"/>
    <row r="399" s="106" customFormat="1"/>
    <row r="400" s="106" customFormat="1"/>
    <row r="401" s="106" customFormat="1"/>
    <row r="402" s="106" customFormat="1"/>
    <row r="403" s="106" customFormat="1"/>
    <row r="404" s="106" customFormat="1"/>
    <row r="405" s="106" customFormat="1"/>
    <row r="406" s="106" customFormat="1"/>
    <row r="407" s="106" customFormat="1"/>
    <row r="408" s="106" customFormat="1"/>
    <row r="409" s="106" customFormat="1"/>
    <row r="410" s="106" customFormat="1"/>
    <row r="411" s="106" customFormat="1"/>
    <row r="412" s="106" customFormat="1"/>
    <row r="413" s="106" customFormat="1"/>
    <row r="414" s="106" customFormat="1"/>
    <row r="415" s="106" customFormat="1"/>
    <row r="416" s="106" customFormat="1"/>
    <row r="417" s="106" customFormat="1"/>
    <row r="418" s="106" customFormat="1"/>
    <row r="419" s="106" customFormat="1"/>
    <row r="420" s="106" customFormat="1"/>
    <row r="421" s="106" customFormat="1"/>
    <row r="422" s="106" customFormat="1"/>
    <row r="423" s="106" customFormat="1"/>
    <row r="424" s="106" customFormat="1"/>
    <row r="425" s="106" customFormat="1"/>
    <row r="426" s="106" customFormat="1"/>
    <row r="427" s="106" customFormat="1"/>
    <row r="428" s="106" customFormat="1"/>
    <row r="429" s="106" customFormat="1"/>
    <row r="430" s="106" customFormat="1"/>
    <row r="431" s="106" customFormat="1"/>
    <row r="432" s="106" customFormat="1"/>
    <row r="433" s="106" customFormat="1"/>
    <row r="434" s="106" customFormat="1"/>
    <row r="435" s="106" customFormat="1"/>
    <row r="436" s="106" customFormat="1"/>
    <row r="437" s="106" customFormat="1"/>
    <row r="438" s="106" customFormat="1"/>
    <row r="439" s="106" customFormat="1"/>
    <row r="440" s="106" customFormat="1"/>
    <row r="441" s="106" customFormat="1"/>
    <row r="442" s="106" customFormat="1"/>
    <row r="443" s="106" customFormat="1"/>
    <row r="444" s="106" customFormat="1"/>
    <row r="445" s="106" customFormat="1"/>
    <row r="446" s="106" customFormat="1"/>
    <row r="447" s="106" customFormat="1"/>
    <row r="448" s="106" customFormat="1"/>
    <row r="449" s="106" customFormat="1"/>
    <row r="450" s="106" customFormat="1"/>
    <row r="451" s="106" customFormat="1"/>
    <row r="452" s="106" customFormat="1"/>
    <row r="453" s="106" customFormat="1"/>
    <row r="454" s="106" customFormat="1"/>
    <row r="455" s="106" customFormat="1"/>
    <row r="456" s="106" customFormat="1"/>
    <row r="457" s="106" customFormat="1"/>
    <row r="458" s="106" customFormat="1"/>
    <row r="459" s="106" customFormat="1"/>
    <row r="460" s="106" customFormat="1"/>
    <row r="461" s="106" customFormat="1"/>
    <row r="462" s="106" customFormat="1"/>
    <row r="463" s="106" customFormat="1"/>
    <row r="464" s="106" customFormat="1"/>
    <row r="465" s="106" customFormat="1"/>
    <row r="466" s="106" customFormat="1"/>
    <row r="467" s="106" customFormat="1"/>
    <row r="468" s="106" customFormat="1"/>
    <row r="469" s="106" customFormat="1"/>
    <row r="470" s="106" customFormat="1"/>
    <row r="471" s="106" customFormat="1"/>
    <row r="472" s="106" customFormat="1"/>
    <row r="473" s="106" customFormat="1"/>
    <row r="474" s="106" customFormat="1"/>
    <row r="475" s="106" customFormat="1"/>
    <row r="476" s="106" customFormat="1"/>
    <row r="477" s="106" customFormat="1"/>
    <row r="478" s="106" customFormat="1"/>
    <row r="479" s="106" customFormat="1"/>
    <row r="480" s="106" customFormat="1"/>
    <row r="481" s="106" customFormat="1"/>
    <row r="482" s="106" customFormat="1"/>
    <row r="483" s="106" customFormat="1"/>
    <row r="484" s="106" customFormat="1"/>
    <row r="485" s="106" customFormat="1"/>
    <row r="486" s="106" customFormat="1"/>
    <row r="487" s="106" customFormat="1"/>
    <row r="488" s="106" customFormat="1"/>
    <row r="489" s="106" customFormat="1"/>
    <row r="490" s="106" customFormat="1"/>
    <row r="491" s="106" customFormat="1"/>
    <row r="492" s="106" customFormat="1"/>
    <row r="493" s="106" customFormat="1"/>
    <row r="494" s="106" customFormat="1"/>
    <row r="495" s="106" customFormat="1"/>
    <row r="496" s="106" customFormat="1"/>
    <row r="497" s="106" customFormat="1"/>
    <row r="498" s="106" customFormat="1"/>
    <row r="499" s="106" customFormat="1"/>
    <row r="500" s="106" customFormat="1"/>
    <row r="501" s="106" customFormat="1"/>
    <row r="502" s="106" customFormat="1"/>
    <row r="503" s="106" customFormat="1"/>
    <row r="504" s="106" customFormat="1"/>
    <row r="505" s="106" customFormat="1"/>
    <row r="506" s="106" customFormat="1"/>
    <row r="507" s="106" customFormat="1"/>
    <row r="508" s="106" customFormat="1"/>
    <row r="509" s="106" customFormat="1"/>
    <row r="510" s="106" customFormat="1"/>
    <row r="511" s="106" customFormat="1"/>
    <row r="512" s="106" customFormat="1"/>
    <row r="513" s="106" customFormat="1"/>
    <row r="514" s="106" customFormat="1"/>
    <row r="515" s="106" customFormat="1"/>
    <row r="516" s="106" customFormat="1"/>
    <row r="517" s="106" customFormat="1"/>
    <row r="518" s="106" customFormat="1"/>
    <row r="519" s="106" customFormat="1"/>
    <row r="520" s="106" customFormat="1"/>
    <row r="521" s="106" customFormat="1"/>
    <row r="522" s="106" customFormat="1"/>
    <row r="523" s="106" customFormat="1"/>
    <row r="524" s="106" customFormat="1"/>
    <row r="525" s="106" customFormat="1"/>
    <row r="526" s="106" customFormat="1"/>
    <row r="527" s="106" customFormat="1"/>
    <row r="528" s="106" customFormat="1"/>
    <row r="529" s="106" customFormat="1"/>
    <row r="530" s="106" customFormat="1"/>
    <row r="531" s="106" customFormat="1"/>
    <row r="532" s="106" customFormat="1"/>
    <row r="533" s="106" customFormat="1"/>
    <row r="534" s="106" customFormat="1"/>
    <row r="535" s="106" customFormat="1"/>
    <row r="536" s="106" customFormat="1"/>
    <row r="537" s="106" customFormat="1"/>
    <row r="538" s="106" customFormat="1"/>
    <row r="539" s="106" customFormat="1"/>
    <row r="540" s="106" customFormat="1"/>
    <row r="541" s="106" customFormat="1"/>
    <row r="542" s="106" customFormat="1"/>
    <row r="543" s="106" customFormat="1"/>
    <row r="544" s="106" customFormat="1"/>
    <row r="545" s="106" customFormat="1"/>
    <row r="546" s="106" customFormat="1"/>
    <row r="547" s="106" customFormat="1"/>
    <row r="548" s="106" customFormat="1"/>
    <row r="549" s="106" customFormat="1"/>
    <row r="550" s="106" customFormat="1"/>
    <row r="551" s="106" customFormat="1"/>
    <row r="552" s="106" customFormat="1"/>
    <row r="553" s="106" customFormat="1"/>
    <row r="554" s="106" customFormat="1"/>
    <row r="555" s="106" customFormat="1"/>
    <row r="556" s="106" customFormat="1"/>
    <row r="557" s="106" customFormat="1"/>
    <row r="558" s="106" customFormat="1"/>
    <row r="559" s="106" customFormat="1"/>
    <row r="560" s="106" customFormat="1"/>
    <row r="561" s="106" customFormat="1"/>
    <row r="562" s="106" customFormat="1"/>
    <row r="563" s="106" customFormat="1"/>
    <row r="564" s="106" customFormat="1"/>
    <row r="565" s="106" customFormat="1"/>
    <row r="566" s="106" customFormat="1"/>
    <row r="567" s="106" customFormat="1"/>
    <row r="568" s="106" customFormat="1"/>
    <row r="569" s="106" customFormat="1"/>
    <row r="570" s="106" customFormat="1"/>
    <row r="571" s="106" customFormat="1"/>
    <row r="572" s="106" customFormat="1"/>
    <row r="573" s="106" customFormat="1"/>
    <row r="574" s="106" customFormat="1"/>
    <row r="575" s="106" customFormat="1"/>
    <row r="576" s="106" customFormat="1"/>
    <row r="577" s="106" customFormat="1"/>
    <row r="578" s="106" customFormat="1"/>
    <row r="579" s="106" customFormat="1"/>
    <row r="580" s="106" customFormat="1"/>
    <row r="581" s="106" customFormat="1"/>
    <row r="582" s="106" customFormat="1"/>
    <row r="583" s="106" customFormat="1"/>
    <row r="584" s="106" customFormat="1"/>
    <row r="585" s="106" customFormat="1"/>
    <row r="586" s="106" customFormat="1"/>
    <row r="587" s="106" customFormat="1"/>
    <row r="588" s="106" customFormat="1"/>
    <row r="589" s="106" customFormat="1"/>
    <row r="590" s="106" customFormat="1"/>
    <row r="591" s="106" customFormat="1"/>
    <row r="592" s="106" customFormat="1"/>
    <row r="593" s="106" customFormat="1"/>
    <row r="594" s="106" customFormat="1"/>
    <row r="595" s="106" customFormat="1"/>
    <row r="596" s="106" customFormat="1"/>
    <row r="597" s="106" customFormat="1"/>
    <row r="598" s="106" customFormat="1"/>
    <row r="599" s="106" customFormat="1"/>
    <row r="600" s="106" customFormat="1"/>
    <row r="601" s="106" customFormat="1"/>
    <row r="602" s="106" customFormat="1"/>
    <row r="603" s="106" customFormat="1"/>
    <row r="604" s="106" customFormat="1"/>
    <row r="605" s="106" customFormat="1"/>
    <row r="606" s="106" customFormat="1"/>
    <row r="607" s="106" customFormat="1"/>
    <row r="608" s="106" customFormat="1"/>
    <row r="609" s="106" customFormat="1"/>
    <row r="610" s="106" customFormat="1"/>
    <row r="611" s="106" customFormat="1"/>
    <row r="612" s="106" customFormat="1"/>
    <row r="613" s="106" customFormat="1"/>
    <row r="614" s="106" customFormat="1"/>
    <row r="615" s="106" customFormat="1"/>
    <row r="616" s="106" customFormat="1"/>
    <row r="617" s="106" customFormat="1"/>
    <row r="618" s="106" customFormat="1"/>
    <row r="619" s="106" customFormat="1"/>
    <row r="620" s="106" customFormat="1"/>
    <row r="621" s="106" customFormat="1"/>
    <row r="622" s="106" customFormat="1"/>
    <row r="623" s="106" customFormat="1"/>
    <row r="624" s="106" customFormat="1"/>
    <row r="625" s="106" customFormat="1"/>
    <row r="626" s="106" customFormat="1"/>
    <row r="627" s="106" customFormat="1"/>
    <row r="628" s="106" customFormat="1"/>
    <row r="629" s="106" customFormat="1"/>
    <row r="630" s="106" customFormat="1"/>
    <row r="631" s="106" customFormat="1"/>
    <row r="632" s="106" customFormat="1"/>
    <row r="633" s="106" customFormat="1"/>
    <row r="634" s="106" customFormat="1"/>
    <row r="635" s="106" customFormat="1"/>
    <row r="636" s="106" customFormat="1"/>
    <row r="637" s="106" customFormat="1"/>
    <row r="638" s="106" customFormat="1"/>
    <row r="639" s="106" customFormat="1"/>
    <row r="640" s="106" customFormat="1"/>
    <row r="641" s="106" customFormat="1"/>
    <row r="642" s="106" customFormat="1"/>
    <row r="643" s="106" customFormat="1"/>
    <row r="644" s="106" customFormat="1"/>
    <row r="645" s="106" customFormat="1"/>
    <row r="646" s="106" customFormat="1"/>
    <row r="647" s="106" customFormat="1"/>
    <row r="648" s="106" customFormat="1"/>
    <row r="649" s="106" customFormat="1"/>
    <row r="650" s="106" customFormat="1"/>
    <row r="651" s="106" customFormat="1"/>
    <row r="652" s="106" customFormat="1"/>
    <row r="653" s="106" customFormat="1"/>
    <row r="654" s="106" customFormat="1"/>
    <row r="655" s="106" customFormat="1"/>
    <row r="656" s="106" customFormat="1"/>
    <row r="657" s="106" customFormat="1"/>
    <row r="658" s="106" customFormat="1"/>
    <row r="659" s="106" customFormat="1"/>
    <row r="660" s="106" customFormat="1"/>
    <row r="661" s="106" customFormat="1"/>
    <row r="662" s="106" customFormat="1"/>
    <row r="663" s="106" customFormat="1"/>
    <row r="664" s="106" customFormat="1"/>
    <row r="665" s="106" customFormat="1"/>
    <row r="666" s="106" customFormat="1"/>
    <row r="667" s="106" customFormat="1"/>
    <row r="668" s="106" customFormat="1"/>
    <row r="669" s="106" customFormat="1"/>
    <row r="670" s="106" customFormat="1"/>
    <row r="671" s="106" customFormat="1"/>
    <row r="672" s="106" customFormat="1"/>
    <row r="673" s="106" customFormat="1"/>
    <row r="674" s="106" customFormat="1"/>
    <row r="675" s="106" customFormat="1"/>
    <row r="676" s="106" customFormat="1"/>
    <row r="677" s="106" customFormat="1"/>
    <row r="678" s="106" customFormat="1"/>
    <row r="679" s="106" customFormat="1"/>
    <row r="680" s="106" customFormat="1"/>
    <row r="681" s="106" customFormat="1"/>
    <row r="682" s="106" customFormat="1"/>
    <row r="683" s="106" customFormat="1"/>
    <row r="684" s="106" customFormat="1"/>
    <row r="685" s="106" customFormat="1"/>
    <row r="686" s="106" customFormat="1"/>
    <row r="687" s="106" customFormat="1"/>
    <row r="688" s="106" customFormat="1"/>
    <row r="689" s="106" customFormat="1"/>
    <row r="690" s="106" customFormat="1"/>
    <row r="691" s="106" customFormat="1"/>
    <row r="692" s="106" customFormat="1"/>
    <row r="693" s="106" customFormat="1"/>
    <row r="694" s="106" customFormat="1"/>
    <row r="695" s="106" customFormat="1"/>
    <row r="696" s="106" customFormat="1"/>
    <row r="697" s="106" customFormat="1"/>
    <row r="698" s="106" customFormat="1"/>
    <row r="699" s="106" customFormat="1"/>
    <row r="700" s="106" customFormat="1"/>
    <row r="701" s="106" customFormat="1"/>
    <row r="702" s="106" customFormat="1"/>
    <row r="703" s="106" customFormat="1"/>
    <row r="704" s="106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Summary</vt:lpstr>
      <vt:lpstr>Assumption</vt:lpstr>
      <vt:lpstr>Ratio</vt:lpstr>
      <vt:lpstr>Financial Statement</vt:lpstr>
      <vt:lpstr>Coal Cost</vt:lpstr>
      <vt:lpstr>Revenue</vt:lpstr>
      <vt:lpstr>Fuel &amp; O&amp;M</vt:lpstr>
      <vt:lpstr>Finance Cost</vt:lpstr>
      <vt:lpstr>Tax</vt:lpstr>
      <vt:lpstr>Phasing</vt:lpstr>
      <vt:lpstr>Bid Tariff</vt:lpstr>
      <vt:lpstr>FGD Input</vt:lpstr>
      <vt:lpstr>FGD Phasing</vt:lpstr>
      <vt:lpstr>Phasing (2)</vt:lpstr>
      <vt:lpstr>Sheet1</vt:lpstr>
      <vt:lpstr>Assumption!Print_Area</vt:lpstr>
      <vt:lpstr>'FGD Phasing'!Print_Area</vt:lpstr>
      <vt:lpstr>'Financial Statement'!Print_Area</vt:lpstr>
      <vt:lpstr>Assumption!Print_Titles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Amit Jha</cp:lastModifiedBy>
  <cp:lastPrinted>2020-12-30T14:08:25Z</cp:lastPrinted>
  <dcterms:created xsi:type="dcterms:W3CDTF">2018-06-22T13:15:59Z</dcterms:created>
  <dcterms:modified xsi:type="dcterms:W3CDTF">2021-07-16T08:07:29Z</dcterms:modified>
</cp:coreProperties>
</file>