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Vibhanshu Vaibhav\Review Files\VIS(2021-22)-PL724-628-807\VIS(2021-22)-PL724-628-807\PreparerReport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4" i="1" l="1"/>
  <c r="X24" i="1"/>
  <c r="V23" i="1"/>
  <c r="R12" i="1"/>
  <c r="R11" i="1"/>
  <c r="R10" i="1"/>
  <c r="R9" i="1"/>
  <c r="R8" i="1"/>
  <c r="R7" i="1"/>
  <c r="R6" i="1"/>
  <c r="R5" i="1"/>
  <c r="R4" i="1"/>
  <c r="U22" i="1" l="1"/>
  <c r="F21" i="1"/>
  <c r="H18" i="1"/>
  <c r="S12" i="1"/>
  <c r="T12" i="1" s="1"/>
  <c r="U12" i="1" s="1"/>
  <c r="S11" i="1"/>
  <c r="T11" i="1" s="1"/>
  <c r="U11" i="1" s="1"/>
  <c r="S10" i="1"/>
  <c r="T10" i="1" s="1"/>
  <c r="U10" i="1" s="1"/>
  <c r="S9" i="1"/>
  <c r="T9" i="1" s="1"/>
  <c r="U9" i="1" s="1"/>
  <c r="S8" i="1"/>
  <c r="T8" i="1" s="1"/>
  <c r="U8" i="1" s="1"/>
  <c r="S7" i="1"/>
  <c r="T7" i="1" s="1"/>
  <c r="U7" i="1" s="1"/>
  <c r="P12" i="1"/>
  <c r="M12" i="1"/>
  <c r="P11" i="1"/>
  <c r="P10" i="1"/>
  <c r="P9" i="1"/>
  <c r="P8" i="1"/>
  <c r="P7" i="1"/>
  <c r="M11" i="1"/>
  <c r="M10" i="1"/>
  <c r="M9" i="1"/>
  <c r="M8" i="1"/>
  <c r="M7" i="1"/>
  <c r="M6" i="1"/>
  <c r="M5" i="1"/>
  <c r="M4" i="1"/>
  <c r="H10" i="1"/>
  <c r="I10" i="1" s="1"/>
  <c r="H12" i="1"/>
  <c r="I12" i="1" s="1"/>
  <c r="H11" i="1"/>
  <c r="I11" i="1" s="1"/>
  <c r="H9" i="1"/>
  <c r="I9" i="1" s="1"/>
  <c r="I8" i="1"/>
  <c r="I7" i="1"/>
  <c r="I6" i="1"/>
  <c r="I5" i="1"/>
  <c r="I17" i="1"/>
  <c r="I4" i="1"/>
  <c r="M23" i="1" l="1"/>
  <c r="K23" i="1"/>
  <c r="P6" i="1"/>
  <c r="N23" i="1" l="1"/>
  <c r="S6" i="1"/>
  <c r="T6" i="1" s="1"/>
  <c r="U6" i="1" s="1"/>
  <c r="P5" i="1"/>
  <c r="P4" i="1"/>
  <c r="V4" i="1"/>
  <c r="I13" i="1" l="1"/>
  <c r="H13" i="1"/>
  <c r="S5" i="1"/>
  <c r="T5" i="1" s="1"/>
  <c r="U5" i="1" s="1"/>
  <c r="W4" i="1"/>
  <c r="X4" i="1" s="1"/>
  <c r="R13" i="1" l="1"/>
  <c r="S4" i="1"/>
  <c r="T4" i="1" s="1"/>
  <c r="U4" i="1" s="1"/>
  <c r="U13" i="1" l="1"/>
  <c r="T13" i="1"/>
  <c r="V24" i="1" s="1"/>
  <c r="V14" i="1" l="1"/>
  <c r="X14" i="1" l="1"/>
  <c r="W14" i="1"/>
</calcChain>
</file>

<file path=xl/sharedStrings.xml><?xml version="1.0" encoding="utf-8"?>
<sst xmlns="http://schemas.openxmlformats.org/spreadsheetml/2006/main" count="50" uniqueCount="36">
  <si>
    <t>SR. No.</t>
  </si>
  <si>
    <t>Floor</t>
  </si>
  <si>
    <t>Ground Floor</t>
  </si>
  <si>
    <t>RCC Framed Structure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</si>
  <si>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</si>
  <si>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</si>
  <si>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</si>
  <si>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</si>
  <si>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</si>
  <si>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</si>
  <si>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Replacement Market Value
(INR)</t>
  </si>
  <si>
    <t>Particular</t>
  </si>
  <si>
    <t>Office</t>
  </si>
  <si>
    <t>Store</t>
  </si>
  <si>
    <t>Guard Room</t>
  </si>
  <si>
    <t>Electric room</t>
  </si>
  <si>
    <t>Cement Godown</t>
  </si>
  <si>
    <t xml:space="preserve">Tin shed mounted on Iron pillars </t>
  </si>
  <si>
    <t>Asbestos shed mounted on iron pillars</t>
  </si>
  <si>
    <t xml:space="preserve">Tin shed mounted on iron pillars </t>
  </si>
  <si>
    <t xml:space="preserve">GI Shed mounted on iron pillars </t>
  </si>
  <si>
    <t xml:space="preserve">Truss structure </t>
  </si>
  <si>
    <t>Working Shed</t>
  </si>
  <si>
    <t>BUILDING VALUATION OF M/S. K K SPUN PIPE PVT LIMITED | SITUATED INDUSTRIAL GROTH CENTRE, AKBARPUR, KANPUR DEHAT, UTTAR PRADESH</t>
  </si>
  <si>
    <t>Remarks</t>
  </si>
  <si>
    <t>1. All the details pertaing to the building area statement such as area, floor, etc has been taken from the site survey.</t>
  </si>
  <si>
    <t>2. All the structure that has been taken in the area statemnet belonging to M/s. K K Spun Pipe Pvt Limited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</si>
  <si>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</si>
  <si>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</si>
  <si>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rPr>
        <b/>
        <sz val="11"/>
        <rFont val="Calibri"/>
        <family val="2"/>
        <scheme val="minor"/>
      </rPr>
      <t xml:space="preserve">Height </t>
    </r>
    <r>
      <rPr>
        <sz val="11"/>
        <rFont val="Calibri"/>
        <family val="2"/>
        <scheme val="minor"/>
      </rPr>
      <t xml:space="preserve">
(in ft.)</t>
    </r>
  </si>
  <si>
    <r>
      <t xml:space="preserve">Total Life Consumed 
</t>
    </r>
    <r>
      <rPr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</si>
  <si>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</si>
  <si>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i/>
        <sz val="10"/>
        <rFont val="Calibri"/>
        <family val="2"/>
        <scheme val="minor"/>
      </rPr>
      <t>(In per sq ft)</t>
    </r>
  </si>
  <si>
    <r>
      <t xml:space="preserve">Gross Replacement Value
</t>
    </r>
    <r>
      <rPr>
        <i/>
        <sz val="11"/>
        <rFont val="Calibri"/>
        <family val="2"/>
        <scheme val="minor"/>
      </rPr>
      <t>(INR)</t>
    </r>
  </si>
  <si>
    <r>
      <t xml:space="preserve">Depreciation
</t>
    </r>
    <r>
      <rPr>
        <i/>
        <sz val="11"/>
        <rFont val="Calibri"/>
        <family val="2"/>
        <scheme val="minor"/>
      </rPr>
      <t xml:space="preserve">(INR) </t>
    </r>
  </si>
  <si>
    <r>
      <t xml:space="preserve">Depreciated Value
</t>
    </r>
    <r>
      <rPr>
        <i/>
        <sz val="11"/>
        <rFont val="Calibri"/>
        <family val="2"/>
        <scheme val="minor"/>
      </rPr>
      <t>(INR)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</si>
</sst>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Y24"/>
  <sheetViews>
    <sheetView tabSelected="1" topLeftCell="C7" workbookViewId="0">
      <selection activeCell="I13" sqref="I13"/>
    </sheetView>
  </sheetViews>
  <sheetFormatPr defaultRowHeight="15" x14ac:dyDescent="0.25"/>
  <cols>
    <col min="4" max="4" width="6.85546875" customWidth="1"/>
    <col min="5" max="5" width="12.42578125" customWidth="1"/>
    <col min="6" max="6" width="15.42578125" customWidth="1"/>
    <col min="7" max="7" width="34.5703125" customWidth="1"/>
    <col min="8" max="8" width="8.85546875" hidden="1" customWidth="1"/>
    <col min="9" max="10" width="9.140625" customWidth="1"/>
    <col min="11" max="11" width="12.140625" customWidth="1"/>
    <col min="12" max="12" width="9.28515625" customWidth="1"/>
    <col min="13" max="13" width="10.28515625" customWidth="1"/>
    <col min="14" max="14" width="10.85546875" customWidth="1"/>
    <col min="15" max="15" width="7.85546875" hidden="1" customWidth="1"/>
    <col min="16" max="16" width="13.140625" hidden="1" customWidth="1"/>
    <col min="17" max="17" width="11.7109375" customWidth="1"/>
    <col min="18" max="18" width="16.42578125" customWidth="1"/>
    <col min="19" max="19" width="13" customWidth="1"/>
    <col min="20" max="20" width="13.28515625" bestFit="1" customWidth="1"/>
    <col min="21" max="21" width="13.28515625" hidden="1" customWidth="1"/>
    <col min="22" max="22" width="13.28515625" bestFit="1" customWidth="1"/>
    <col min="23" max="23" width="14.28515625" bestFit="1" customWidth="1"/>
    <col min="24" max="25" width="15.85546875" bestFit="1" customWidth="1"/>
  </cols>
  <sheetData>
    <row r="2" spans="4:24" ht="15.75" x14ac:dyDescent="0.25">
      <c r="D2" s="14" t="s">
        <v>23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4:24" ht="60" x14ac:dyDescent="0.25">
      <c r="D3" s="17" t="s">
        <v>0</v>
      </c>
      <c r="E3" s="17" t="s">
        <v>1</v>
      </c>
      <c r="F3" s="17" t="s">
        <v>11</v>
      </c>
      <c r="G3" s="17" t="s">
        <v>6</v>
      </c>
      <c r="H3" s="18" t="s">
        <v>27</v>
      </c>
      <c r="I3" s="18" t="s">
        <v>28</v>
      </c>
      <c r="J3" s="19" t="s">
        <v>29</v>
      </c>
      <c r="K3" s="18" t="s">
        <v>4</v>
      </c>
      <c r="L3" s="18" t="s">
        <v>5</v>
      </c>
      <c r="M3" s="18" t="s">
        <v>30</v>
      </c>
      <c r="N3" s="18" t="s">
        <v>31</v>
      </c>
      <c r="O3" s="18" t="s">
        <v>7</v>
      </c>
      <c r="P3" s="18" t="s">
        <v>9</v>
      </c>
      <c r="Q3" s="18" t="s">
        <v>32</v>
      </c>
      <c r="R3" s="18" t="s">
        <v>33</v>
      </c>
      <c r="S3" s="18" t="s">
        <v>34</v>
      </c>
      <c r="T3" s="18" t="s">
        <v>35</v>
      </c>
      <c r="U3" s="5" t="s">
        <v>10</v>
      </c>
    </row>
    <row r="4" spans="4:24" x14ac:dyDescent="0.25">
      <c r="D4" s="2">
        <v>1</v>
      </c>
      <c r="E4" s="2" t="s">
        <v>2</v>
      </c>
      <c r="F4" s="2" t="s">
        <v>12</v>
      </c>
      <c r="G4" s="2" t="s">
        <v>3</v>
      </c>
      <c r="H4" s="2">
        <v>100.33</v>
      </c>
      <c r="I4" s="8">
        <f>H4*10.764</f>
        <v>1079.9521199999999</v>
      </c>
      <c r="J4" s="8">
        <v>11</v>
      </c>
      <c r="K4" s="2">
        <v>2015</v>
      </c>
      <c r="L4" s="2">
        <v>2021</v>
      </c>
      <c r="M4" s="2">
        <f>L4-K4</f>
        <v>6</v>
      </c>
      <c r="N4" s="2">
        <v>45</v>
      </c>
      <c r="O4" s="3">
        <v>0.1</v>
      </c>
      <c r="P4" s="7">
        <f>(1-O4)/N4</f>
        <v>0.02</v>
      </c>
      <c r="Q4" s="4">
        <v>1200</v>
      </c>
      <c r="R4" s="9">
        <f>Q4*I4</f>
        <v>1295942.544</v>
      </c>
      <c r="S4" s="9">
        <f>R4*P4*M4</f>
        <v>155513.10528000002</v>
      </c>
      <c r="T4" s="9">
        <f>MAX(R4-S4,0)</f>
        <v>1140429.43872</v>
      </c>
      <c r="U4" s="9">
        <f>IF(T4&gt;O4*R4,R4*O4)</f>
        <v>129594.25440000001</v>
      </c>
      <c r="V4" t="e">
        <f>(1-#REF!)/#REF!</f>
        <v>#REF!</v>
      </c>
      <c r="W4" s="1" t="e">
        <f>V4*#REF!*#REF!</f>
        <v>#REF!</v>
      </c>
      <c r="X4" s="1" t="e">
        <f>#REF!-W4</f>
        <v>#REF!</v>
      </c>
    </row>
    <row r="5" spans="4:24" x14ac:dyDescent="0.25">
      <c r="D5" s="2">
        <v>2</v>
      </c>
      <c r="E5" s="2" t="s">
        <v>2</v>
      </c>
      <c r="F5" s="2" t="s">
        <v>13</v>
      </c>
      <c r="G5" s="2" t="s">
        <v>17</v>
      </c>
      <c r="H5" s="2">
        <v>33.44</v>
      </c>
      <c r="I5" s="8">
        <f t="shared" ref="I5:I12" si="0">H5*10.764</f>
        <v>359.94815999999997</v>
      </c>
      <c r="J5" s="8">
        <v>15</v>
      </c>
      <c r="K5" s="2">
        <v>2015</v>
      </c>
      <c r="L5" s="2">
        <v>2021</v>
      </c>
      <c r="M5" s="2">
        <f t="shared" ref="M5:M11" si="1">L5-K5</f>
        <v>6</v>
      </c>
      <c r="N5" s="2">
        <v>30</v>
      </c>
      <c r="O5" s="3">
        <v>0.1</v>
      </c>
      <c r="P5" s="7">
        <f t="shared" ref="P5" si="2">(1-O5)/N5</f>
        <v>3.0000000000000002E-2</v>
      </c>
      <c r="Q5" s="4">
        <v>500</v>
      </c>
      <c r="R5" s="9">
        <f t="shared" ref="R5:R12" si="3">Q5*I5</f>
        <v>179974.08</v>
      </c>
      <c r="S5" s="9">
        <f t="shared" ref="S5" si="4">R5*P5*M5</f>
        <v>32395.3344</v>
      </c>
      <c r="T5" s="9">
        <f t="shared" ref="T5" si="5">MAX(R5-S5,0)</f>
        <v>147578.74559999999</v>
      </c>
      <c r="U5" s="9">
        <f t="shared" ref="U5" si="6">IF(T5&gt;O5*R5,T5*(1+8%),R5*O5)</f>
        <v>159385.04524800001</v>
      </c>
    </row>
    <row r="6" spans="4:24" x14ac:dyDescent="0.25">
      <c r="D6" s="2">
        <v>3</v>
      </c>
      <c r="E6" s="2" t="s">
        <v>2</v>
      </c>
      <c r="F6" s="2" t="s">
        <v>14</v>
      </c>
      <c r="G6" s="2" t="s">
        <v>3</v>
      </c>
      <c r="H6" s="2">
        <v>16.72</v>
      </c>
      <c r="I6" s="8">
        <f t="shared" si="0"/>
        <v>179.97407999999999</v>
      </c>
      <c r="J6" s="8">
        <v>11</v>
      </c>
      <c r="K6" s="2">
        <v>2015</v>
      </c>
      <c r="L6" s="2">
        <v>2021</v>
      </c>
      <c r="M6" s="2">
        <f t="shared" si="1"/>
        <v>6</v>
      </c>
      <c r="N6" s="2">
        <v>45</v>
      </c>
      <c r="O6" s="3">
        <v>0.1</v>
      </c>
      <c r="P6" s="7">
        <f t="shared" ref="P6:P11" si="7">(1-O6)/N6</f>
        <v>0.02</v>
      </c>
      <c r="Q6" s="4">
        <v>1200</v>
      </c>
      <c r="R6" s="9">
        <f t="shared" si="3"/>
        <v>215968.89599999998</v>
      </c>
      <c r="S6" s="9">
        <f t="shared" ref="S6" si="8">R6*P6*M6</f>
        <v>25916.267520000001</v>
      </c>
      <c r="T6" s="9">
        <f t="shared" ref="T6" si="9">MAX(R6-S6,0)</f>
        <v>190052.62847999998</v>
      </c>
      <c r="U6" s="9">
        <f t="shared" ref="U6" si="10">IF(T6&gt;O6*R6,T6*(1+8%),R6*O6)</f>
        <v>205256.8387584</v>
      </c>
    </row>
    <row r="7" spans="4:24" x14ac:dyDescent="0.25">
      <c r="D7" s="2">
        <v>4</v>
      </c>
      <c r="E7" s="2" t="s">
        <v>2</v>
      </c>
      <c r="F7" s="2" t="s">
        <v>15</v>
      </c>
      <c r="G7" s="2" t="s">
        <v>18</v>
      </c>
      <c r="H7" s="2">
        <v>40.869999999999997</v>
      </c>
      <c r="I7" s="8">
        <f t="shared" si="0"/>
        <v>439.92467999999997</v>
      </c>
      <c r="J7" s="8">
        <v>15</v>
      </c>
      <c r="K7" s="2">
        <v>2015</v>
      </c>
      <c r="L7" s="2">
        <v>2021</v>
      </c>
      <c r="M7" s="2">
        <f t="shared" si="1"/>
        <v>6</v>
      </c>
      <c r="N7" s="2">
        <v>30</v>
      </c>
      <c r="O7" s="3">
        <v>0.1</v>
      </c>
      <c r="P7" s="7">
        <f t="shared" si="7"/>
        <v>3.0000000000000002E-2</v>
      </c>
      <c r="Q7" s="4">
        <v>700</v>
      </c>
      <c r="R7" s="9">
        <f t="shared" si="3"/>
        <v>307947.27599999995</v>
      </c>
      <c r="S7" s="9">
        <f t="shared" ref="S7:S12" si="11">R7*P7*M7</f>
        <v>55430.509680000003</v>
      </c>
      <c r="T7" s="9">
        <f t="shared" ref="T7:T12" si="12">MAX(R7-S7,0)</f>
        <v>252516.76631999994</v>
      </c>
      <c r="U7" s="9">
        <f t="shared" ref="U7:U12" si="13">IF(T7&gt;O7*R7,T7*(1+8%),R7*O7)</f>
        <v>272718.10762559995</v>
      </c>
    </row>
    <row r="8" spans="4:24" x14ac:dyDescent="0.25">
      <c r="D8" s="2">
        <v>5</v>
      </c>
      <c r="E8" s="2" t="s">
        <v>2</v>
      </c>
      <c r="F8" s="2" t="s">
        <v>16</v>
      </c>
      <c r="G8" s="2" t="s">
        <v>19</v>
      </c>
      <c r="H8" s="2">
        <v>323.3</v>
      </c>
      <c r="I8" s="8">
        <f t="shared" si="0"/>
        <v>3480.0011999999997</v>
      </c>
      <c r="J8" s="8">
        <v>30</v>
      </c>
      <c r="K8" s="2">
        <v>2015</v>
      </c>
      <c r="L8" s="2">
        <v>2021</v>
      </c>
      <c r="M8" s="2">
        <f t="shared" si="1"/>
        <v>6</v>
      </c>
      <c r="N8" s="2">
        <v>30</v>
      </c>
      <c r="O8" s="3">
        <v>0.1</v>
      </c>
      <c r="P8" s="7">
        <f t="shared" si="7"/>
        <v>3.0000000000000002E-2</v>
      </c>
      <c r="Q8" s="4">
        <v>800</v>
      </c>
      <c r="R8" s="9">
        <f t="shared" si="3"/>
        <v>2784000.96</v>
      </c>
      <c r="S8" s="9">
        <f t="shared" si="11"/>
        <v>501120.1728</v>
      </c>
      <c r="T8" s="9">
        <f t="shared" si="12"/>
        <v>2282880.7872000001</v>
      </c>
      <c r="U8" s="9">
        <f t="shared" si="13"/>
        <v>2465511.2501760004</v>
      </c>
    </row>
    <row r="9" spans="4:24" x14ac:dyDescent="0.25">
      <c r="D9" s="2">
        <v>6</v>
      </c>
      <c r="E9" s="2" t="s">
        <v>2</v>
      </c>
      <c r="F9" s="2" t="s">
        <v>22</v>
      </c>
      <c r="G9" s="2" t="s">
        <v>20</v>
      </c>
      <c r="H9" s="2">
        <f>72*10</f>
        <v>720</v>
      </c>
      <c r="I9" s="8">
        <f t="shared" si="0"/>
        <v>7750.08</v>
      </c>
      <c r="J9" s="8">
        <v>30</v>
      </c>
      <c r="K9" s="2">
        <v>2015</v>
      </c>
      <c r="L9" s="2">
        <v>2021</v>
      </c>
      <c r="M9" s="2">
        <f t="shared" si="1"/>
        <v>6</v>
      </c>
      <c r="N9" s="2">
        <v>30</v>
      </c>
      <c r="O9" s="3">
        <v>0.1</v>
      </c>
      <c r="P9" s="7">
        <f t="shared" si="7"/>
        <v>3.0000000000000002E-2</v>
      </c>
      <c r="Q9" s="4">
        <v>900</v>
      </c>
      <c r="R9" s="9">
        <f t="shared" si="3"/>
        <v>6975072</v>
      </c>
      <c r="S9" s="9">
        <f t="shared" si="11"/>
        <v>1255512.96</v>
      </c>
      <c r="T9" s="9">
        <f t="shared" si="12"/>
        <v>5719559.04</v>
      </c>
      <c r="U9" s="9">
        <f t="shared" si="13"/>
        <v>6177123.7632000009</v>
      </c>
    </row>
    <row r="10" spans="4:24" x14ac:dyDescent="0.25">
      <c r="D10" s="2">
        <v>7</v>
      </c>
      <c r="E10" s="2" t="s">
        <v>2</v>
      </c>
      <c r="F10" s="2" t="s">
        <v>22</v>
      </c>
      <c r="G10" s="2" t="s">
        <v>20</v>
      </c>
      <c r="H10" s="2">
        <f>72*20</f>
        <v>1440</v>
      </c>
      <c r="I10" s="8">
        <f t="shared" si="0"/>
        <v>15500.16</v>
      </c>
      <c r="J10" s="8">
        <v>30</v>
      </c>
      <c r="K10" s="2">
        <v>2015</v>
      </c>
      <c r="L10" s="2">
        <v>2021</v>
      </c>
      <c r="M10" s="2">
        <f t="shared" si="1"/>
        <v>6</v>
      </c>
      <c r="N10" s="2">
        <v>30</v>
      </c>
      <c r="O10" s="3">
        <v>0.1</v>
      </c>
      <c r="P10" s="7">
        <f t="shared" si="7"/>
        <v>3.0000000000000002E-2</v>
      </c>
      <c r="Q10" s="4">
        <v>900</v>
      </c>
      <c r="R10" s="9">
        <f t="shared" si="3"/>
        <v>13950144</v>
      </c>
      <c r="S10" s="9">
        <f t="shared" si="11"/>
        <v>2511025.92</v>
      </c>
      <c r="T10" s="9">
        <f t="shared" si="12"/>
        <v>11439118.08</v>
      </c>
      <c r="U10" s="9">
        <f t="shared" si="13"/>
        <v>12354247.526400002</v>
      </c>
    </row>
    <row r="11" spans="4:24" x14ac:dyDescent="0.25">
      <c r="D11" s="2">
        <v>8</v>
      </c>
      <c r="E11" s="2" t="s">
        <v>2</v>
      </c>
      <c r="F11" s="2" t="s">
        <v>22</v>
      </c>
      <c r="G11" s="2" t="s">
        <v>20</v>
      </c>
      <c r="H11" s="2">
        <f>72*10</f>
        <v>720</v>
      </c>
      <c r="I11" s="8">
        <f t="shared" si="0"/>
        <v>7750.08</v>
      </c>
      <c r="J11" s="8">
        <v>30</v>
      </c>
      <c r="K11" s="2">
        <v>2015</v>
      </c>
      <c r="L11" s="2">
        <v>2021</v>
      </c>
      <c r="M11" s="2">
        <f t="shared" si="1"/>
        <v>6</v>
      </c>
      <c r="N11" s="2">
        <v>30</v>
      </c>
      <c r="O11" s="3">
        <v>0.1</v>
      </c>
      <c r="P11" s="7">
        <f t="shared" si="7"/>
        <v>3.0000000000000002E-2</v>
      </c>
      <c r="Q11" s="4">
        <v>900</v>
      </c>
      <c r="R11" s="9">
        <f t="shared" si="3"/>
        <v>6975072</v>
      </c>
      <c r="S11" s="9">
        <f t="shared" si="11"/>
        <v>1255512.96</v>
      </c>
      <c r="T11" s="9">
        <f t="shared" si="12"/>
        <v>5719559.04</v>
      </c>
      <c r="U11" s="9">
        <f t="shared" si="13"/>
        <v>6177123.7632000009</v>
      </c>
    </row>
    <row r="12" spans="4:24" x14ac:dyDescent="0.25">
      <c r="D12" s="2">
        <v>9</v>
      </c>
      <c r="E12" s="2" t="s">
        <v>2</v>
      </c>
      <c r="F12" s="2" t="s">
        <v>22</v>
      </c>
      <c r="G12" s="2" t="s">
        <v>21</v>
      </c>
      <c r="H12" s="2">
        <f>72*20</f>
        <v>1440</v>
      </c>
      <c r="I12" s="8">
        <f t="shared" si="0"/>
        <v>15500.16</v>
      </c>
      <c r="J12" s="8">
        <v>30</v>
      </c>
      <c r="K12" s="2">
        <v>2015</v>
      </c>
      <c r="L12" s="2">
        <v>2021</v>
      </c>
      <c r="M12" s="2">
        <f t="shared" ref="M12" si="14">L12-K12</f>
        <v>6</v>
      </c>
      <c r="N12" s="2">
        <v>30</v>
      </c>
      <c r="O12" s="3">
        <v>0.1</v>
      </c>
      <c r="P12" s="7">
        <f t="shared" ref="P12" si="15">(1-O12)/N12</f>
        <v>3.0000000000000002E-2</v>
      </c>
      <c r="Q12" s="4">
        <v>600</v>
      </c>
      <c r="R12" s="9">
        <f t="shared" si="3"/>
        <v>9300096</v>
      </c>
      <c r="S12" s="9">
        <f t="shared" si="11"/>
        <v>1674017.28</v>
      </c>
      <c r="T12" s="9">
        <f t="shared" si="12"/>
        <v>7626078.7199999997</v>
      </c>
      <c r="U12" s="9">
        <f t="shared" si="13"/>
        <v>8236165.0175999999</v>
      </c>
    </row>
    <row r="13" spans="4:24" x14ac:dyDescent="0.25">
      <c r="D13" s="15" t="s">
        <v>8</v>
      </c>
      <c r="E13" s="15"/>
      <c r="F13" s="15"/>
      <c r="G13" s="15"/>
      <c r="H13" s="12">
        <f>SUM(H4:H12)</f>
        <v>4834.66</v>
      </c>
      <c r="I13" s="12">
        <f>SUM(I4:I12)</f>
        <v>52040.280239999993</v>
      </c>
      <c r="J13" s="12"/>
      <c r="K13" s="15"/>
      <c r="L13" s="15"/>
      <c r="M13" s="15"/>
      <c r="N13" s="15"/>
      <c r="O13" s="15"/>
      <c r="P13" s="15"/>
      <c r="Q13" s="15"/>
      <c r="R13" s="10">
        <f>SUM(R4:R12)</f>
        <v>41984217.755999997</v>
      </c>
      <c r="S13" s="10"/>
      <c r="T13" s="10">
        <f>SUM(T4:T12)</f>
        <v>34517773.246320002</v>
      </c>
      <c r="U13" s="10">
        <f>SUM(U4:U12)</f>
        <v>36177125.566608004</v>
      </c>
    </row>
    <row r="14" spans="4:24" x14ac:dyDescent="0.25">
      <c r="D14" s="16" t="s">
        <v>24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1">
        <f>ROUND(U14,-3)</f>
        <v>0</v>
      </c>
      <c r="W14" s="6">
        <f>V14*0.85</f>
        <v>0</v>
      </c>
      <c r="X14" s="6">
        <f>V14*0.75</f>
        <v>0</v>
      </c>
    </row>
    <row r="15" spans="4:24" x14ac:dyDescent="0.25">
      <c r="D15" s="16" t="s">
        <v>25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4:24" x14ac:dyDescent="0.25">
      <c r="D16" s="16" t="s">
        <v>26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6:25" x14ac:dyDescent="0.25">
      <c r="H17">
        <v>440</v>
      </c>
      <c r="I17">
        <f>H17/10.764</f>
        <v>40.876997398736535</v>
      </c>
    </row>
    <row r="18" spans="6:25" x14ac:dyDescent="0.25">
      <c r="G18">
        <v>7500000</v>
      </c>
      <c r="H18">
        <f>G18/1.5</f>
        <v>5000000</v>
      </c>
    </row>
    <row r="21" spans="6:25" x14ac:dyDescent="0.25">
      <c r="F21">
        <f>15100000/4050</f>
        <v>3728.3950617283949</v>
      </c>
    </row>
    <row r="22" spans="6:25" x14ac:dyDescent="0.25">
      <c r="U22">
        <f>2200*13928.45</f>
        <v>30642590</v>
      </c>
    </row>
    <row r="23" spans="6:25" x14ac:dyDescent="0.25">
      <c r="K23">
        <f>11500*55.72</f>
        <v>640780</v>
      </c>
      <c r="M23">
        <f>12000*195.72</f>
        <v>2348640</v>
      </c>
      <c r="N23">
        <f>M23+K23</f>
        <v>2989420</v>
      </c>
      <c r="T23" s="13">
        <v>13928.45</v>
      </c>
      <c r="V23">
        <f>3200*T23</f>
        <v>44571040</v>
      </c>
    </row>
    <row r="24" spans="6:25" x14ac:dyDescent="0.25">
      <c r="V24" s="11">
        <f>V23+T13</f>
        <v>79088813.246320009</v>
      </c>
      <c r="W24" s="11">
        <v>83000000</v>
      </c>
      <c r="X24" s="6">
        <f>W24*0.85</f>
        <v>70550000</v>
      </c>
      <c r="Y24" s="6">
        <f>W24*0.75</f>
        <v>62250000</v>
      </c>
    </row>
  </sheetData>
  <mergeCells count="6">
    <mergeCell ref="D2:U2"/>
    <mergeCell ref="D13:G13"/>
    <mergeCell ref="K13:Q13"/>
    <mergeCell ref="D15:U15"/>
    <mergeCell ref="D16:U16"/>
    <mergeCell ref="D14:U14"/>
  </mergeCells>
  <pageMargins left="0.7" right="0.7" top="0.75" bottom="0.75" header="0.3" footer="0.3"/>
  <pageSetup orientation="portrait" r:id="rId1"/>
  <ignoredErrors>
    <ignoredError sqref="H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Vibhanshu Vaibhav</cp:lastModifiedBy>
  <dcterms:created xsi:type="dcterms:W3CDTF">2021-09-16T11:33:35Z</dcterms:created>
  <dcterms:modified xsi:type="dcterms:W3CDTF">2021-12-15T13:12:21Z</dcterms:modified>
</cp:coreProperties>
</file>