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Tejash Bharadwaj\Amity University\FInal Report\"/>
    </mc:Choice>
  </mc:AlternateContent>
  <xr:revisionPtr revIDLastSave="0" documentId="8_{19244F7B-C445-49B7-95CE-0356D5340E36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Area details in Deeds" sheetId="3" r:id="rId1"/>
    <sheet name="Buildings Detail" sheetId="2" r:id="rId2"/>
    <sheet name="Sheet 2" sheetId="1" r:id="rId3"/>
    <sheet name="Construction Rate Analysis" sheetId="4" r:id="rId4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4" l="1"/>
  <c r="H7" i="4"/>
  <c r="R10" i="4" l="1"/>
  <c r="P10" i="4"/>
  <c r="M10" i="4"/>
  <c r="R9" i="4"/>
  <c r="P9" i="4"/>
  <c r="M9" i="4"/>
  <c r="H10" i="4"/>
  <c r="Z10" i="4" s="1"/>
  <c r="H9" i="4"/>
  <c r="Z9" i="4" s="1"/>
  <c r="R8" i="4"/>
  <c r="P8" i="4"/>
  <c r="M8" i="4"/>
  <c r="H8" i="4"/>
  <c r="Z8" i="4" s="1"/>
  <c r="Z7" i="4"/>
  <c r="M7" i="4"/>
  <c r="P7" i="4"/>
  <c r="R7" i="4"/>
  <c r="S7" i="4" s="1"/>
  <c r="I7" i="4"/>
  <c r="H6" i="4"/>
  <c r="R6" i="4"/>
  <c r="P6" i="4"/>
  <c r="M6" i="4"/>
  <c r="Z6" i="4" l="1"/>
  <c r="Z11" i="4" s="1"/>
  <c r="S9" i="4"/>
  <c r="T9" i="4" s="1"/>
  <c r="U9" i="4" s="1"/>
  <c r="W9" i="4" s="1"/>
  <c r="I6" i="4"/>
  <c r="I11" i="4" s="1"/>
  <c r="S8" i="4"/>
  <c r="T8" i="4" s="1"/>
  <c r="U8" i="4" s="1"/>
  <c r="W8" i="4" s="1"/>
  <c r="I9" i="4"/>
  <c r="S10" i="4"/>
  <c r="I8" i="4"/>
  <c r="I10" i="4"/>
  <c r="T7" i="4"/>
  <c r="U7" i="4" s="1"/>
  <c r="W7" i="4" s="1"/>
  <c r="S6" i="4"/>
  <c r="S11" i="4" s="1"/>
  <c r="T10" i="4" l="1"/>
  <c r="U10" i="4" s="1"/>
  <c r="W10" i="4" s="1"/>
  <c r="T6" i="4"/>
  <c r="T11" i="4" s="1"/>
  <c r="U6" i="4" l="1"/>
  <c r="U11" i="4" s="1"/>
  <c r="F21" i="3"/>
  <c r="E20" i="3"/>
  <c r="F20" i="3" s="1"/>
  <c r="F19" i="3"/>
  <c r="F18" i="3"/>
  <c r="E17" i="3"/>
  <c r="F17" i="3" s="1"/>
  <c r="F16" i="3"/>
  <c r="E15" i="3"/>
  <c r="F15" i="3" s="1"/>
  <c r="F14" i="3"/>
  <c r="E13" i="3"/>
  <c r="F13" i="3" s="1"/>
  <c r="F12" i="3"/>
  <c r="F11" i="3"/>
  <c r="E10" i="3"/>
  <c r="F10" i="3" s="1"/>
  <c r="F9" i="3"/>
  <c r="F8" i="3"/>
  <c r="E8" i="3"/>
  <c r="E7" i="3"/>
  <c r="F6" i="3"/>
  <c r="F5" i="3"/>
  <c r="I21" i="1"/>
  <c r="J21" i="1" s="1"/>
  <c r="I18" i="1"/>
  <c r="I45" i="1"/>
  <c r="H45" i="1"/>
  <c r="H44" i="1"/>
  <c r="H43" i="1"/>
  <c r="I42" i="1"/>
  <c r="H42" i="1" s="1"/>
  <c r="H47" i="1" s="1"/>
  <c r="H41" i="1"/>
  <c r="G46" i="1"/>
  <c r="F45" i="1"/>
  <c r="G45" i="1" s="1"/>
  <c r="G44" i="1"/>
  <c r="G43" i="1"/>
  <c r="F42" i="1"/>
  <c r="G42" i="1" s="1"/>
  <c r="G41" i="1"/>
  <c r="F40" i="1"/>
  <c r="G40" i="1" s="1"/>
  <c r="G39" i="1"/>
  <c r="F38" i="1"/>
  <c r="G38" i="1" s="1"/>
  <c r="G37" i="1"/>
  <c r="G36" i="1"/>
  <c r="F35" i="1"/>
  <c r="G35" i="1" s="1"/>
  <c r="G34" i="1"/>
  <c r="F33" i="1"/>
  <c r="G33" i="1" s="1"/>
  <c r="F32" i="1"/>
  <c r="G31" i="1"/>
  <c r="G30" i="1"/>
  <c r="J22" i="1"/>
  <c r="J20" i="1"/>
  <c r="J19" i="1"/>
  <c r="J18" i="1"/>
  <c r="J17" i="1"/>
  <c r="J15" i="1"/>
  <c r="J13" i="1"/>
  <c r="J12" i="1"/>
  <c r="J11" i="1"/>
  <c r="J10" i="1"/>
  <c r="J7" i="1"/>
  <c r="J6" i="1"/>
  <c r="I16" i="1"/>
  <c r="J16" i="1" s="1"/>
  <c r="I14" i="1"/>
  <c r="J14" i="1" s="1"/>
  <c r="I11" i="1"/>
  <c r="I9" i="1"/>
  <c r="J9" i="1" s="1"/>
  <c r="I8" i="1"/>
  <c r="J8" i="1" s="1"/>
  <c r="H23" i="1"/>
  <c r="W6" i="4" l="1"/>
  <c r="W11" i="4" s="1"/>
  <c r="F47" i="1"/>
  <c r="G32" i="1"/>
  <c r="J23" i="1"/>
  <c r="E22" i="3"/>
  <c r="F7" i="3"/>
  <c r="F22" i="3" s="1"/>
  <c r="I23" i="1"/>
  <c r="G47" i="1"/>
  <c r="M84" i="1"/>
  <c r="N84" i="1"/>
  <c r="K84" i="1"/>
  <c r="I76" i="1"/>
  <c r="J78" i="1"/>
  <c r="I78" i="1"/>
  <c r="H73" i="1"/>
  <c r="I73" i="1" s="1"/>
  <c r="J67" i="1"/>
  <c r="L73" i="1"/>
  <c r="K70" i="1"/>
  <c r="N69" i="1" s="1"/>
  <c r="M69" i="1"/>
  <c r="L70" i="1" l="1"/>
  <c r="I79" i="1"/>
  <c r="F21" i="1"/>
  <c r="G21" i="1" s="1"/>
  <c r="G20" i="1"/>
  <c r="G19" i="1"/>
  <c r="F18" i="1"/>
  <c r="G18" i="1" s="1"/>
  <c r="F16" i="1"/>
  <c r="G16" i="1" s="1"/>
  <c r="F14" i="1"/>
  <c r="G14" i="1" s="1"/>
  <c r="F11" i="1"/>
  <c r="G11" i="1" s="1"/>
  <c r="G17" i="1"/>
  <c r="G15" i="1"/>
  <c r="G13" i="1"/>
  <c r="G12" i="1"/>
  <c r="G10" i="1"/>
  <c r="G9" i="1"/>
  <c r="F8" i="1"/>
  <c r="F23" i="1" s="1"/>
  <c r="G7" i="1"/>
  <c r="G6" i="1"/>
  <c r="G8" i="1" l="1"/>
  <c r="G23" i="1" s="1"/>
  <c r="M70" i="1" s="1"/>
  <c r="M73" i="1" l="1"/>
  <c r="I68" i="1"/>
  <c r="K68" i="1" s="1"/>
  <c r="L68" i="1" s="1"/>
</calcChain>
</file>

<file path=xl/sharedStrings.xml><?xml version="1.0" encoding="utf-8"?>
<sst xmlns="http://schemas.openxmlformats.org/spreadsheetml/2006/main" count="193" uniqueCount="121">
  <si>
    <t>Address</t>
  </si>
  <si>
    <t>survey no 177, hissa no 3A</t>
  </si>
  <si>
    <t>survey no 176, hissa no 1 &amp; 3 and survey no 179, hissa no 1</t>
  </si>
  <si>
    <t>survey no 177, hissa no 2 &amp; 3B</t>
  </si>
  <si>
    <t>Survey no 166, hissa No 2</t>
  </si>
  <si>
    <t>Survey no 182, hissa no 2 &amp; survey no 183, hissa no 1</t>
  </si>
  <si>
    <t>survey no 166, hissa no 1B</t>
  </si>
  <si>
    <t>Survey no 166, hissa no 3</t>
  </si>
  <si>
    <t>survey no 180 hissa no 6B</t>
  </si>
  <si>
    <t>survey no 177 hissa no 5</t>
  </si>
  <si>
    <t>survey no 177 hissa no 4 &amp; survey no 180, hissa no 3</t>
  </si>
  <si>
    <t>Survey no 179 hissa no 2 &amp; survey no 180 hissa no 4</t>
  </si>
  <si>
    <t>survey no 214 hissa no 5A</t>
  </si>
  <si>
    <t>Survey no 182 hissa no 5</t>
  </si>
  <si>
    <t>survey no 180 hissa no 2B &amp; survey no 182 hissa no 6B</t>
  </si>
  <si>
    <t>Survey no 161, hissa no 2B/1</t>
  </si>
  <si>
    <t>sq ft</t>
  </si>
  <si>
    <t>Dated:28/05/2008</t>
  </si>
  <si>
    <t>Dated:29/01/2011</t>
  </si>
  <si>
    <t>Dated:17/11/2008</t>
  </si>
  <si>
    <t>Dated:26/08/2010</t>
  </si>
  <si>
    <t>Dated:08/03/2008</t>
  </si>
  <si>
    <t>Dated:25/03/2009</t>
  </si>
  <si>
    <t>Dated:03/10/2008</t>
  </si>
  <si>
    <t>Dated:15/012/2008</t>
  </si>
  <si>
    <t>Dated:04/10/2010</t>
  </si>
  <si>
    <t>Dated:18/07/2008</t>
  </si>
  <si>
    <t>Dated:23/01/2009</t>
  </si>
  <si>
    <t>Dated:11/06/2008</t>
  </si>
  <si>
    <t>Dated:07/06/2008</t>
  </si>
  <si>
    <t>Dated:03/06/2001</t>
  </si>
  <si>
    <t>Dated:29/06/2012</t>
  </si>
  <si>
    <t>Total</t>
  </si>
  <si>
    <t>survey no 176 hissa no 2, survey no 180 hissa no 5B &amp; 
survey no 184 hissa no B</t>
  </si>
  <si>
    <t>Building</t>
  </si>
  <si>
    <t xml:space="preserve">Staff Quarters </t>
  </si>
  <si>
    <t>G+2</t>
  </si>
  <si>
    <t>Architecture College</t>
  </si>
  <si>
    <t>G+1</t>
  </si>
  <si>
    <t>Boys Hostel</t>
  </si>
  <si>
    <t>B+G+8</t>
  </si>
  <si>
    <t xml:space="preserve">Administration &amp; Academic </t>
  </si>
  <si>
    <t>B+G+4</t>
  </si>
  <si>
    <t xml:space="preserve">Girls Hostel </t>
  </si>
  <si>
    <t>B+G+6</t>
  </si>
  <si>
    <t>Academic</t>
  </si>
  <si>
    <t>Cafeteria</t>
  </si>
  <si>
    <t>Ground</t>
  </si>
  <si>
    <t>Sr. No.</t>
  </si>
  <si>
    <t>Deed No. / Dated</t>
  </si>
  <si>
    <r>
      <t xml:space="preserve">Area 
</t>
    </r>
    <r>
      <rPr>
        <b/>
        <i/>
        <sz val="11"/>
        <color theme="0"/>
        <rFont val="Arial"/>
        <family val="2"/>
      </rPr>
      <t>(In sq.mtr.)</t>
    </r>
  </si>
  <si>
    <r>
      <t xml:space="preserve">Area 
</t>
    </r>
    <r>
      <rPr>
        <b/>
        <i/>
        <sz val="11"/>
        <color theme="0"/>
        <rFont val="Arial"/>
        <family val="2"/>
      </rPr>
      <t>(In acres)</t>
    </r>
  </si>
  <si>
    <t>B+G+7</t>
  </si>
  <si>
    <t>No of Floors</t>
  </si>
  <si>
    <t>Survey No. 182 Hissa No. 3B</t>
  </si>
  <si>
    <t>As per Legal Audit Report</t>
  </si>
  <si>
    <r>
      <t xml:space="preserve">As per Legal Audit Report </t>
    </r>
    <r>
      <rPr>
        <b/>
        <i/>
        <sz val="11"/>
        <color theme="1"/>
        <rFont val="Arial"/>
        <family val="2"/>
      </rPr>
      <t>(in acres)</t>
    </r>
  </si>
  <si>
    <t>Dated:18/11/2008</t>
  </si>
  <si>
    <t>Survey no 161, Hissa no 2B/1</t>
  </si>
  <si>
    <t>Survey no 177, Hissa no 3A</t>
  </si>
  <si>
    <t>Survey no 176, Hissa no 1 &amp; 3 and Survey no 179, Hissa no 1</t>
  </si>
  <si>
    <t>Survey no 177, Hissa no 2 &amp; 3B</t>
  </si>
  <si>
    <t>Survey no 166, Hissa No 2</t>
  </si>
  <si>
    <t>Survey no 182, Hissa no 2 &amp; Survey no 183, Hissa no 1</t>
  </si>
  <si>
    <t>Survey no 166, Hissa no 1B</t>
  </si>
  <si>
    <t>Survey no 166, Hissa no 3</t>
  </si>
  <si>
    <t>Survey no 177 Hissa no 4 &amp; Survey no 180, Hissa no 3</t>
  </si>
  <si>
    <t>Survey no 180 Hissa no 6B</t>
  </si>
  <si>
    <t>Survey no 176 Hissa no 2, Survey no 180 Hissa no 5B &amp; 
Survey no 184 Hissa no B</t>
  </si>
  <si>
    <t>Survey no 177 Hissa no 5</t>
  </si>
  <si>
    <t>Survey no 179 Hissa no 2 &amp; Survey no 180 Hissa no 4</t>
  </si>
  <si>
    <t>Survey no 214 Hissa no 5A</t>
  </si>
  <si>
    <t>Survey no 182 Hissa no 5</t>
  </si>
  <si>
    <t>Survey no 180 Hissa no 2B &amp; Survey no 182 Hissa no 6B</t>
  </si>
  <si>
    <t>Survey no. 182 Hissa no. 3B</t>
  </si>
  <si>
    <t>Dated:11-03-2008</t>
  </si>
  <si>
    <t>Dated:29-04-2008</t>
  </si>
  <si>
    <t>Dated:16-04-2008</t>
  </si>
  <si>
    <t>Deed Date</t>
  </si>
  <si>
    <t>Address (Survey no. , Hissa no.)</t>
  </si>
  <si>
    <r>
      <t xml:space="preserve">Area 
</t>
    </r>
    <r>
      <rPr>
        <b/>
        <i/>
        <sz val="11"/>
        <color theme="0"/>
        <rFont val="Arial"/>
        <family val="2"/>
      </rPr>
      <t>(in acres)</t>
    </r>
  </si>
  <si>
    <r>
      <t xml:space="preserve">Area 
</t>
    </r>
    <r>
      <rPr>
        <b/>
        <i/>
        <sz val="11"/>
        <color theme="0"/>
        <rFont val="Arial"/>
        <family val="2"/>
      </rPr>
      <t>(in sq.mtr.)</t>
    </r>
  </si>
  <si>
    <t>BUILDING VALUATION</t>
  </si>
  <si>
    <t>Floor</t>
  </si>
  <si>
    <t>Particular</t>
  </si>
  <si>
    <t>Type of Structure</t>
  </si>
  <si>
    <t>Construction Category</t>
  </si>
  <si>
    <t>Condition of Structure</t>
  </si>
  <si>
    <t>Year of Construction</t>
  </si>
  <si>
    <t xml:space="preserve">Year of Valuation </t>
  </si>
  <si>
    <t>Salvage value</t>
  </si>
  <si>
    <t>Depreciation Rate</t>
  </si>
  <si>
    <t>Age Factor</t>
  </si>
  <si>
    <t>Total Govt. Guideline value</t>
  </si>
  <si>
    <t>Class B Construction (Ordinary)</t>
  </si>
  <si>
    <t>Good</t>
  </si>
  <si>
    <t>TOTAL</t>
  </si>
  <si>
    <t>Academic Building 1 and 2</t>
  </si>
  <si>
    <t>RCC Structure</t>
  </si>
  <si>
    <t>Academic Building 3</t>
  </si>
  <si>
    <r>
      <t>Govt. Guideline rates
(</t>
    </r>
    <r>
      <rPr>
        <i/>
        <sz val="11"/>
        <color rgb="FFFF0000"/>
        <rFont val="Calibri"/>
        <family val="2"/>
        <scheme val="minor"/>
      </rPr>
      <t>per sq. mtr.</t>
    </r>
    <r>
      <rPr>
        <b/>
        <sz val="11"/>
        <color rgb="FFFF0000"/>
        <rFont val="Calibri"/>
        <family val="2"/>
        <scheme val="minor"/>
      </rPr>
      <t>)</t>
    </r>
  </si>
  <si>
    <t>Boys Hostel Building 4 and 5</t>
  </si>
  <si>
    <t>School Building 6 and 7</t>
  </si>
  <si>
    <t>Girls and Boys Hostel 8</t>
  </si>
  <si>
    <t>Ground+ First+ Second</t>
  </si>
  <si>
    <t>Ground + First</t>
  </si>
  <si>
    <t xml:space="preserve">NA </t>
  </si>
  <si>
    <r>
      <t xml:space="preserve">Area 
</t>
    </r>
    <r>
      <rPr>
        <i/>
        <sz val="11"/>
        <color theme="1"/>
        <rFont val="Calibri"/>
        <family val="2"/>
        <scheme val="minor"/>
      </rPr>
      <t>(in sq mtr)</t>
    </r>
  </si>
  <si>
    <r>
      <t xml:space="preserve">Area 
</t>
    </r>
    <r>
      <rPr>
        <i/>
        <sz val="11"/>
        <color theme="1"/>
        <rFont val="Calibri"/>
        <family val="2"/>
        <scheme val="minor"/>
      </rPr>
      <t>(in sq ft)</t>
    </r>
  </si>
  <si>
    <r>
      <t xml:space="preserve">Height </t>
    </r>
    <r>
      <rPr>
        <i/>
        <sz val="11"/>
        <color theme="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</si>
  <si>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color theme="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</si>
  <si>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color theme="1"/>
        <rFont val="Calibri"/>
        <family val="2"/>
        <scheme val="minor"/>
      </rPr>
      <t>(in yrs.)</t>
    </r>
  </si>
  <si>
    <r>
      <t xml:space="preserve">Plinth Area  Rate 
</t>
    </r>
    <r>
      <rPr>
        <i/>
        <sz val="11"/>
        <color theme="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</si>
  <si>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In per sq. mtr.</t>
    </r>
    <r>
      <rPr>
        <b/>
        <i/>
        <sz val="11"/>
        <color theme="1"/>
        <rFont val="Calibri"/>
        <family val="2"/>
        <scheme val="minor"/>
      </rPr>
      <t>)</t>
    </r>
  </si>
  <si>
    <r>
      <t>Gross Replacement Value
(</t>
    </r>
    <r>
      <rPr>
        <i/>
        <sz val="11"/>
        <color theme="1"/>
        <rFont val="Calibri"/>
        <family val="2"/>
        <scheme val="minor"/>
      </rPr>
      <t>INR</t>
    </r>
    <r>
      <rPr>
        <b/>
        <sz val="11"/>
        <color theme="1"/>
        <rFont val="Calibri"/>
        <family val="2"/>
        <scheme val="minor"/>
      </rPr>
      <t>)</t>
    </r>
  </si>
  <si>
    <r>
      <t>Total Deterioration 
(</t>
    </r>
    <r>
      <rPr>
        <i/>
        <sz val="11"/>
        <color theme="1"/>
        <rFont val="Calibri"/>
        <family val="2"/>
        <scheme val="minor"/>
      </rPr>
      <t>INR</t>
    </r>
    <r>
      <rPr>
        <b/>
        <sz val="11"/>
        <color theme="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</si>
  <si>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color theme="1"/>
        <rFont val="Calibri"/>
        <family val="2"/>
        <scheme val="minor"/>
      </rPr>
      <t>INR</t>
    </r>
    <r>
      <rPr>
        <b/>
        <sz val="11"/>
        <color theme="1"/>
        <rFont val="Calibri"/>
        <family val="2"/>
        <scheme val="minor"/>
      </rPr>
      <t>)</t>
    </r>
  </si>
  <si>
    <r>
      <t xml:space="preserve">Premium </t>
    </r>
    <r>
      <rPr>
        <sz val="11"/>
        <color theme="1"/>
        <rFont val="Calibri"/>
        <family val="2"/>
        <scheme val="minor"/>
      </rPr>
      <t>(For additional aesthetics or renovation)</t>
    </r>
  </si>
  <si>
    <r>
      <t>Depreciated Replacement Market Value
(</t>
    </r>
    <r>
      <rPr>
        <i/>
        <sz val="11"/>
        <color theme="1"/>
        <rFont val="Calibri"/>
        <family val="2"/>
        <scheme val="minor"/>
      </rPr>
      <t>INR</t>
    </r>
    <r>
      <rPr>
        <b/>
        <sz val="11"/>
        <color theme="1"/>
        <rFont val="Calibri"/>
        <family val="2"/>
        <scheme val="minor"/>
      </rPr>
      <t>)</t>
    </r>
  </si>
  <si>
    <r>
      <t xml:space="preserve">REMARKS:
</t>
    </r>
    <r>
      <rPr>
        <i/>
        <sz val="11"/>
        <color theme="1"/>
        <rFont val="Calibri"/>
        <family val="2"/>
        <scheme val="minor"/>
      </rPr>
      <t>1. The above listed Buildings area located at AMITY UNIVERSITY MUMBAI, BHATAN POST - SOMATHNE, MUMBAI - PUNE EXPRESSWAY, PANVEL, BHATAN PADA, MAHARASHTRA (410206).
2. Built ip area has been taken based on Site Plan provided to us by the bank/ client. 
3. Structure valuation is done on the basis of 'Depreciated Cost Approach' method only.</t>
    </r>
  </si>
  <si>
    <t>MARKET VALUE OF STRUCTURES | UNIVERSITY CAMPUS | M/S RITVANAND BALVED EDUCATION FOUNDATION  | SITUATED AT: AMITY UNIVERSITY MUMBAI, BHATAN POST - SOMATHNE, MUMBAI - PUNE EXPRESSWAY, PANVEL, BHATAN PADA, MAHARASHTRA-410206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</si>
</sst>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00"/>
    <numFmt numFmtId="165" formatCode="_ * #,##0_ ;_ * \-#,##0_ ;_ * &quot;-&quot;??_ ;_ @_ "/>
    <numFmt numFmtId="166" formatCode="0.0000"/>
    <numFmt numFmtId="167" formatCode="_ [$₹-4009]\ * #,##0.00_ ;_ [$₹-4009]\ * \-#,##0.00_ ;_ [$₹-4009]\ * &quot;-&quot;??_ ;_ @_ "/>
    <numFmt numFmtId="168" formatCode="_ [$₹-4009]\ * #,##0_ ;_ [$₹-4009]\ * \-#,##0_ ;_ [$₹-4009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theme="4" tint="0.39994506668294322"/>
      </top>
      <bottom style="thick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1" applyFont="1"/>
    <xf numFmtId="164" fontId="0" fillId="0" borderId="0" xfId="0" applyNumberFormat="1"/>
    <xf numFmtId="165" fontId="0" fillId="0" borderId="0" xfId="1" applyNumberFormat="1" applyFont="1"/>
    <xf numFmtId="43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0" fillId="0" borderId="0" xfId="0" applyNumberFormat="1"/>
    <xf numFmtId="0" fontId="4" fillId="0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4" fillId="3" borderId="0" xfId="0" applyFont="1" applyFill="1"/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2" fontId="5" fillId="0" borderId="6" xfId="0" applyNumberFormat="1" applyFont="1" applyBorder="1"/>
    <xf numFmtId="166" fontId="4" fillId="0" borderId="0" xfId="0" applyNumberFormat="1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3" borderId="0" xfId="0" applyFont="1" applyFill="1" applyBorder="1"/>
    <xf numFmtId="0" fontId="0" fillId="3" borderId="0" xfId="0" applyFill="1" applyBorder="1"/>
    <xf numFmtId="0" fontId="1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167" fontId="0" fillId="3" borderId="0" xfId="0" applyNumberFormat="1" applyFill="1" applyBorder="1" applyAlignment="1">
      <alignment horizontal="center" vertical="center" wrapText="1"/>
    </xf>
    <xf numFmtId="168" fontId="0" fillId="3" borderId="0" xfId="0" applyNumberFormat="1" applyFill="1" applyBorder="1" applyAlignment="1">
      <alignment horizontal="center" vertical="center" wrapText="1"/>
    </xf>
    <xf numFmtId="167" fontId="7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43" fontId="0" fillId="3" borderId="0" xfId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43" fontId="7" fillId="3" borderId="9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8" fontId="7" fillId="3" borderId="9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22"/>
  <sheetViews>
    <sheetView workbookViewId="0">
      <selection activeCell="F5" sqref="F5"/>
    </sheetView>
  </sheetViews>
  <sheetFormatPr defaultRowHeight="14.25" x14ac:dyDescent="0.25"/>
  <cols>
    <col min="1" max="1" width="9.140625" style="28"/>
    <col min="2" max="2" width="7.85546875" style="28" bestFit="1" customWidth="1"/>
    <col min="3" max="3" width="18.85546875" style="28" bestFit="1" customWidth="1"/>
    <col min="4" max="4" width="58.28515625" style="28" customWidth="1"/>
    <col min="5" max="5" width="9.140625" style="28"/>
    <col min="6" max="6" width="7.42578125" style="28" bestFit="1" customWidth="1"/>
    <col min="7" max="16384" width="9.140625" style="28"/>
  </cols>
  <sheetData>
    <row r="4" spans="2:6" ht="43.5" x14ac:dyDescent="0.25">
      <c r="B4" s="5" t="s">
        <v>48</v>
      </c>
      <c r="C4" s="5" t="s">
        <v>78</v>
      </c>
      <c r="D4" s="5" t="s">
        <v>79</v>
      </c>
      <c r="E4" s="6" t="s">
        <v>81</v>
      </c>
      <c r="F4" s="6" t="s">
        <v>80</v>
      </c>
    </row>
    <row r="5" spans="2:6" x14ac:dyDescent="0.25">
      <c r="B5" s="7">
        <v>1</v>
      </c>
      <c r="C5" s="30" t="s">
        <v>75</v>
      </c>
      <c r="D5" s="31" t="s">
        <v>58</v>
      </c>
      <c r="E5" s="7">
        <v>700</v>
      </c>
      <c r="F5" s="15">
        <f>E5*0.000247105</f>
        <v>0.1729735</v>
      </c>
    </row>
    <row r="6" spans="2:6" x14ac:dyDescent="0.25">
      <c r="B6" s="7">
        <v>2</v>
      </c>
      <c r="C6" s="30" t="s">
        <v>76</v>
      </c>
      <c r="D6" s="31" t="s">
        <v>59</v>
      </c>
      <c r="E6" s="29">
        <v>3000</v>
      </c>
      <c r="F6" s="15">
        <f t="shared" ref="F6:F21" si="0">E6*0.000247105</f>
        <v>0.74131500000000006</v>
      </c>
    </row>
    <row r="7" spans="2:6" ht="15" customHeight="1" x14ac:dyDescent="0.25">
      <c r="B7" s="7">
        <v>3</v>
      </c>
      <c r="C7" s="7" t="s">
        <v>57</v>
      </c>
      <c r="D7" s="31" t="s">
        <v>60</v>
      </c>
      <c r="E7" s="29">
        <f>2200+1800+2600</f>
        <v>6600</v>
      </c>
      <c r="F7" s="15">
        <f t="shared" si="0"/>
        <v>1.6308930000000001</v>
      </c>
    </row>
    <row r="8" spans="2:6" x14ac:dyDescent="0.25">
      <c r="B8" s="7">
        <v>4</v>
      </c>
      <c r="C8" s="7" t="s">
        <v>27</v>
      </c>
      <c r="D8" s="31" t="s">
        <v>61</v>
      </c>
      <c r="E8" s="29">
        <f>4002+7100</f>
        <v>11102</v>
      </c>
      <c r="F8" s="15">
        <f t="shared" si="0"/>
        <v>2.74335971</v>
      </c>
    </row>
    <row r="9" spans="2:6" x14ac:dyDescent="0.25">
      <c r="B9" s="7">
        <v>5</v>
      </c>
      <c r="C9" s="7" t="s">
        <v>27</v>
      </c>
      <c r="D9" s="31" t="s">
        <v>62</v>
      </c>
      <c r="E9" s="29">
        <v>4000</v>
      </c>
      <c r="F9" s="15">
        <f t="shared" si="0"/>
        <v>0.98842000000000008</v>
      </c>
    </row>
    <row r="10" spans="2:6" x14ac:dyDescent="0.25">
      <c r="B10" s="7">
        <v>6</v>
      </c>
      <c r="C10" s="7" t="s">
        <v>20</v>
      </c>
      <c r="D10" s="31" t="s">
        <v>63</v>
      </c>
      <c r="E10" s="29">
        <f>500+2700</f>
        <v>3200</v>
      </c>
      <c r="F10" s="15">
        <f t="shared" si="0"/>
        <v>0.79073599999999999</v>
      </c>
    </row>
    <row r="11" spans="2:6" x14ac:dyDescent="0.25">
      <c r="B11" s="7">
        <v>7</v>
      </c>
      <c r="C11" s="7" t="s">
        <v>17</v>
      </c>
      <c r="D11" s="31" t="s">
        <v>64</v>
      </c>
      <c r="E11" s="29">
        <v>6700</v>
      </c>
      <c r="F11" s="15">
        <f t="shared" si="0"/>
        <v>1.6556035</v>
      </c>
    </row>
    <row r="12" spans="2:6" x14ac:dyDescent="0.25">
      <c r="B12" s="7">
        <v>8</v>
      </c>
      <c r="C12" s="7" t="s">
        <v>18</v>
      </c>
      <c r="D12" s="31" t="s">
        <v>65</v>
      </c>
      <c r="E12" s="29">
        <v>202</v>
      </c>
      <c r="F12" s="15">
        <f t="shared" si="0"/>
        <v>4.9915210000000002E-2</v>
      </c>
    </row>
    <row r="13" spans="2:6" x14ac:dyDescent="0.25">
      <c r="B13" s="7">
        <v>9</v>
      </c>
      <c r="C13" s="7" t="s">
        <v>24</v>
      </c>
      <c r="D13" s="31" t="s">
        <v>66</v>
      </c>
      <c r="E13" s="29">
        <f>1108+3100</f>
        <v>4208</v>
      </c>
      <c r="F13" s="15">
        <f t="shared" si="0"/>
        <v>1.03981784</v>
      </c>
    </row>
    <row r="14" spans="2:6" x14ac:dyDescent="0.25">
      <c r="B14" s="7">
        <v>10</v>
      </c>
      <c r="C14" s="7" t="s">
        <v>26</v>
      </c>
      <c r="D14" s="31" t="s">
        <v>67</v>
      </c>
      <c r="E14" s="29">
        <v>305</v>
      </c>
      <c r="F14" s="15">
        <f t="shared" si="0"/>
        <v>7.5367025000000004E-2</v>
      </c>
    </row>
    <row r="15" spans="2:6" ht="28.5" x14ac:dyDescent="0.25">
      <c r="B15" s="7">
        <v>11</v>
      </c>
      <c r="C15" s="7" t="s">
        <v>22</v>
      </c>
      <c r="D15" s="31" t="s">
        <v>68</v>
      </c>
      <c r="E15" s="29">
        <f>3904+700+5709</f>
        <v>10313</v>
      </c>
      <c r="F15" s="15">
        <f t="shared" si="0"/>
        <v>2.548393865</v>
      </c>
    </row>
    <row r="16" spans="2:6" x14ac:dyDescent="0.25">
      <c r="B16" s="7">
        <v>12</v>
      </c>
      <c r="C16" s="7" t="s">
        <v>25</v>
      </c>
      <c r="D16" s="31" t="s">
        <v>69</v>
      </c>
      <c r="E16" s="29">
        <v>807</v>
      </c>
      <c r="F16" s="15">
        <f t="shared" si="0"/>
        <v>0.19941373500000001</v>
      </c>
    </row>
    <row r="17" spans="2:6" x14ac:dyDescent="0.25">
      <c r="B17" s="7">
        <v>13</v>
      </c>
      <c r="C17" s="7" t="s">
        <v>29</v>
      </c>
      <c r="D17" s="31" t="s">
        <v>70</v>
      </c>
      <c r="E17" s="29">
        <f>300+1800</f>
        <v>2100</v>
      </c>
      <c r="F17" s="15">
        <f t="shared" si="0"/>
        <v>0.51892050000000001</v>
      </c>
    </row>
    <row r="18" spans="2:6" x14ac:dyDescent="0.25">
      <c r="B18" s="7">
        <v>14</v>
      </c>
      <c r="C18" s="7" t="s">
        <v>30</v>
      </c>
      <c r="D18" s="31" t="s">
        <v>71</v>
      </c>
      <c r="E18" s="29">
        <v>4405</v>
      </c>
      <c r="F18" s="15">
        <f t="shared" si="0"/>
        <v>1.088497525</v>
      </c>
    </row>
    <row r="19" spans="2:6" x14ac:dyDescent="0.25">
      <c r="B19" s="7">
        <v>15</v>
      </c>
      <c r="C19" s="7" t="s">
        <v>31</v>
      </c>
      <c r="D19" s="31" t="s">
        <v>72</v>
      </c>
      <c r="E19" s="7">
        <v>200</v>
      </c>
      <c r="F19" s="15">
        <f t="shared" si="0"/>
        <v>4.9421E-2</v>
      </c>
    </row>
    <row r="20" spans="2:6" x14ac:dyDescent="0.25">
      <c r="B20" s="27">
        <v>16</v>
      </c>
      <c r="C20" s="27" t="s">
        <v>28</v>
      </c>
      <c r="D20" s="32" t="s">
        <v>73</v>
      </c>
      <c r="E20" s="7">
        <f>3800+405</f>
        <v>4205</v>
      </c>
      <c r="F20" s="15">
        <f t="shared" si="0"/>
        <v>1.039076525</v>
      </c>
    </row>
    <row r="21" spans="2:6" x14ac:dyDescent="0.25">
      <c r="B21" s="24">
        <v>17</v>
      </c>
      <c r="C21" s="30" t="s">
        <v>77</v>
      </c>
      <c r="D21" s="33" t="s">
        <v>74</v>
      </c>
      <c r="E21" s="7">
        <v>406</v>
      </c>
      <c r="F21" s="15">
        <f t="shared" si="0"/>
        <v>0.10032463000000001</v>
      </c>
    </row>
    <row r="22" spans="2:6" ht="15" x14ac:dyDescent="0.25">
      <c r="B22" s="34" t="s">
        <v>32</v>
      </c>
      <c r="C22" s="34"/>
      <c r="D22" s="34"/>
      <c r="E22" s="9">
        <f>SUM(E5:E21)</f>
        <v>62453</v>
      </c>
      <c r="F22" s="10">
        <f>SUM(F5:F21)</f>
        <v>15.432448565</v>
      </c>
    </row>
  </sheetData>
  <mergeCells count="1">
    <mergeCell ref="B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F13"/>
  <sheetViews>
    <sheetView workbookViewId="0">
      <selection activeCell="D24" sqref="D24"/>
    </sheetView>
  </sheetViews>
  <sheetFormatPr defaultRowHeight="15" x14ac:dyDescent="0.25"/>
  <cols>
    <col min="4" max="4" width="7.85546875" bestFit="1" customWidth="1"/>
    <col min="5" max="5" width="27.140625" bestFit="1" customWidth="1"/>
    <col min="6" max="6" width="13.5703125" bestFit="1" customWidth="1"/>
  </cols>
  <sheetData>
    <row r="6" spans="4:6" x14ac:dyDescent="0.25">
      <c r="D6" s="5" t="s">
        <v>48</v>
      </c>
      <c r="E6" s="5" t="s">
        <v>34</v>
      </c>
      <c r="F6" s="5" t="s">
        <v>53</v>
      </c>
    </row>
    <row r="7" spans="4:6" x14ac:dyDescent="0.25">
      <c r="D7" s="7">
        <v>1</v>
      </c>
      <c r="E7" s="7" t="s">
        <v>35</v>
      </c>
      <c r="F7" s="7" t="s">
        <v>36</v>
      </c>
    </row>
    <row r="8" spans="4:6" x14ac:dyDescent="0.25">
      <c r="D8" s="7">
        <v>2</v>
      </c>
      <c r="E8" s="7" t="s">
        <v>37</v>
      </c>
      <c r="F8" s="7" t="s">
        <v>38</v>
      </c>
    </row>
    <row r="9" spans="4:6" x14ac:dyDescent="0.25">
      <c r="D9" s="7">
        <v>3</v>
      </c>
      <c r="E9" s="7" t="s">
        <v>39</v>
      </c>
      <c r="F9" s="7" t="s">
        <v>40</v>
      </c>
    </row>
    <row r="10" spans="4:6" x14ac:dyDescent="0.25">
      <c r="D10" s="7">
        <v>4</v>
      </c>
      <c r="E10" s="7" t="s">
        <v>41</v>
      </c>
      <c r="F10" s="7" t="s">
        <v>42</v>
      </c>
    </row>
    <row r="11" spans="4:6" x14ac:dyDescent="0.25">
      <c r="D11" s="7">
        <v>5</v>
      </c>
      <c r="E11" s="7" t="s">
        <v>43</v>
      </c>
      <c r="F11" s="7" t="s">
        <v>44</v>
      </c>
    </row>
    <row r="12" spans="4:6" x14ac:dyDescent="0.25">
      <c r="D12" s="7">
        <v>6</v>
      </c>
      <c r="E12" s="7" t="s">
        <v>45</v>
      </c>
      <c r="F12" s="7" t="s">
        <v>52</v>
      </c>
    </row>
    <row r="13" spans="4:6" x14ac:dyDescent="0.25">
      <c r="D13" s="7">
        <v>7</v>
      </c>
      <c r="E13" s="7" t="s">
        <v>46</v>
      </c>
      <c r="F13" s="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N84"/>
  <sheetViews>
    <sheetView topLeftCell="A25" zoomScaleNormal="100" workbookViewId="0">
      <selection activeCell="B29" sqref="B29:G47"/>
    </sheetView>
  </sheetViews>
  <sheetFormatPr defaultRowHeight="15" x14ac:dyDescent="0.25"/>
  <cols>
    <col min="4" max="4" width="17.85546875" bestFit="1" customWidth="1"/>
    <col min="5" max="5" width="58.28515625" bestFit="1" customWidth="1"/>
    <col min="6" max="6" width="13.7109375" customWidth="1"/>
    <col min="7" max="7" width="10.5703125" customWidth="1"/>
    <col min="8" max="8" width="13.42578125" customWidth="1"/>
    <col min="9" max="9" width="15.42578125" bestFit="1" customWidth="1"/>
    <col min="10" max="10" width="11.28515625" bestFit="1" customWidth="1"/>
    <col min="11" max="11" width="17" bestFit="1" customWidth="1"/>
    <col min="12" max="12" width="15.42578125" bestFit="1" customWidth="1"/>
    <col min="13" max="13" width="11" bestFit="1" customWidth="1"/>
  </cols>
  <sheetData>
    <row r="5" spans="2:10" ht="45" x14ac:dyDescent="0.25">
      <c r="B5" s="5" t="s">
        <v>48</v>
      </c>
      <c r="C5" s="5"/>
      <c r="D5" s="5" t="s">
        <v>49</v>
      </c>
      <c r="E5" s="5" t="s">
        <v>0</v>
      </c>
      <c r="F5" s="6" t="s">
        <v>50</v>
      </c>
      <c r="G5" s="6" t="s">
        <v>51</v>
      </c>
      <c r="H5" s="14" t="s">
        <v>55</v>
      </c>
      <c r="I5" s="16"/>
      <c r="J5" s="16"/>
    </row>
    <row r="6" spans="2:10" x14ac:dyDescent="0.25">
      <c r="B6" s="7">
        <v>1</v>
      </c>
      <c r="C6" s="7"/>
      <c r="D6" s="7" t="s">
        <v>21</v>
      </c>
      <c r="E6" s="24" t="s">
        <v>15</v>
      </c>
      <c r="F6" s="7">
        <v>700</v>
      </c>
      <c r="G6" s="15">
        <f>F6*0.000247</f>
        <v>0.1729</v>
      </c>
      <c r="H6" s="16">
        <v>0.17499999999999999</v>
      </c>
      <c r="I6" s="16">
        <v>700</v>
      </c>
      <c r="J6" s="17">
        <f>I6*0.000247105</f>
        <v>0.1729735</v>
      </c>
    </row>
    <row r="7" spans="2:10" x14ac:dyDescent="0.25">
      <c r="B7" s="7">
        <v>2</v>
      </c>
      <c r="C7" s="7"/>
      <c r="D7" s="7" t="s">
        <v>23</v>
      </c>
      <c r="E7" s="24" t="s">
        <v>1</v>
      </c>
      <c r="F7" s="7">
        <v>3000</v>
      </c>
      <c r="G7" s="15">
        <f>F7*0.000247</f>
        <v>0.74099999999999999</v>
      </c>
      <c r="H7" s="16">
        <v>0.75</v>
      </c>
      <c r="I7" s="18">
        <v>3000</v>
      </c>
      <c r="J7" s="17">
        <f t="shared" ref="J7:J22" si="0">I7*0.000247105</f>
        <v>0.74131500000000006</v>
      </c>
    </row>
    <row r="8" spans="2:10" x14ac:dyDescent="0.25">
      <c r="B8" s="7">
        <v>3</v>
      </c>
      <c r="C8" s="7"/>
      <c r="D8" s="7" t="s">
        <v>19</v>
      </c>
      <c r="E8" s="24" t="s">
        <v>2</v>
      </c>
      <c r="F8" s="24">
        <f>2200+2600</f>
        <v>4800</v>
      </c>
      <c r="G8" s="15">
        <f>F8*0.000247</f>
        <v>1.1856</v>
      </c>
      <c r="H8" s="16">
        <v>1.2</v>
      </c>
      <c r="I8" s="18">
        <f>2200+1800+2600</f>
        <v>6600</v>
      </c>
      <c r="J8" s="17">
        <f t="shared" si="0"/>
        <v>1.6308930000000001</v>
      </c>
    </row>
    <row r="9" spans="2:10" x14ac:dyDescent="0.25">
      <c r="B9" s="7">
        <v>4</v>
      </c>
      <c r="C9" s="7"/>
      <c r="D9" s="7" t="s">
        <v>27</v>
      </c>
      <c r="E9" s="24" t="s">
        <v>3</v>
      </c>
      <c r="F9" s="24">
        <v>4002</v>
      </c>
      <c r="G9" s="15">
        <f t="shared" ref="G9:G21" si="1">F9*0.000247</f>
        <v>0.98849399999999998</v>
      </c>
      <c r="H9" s="16">
        <v>1.7749999999999999</v>
      </c>
      <c r="I9" s="18">
        <f>4002+7100</f>
        <v>11102</v>
      </c>
      <c r="J9" s="17">
        <f t="shared" si="0"/>
        <v>2.74335971</v>
      </c>
    </row>
    <row r="10" spans="2:10" x14ac:dyDescent="0.25">
      <c r="B10" s="7">
        <v>5</v>
      </c>
      <c r="C10" s="7"/>
      <c r="D10" s="7" t="s">
        <v>27</v>
      </c>
      <c r="E10" s="24" t="s">
        <v>4</v>
      </c>
      <c r="F10" s="24">
        <v>4000</v>
      </c>
      <c r="G10" s="15">
        <f t="shared" si="1"/>
        <v>0.98799999999999999</v>
      </c>
      <c r="H10" s="16">
        <v>1</v>
      </c>
      <c r="I10" s="18">
        <v>4000</v>
      </c>
      <c r="J10" s="17">
        <f t="shared" si="0"/>
        <v>0.98842000000000008</v>
      </c>
    </row>
    <row r="11" spans="2:10" x14ac:dyDescent="0.25">
      <c r="B11" s="7">
        <v>6</v>
      </c>
      <c r="C11" s="7"/>
      <c r="D11" s="7" t="s">
        <v>20</v>
      </c>
      <c r="E11" s="24" t="s">
        <v>5</v>
      </c>
      <c r="F11" s="24">
        <f>500+2700</f>
        <v>3200</v>
      </c>
      <c r="G11" s="15">
        <f t="shared" si="1"/>
        <v>0.79039999999999999</v>
      </c>
      <c r="H11" s="16">
        <v>0.8</v>
      </c>
      <c r="I11" s="18">
        <f>500+2700</f>
        <v>3200</v>
      </c>
      <c r="J11" s="17">
        <f t="shared" si="0"/>
        <v>0.79073599999999999</v>
      </c>
    </row>
    <row r="12" spans="2:10" x14ac:dyDescent="0.25">
      <c r="B12" s="7">
        <v>7</v>
      </c>
      <c r="C12" s="7"/>
      <c r="D12" s="7" t="s">
        <v>17</v>
      </c>
      <c r="E12" s="24" t="s">
        <v>6</v>
      </c>
      <c r="F12" s="24">
        <v>6700</v>
      </c>
      <c r="G12" s="15">
        <f t="shared" si="1"/>
        <v>1.6548999999999998</v>
      </c>
      <c r="H12" s="16">
        <v>1.675</v>
      </c>
      <c r="I12" s="18">
        <v>6700</v>
      </c>
      <c r="J12" s="17">
        <f t="shared" si="0"/>
        <v>1.6556035</v>
      </c>
    </row>
    <row r="13" spans="2:10" x14ac:dyDescent="0.25">
      <c r="B13" s="7">
        <v>8</v>
      </c>
      <c r="C13" s="7"/>
      <c r="D13" s="7" t="s">
        <v>18</v>
      </c>
      <c r="E13" s="24" t="s">
        <v>7</v>
      </c>
      <c r="F13" s="24">
        <v>202</v>
      </c>
      <c r="G13" s="15">
        <f t="shared" si="1"/>
        <v>4.9893999999999994E-2</v>
      </c>
      <c r="H13" s="16">
        <v>5.5E-2</v>
      </c>
      <c r="I13" s="18">
        <v>202</v>
      </c>
      <c r="J13" s="17">
        <f t="shared" si="0"/>
        <v>4.9915210000000002E-2</v>
      </c>
    </row>
    <row r="14" spans="2:10" x14ac:dyDescent="0.25">
      <c r="B14" s="7">
        <v>9</v>
      </c>
      <c r="C14" s="7"/>
      <c r="D14" s="7" t="s">
        <v>24</v>
      </c>
      <c r="E14" s="24" t="s">
        <v>10</v>
      </c>
      <c r="F14" s="24">
        <f>1108+3100</f>
        <v>4208</v>
      </c>
      <c r="G14" s="15">
        <f t="shared" si="1"/>
        <v>1.0393759999999999</v>
      </c>
      <c r="H14" s="16">
        <v>1.07</v>
      </c>
      <c r="I14" s="18">
        <f>1108+3100</f>
        <v>4208</v>
      </c>
      <c r="J14" s="17">
        <f t="shared" si="0"/>
        <v>1.03981784</v>
      </c>
    </row>
    <row r="15" spans="2:10" x14ac:dyDescent="0.25">
      <c r="B15" s="7">
        <v>10</v>
      </c>
      <c r="C15" s="7"/>
      <c r="D15" s="7" t="s">
        <v>26</v>
      </c>
      <c r="E15" s="24" t="s">
        <v>8</v>
      </c>
      <c r="F15" s="24">
        <v>305</v>
      </c>
      <c r="G15" s="15">
        <f t="shared" si="1"/>
        <v>7.5334999999999999E-2</v>
      </c>
      <c r="H15" s="16">
        <v>8.7499999999999994E-2</v>
      </c>
      <c r="I15" s="18">
        <v>305</v>
      </c>
      <c r="J15" s="17">
        <f t="shared" si="0"/>
        <v>7.5367025000000004E-2</v>
      </c>
    </row>
    <row r="16" spans="2:10" ht="28.5" x14ac:dyDescent="0.25">
      <c r="B16" s="7">
        <v>11</v>
      </c>
      <c r="C16" s="7"/>
      <c r="D16" s="7" t="s">
        <v>22</v>
      </c>
      <c r="E16" s="25" t="s">
        <v>33</v>
      </c>
      <c r="F16" s="24">
        <f>3904+700+5709</f>
        <v>10313</v>
      </c>
      <c r="G16" s="15">
        <f t="shared" si="1"/>
        <v>2.5473109999999997</v>
      </c>
      <c r="H16" s="16">
        <v>2.6074999999999999</v>
      </c>
      <c r="I16" s="18">
        <f>3904+700+5709</f>
        <v>10313</v>
      </c>
      <c r="J16" s="17">
        <f t="shared" si="0"/>
        <v>2.548393865</v>
      </c>
    </row>
    <row r="17" spans="2:10" x14ac:dyDescent="0.25">
      <c r="B17" s="7">
        <v>12</v>
      </c>
      <c r="C17" s="7"/>
      <c r="D17" s="7" t="s">
        <v>25</v>
      </c>
      <c r="E17" s="24" t="s">
        <v>9</v>
      </c>
      <c r="F17" s="24">
        <v>807</v>
      </c>
      <c r="G17" s="15">
        <f t="shared" si="1"/>
        <v>0.19932899999999998</v>
      </c>
      <c r="H17" s="16"/>
      <c r="I17" s="16">
        <v>807</v>
      </c>
      <c r="J17" s="17">
        <f t="shared" si="0"/>
        <v>0.19941373500000001</v>
      </c>
    </row>
    <row r="18" spans="2:10" x14ac:dyDescent="0.25">
      <c r="B18" s="7">
        <v>13</v>
      </c>
      <c r="C18" s="7"/>
      <c r="D18" s="7" t="s">
        <v>29</v>
      </c>
      <c r="E18" s="24" t="s">
        <v>11</v>
      </c>
      <c r="F18" s="24">
        <f>308+1800</f>
        <v>2108</v>
      </c>
      <c r="G18" s="15">
        <f t="shared" si="1"/>
        <v>0.52067599999999992</v>
      </c>
      <c r="H18" s="16"/>
      <c r="I18" s="16">
        <f>308+1800</f>
        <v>2108</v>
      </c>
      <c r="J18" s="17">
        <f t="shared" si="0"/>
        <v>0.52089733999999999</v>
      </c>
    </row>
    <row r="19" spans="2:10" x14ac:dyDescent="0.25">
      <c r="B19" s="7">
        <v>14</v>
      </c>
      <c r="C19" s="7"/>
      <c r="D19" s="7" t="s">
        <v>30</v>
      </c>
      <c r="E19" s="24" t="s">
        <v>12</v>
      </c>
      <c r="F19" s="24">
        <v>4405</v>
      </c>
      <c r="G19" s="15">
        <f t="shared" si="1"/>
        <v>1.0880349999999999</v>
      </c>
      <c r="H19" s="16"/>
      <c r="I19" s="16">
        <v>4405</v>
      </c>
      <c r="J19" s="17">
        <f t="shared" si="0"/>
        <v>1.088497525</v>
      </c>
    </row>
    <row r="20" spans="2:10" x14ac:dyDescent="0.25">
      <c r="B20" s="7">
        <v>15</v>
      </c>
      <c r="C20" s="7"/>
      <c r="D20" s="7" t="s">
        <v>31</v>
      </c>
      <c r="E20" s="24" t="s">
        <v>13</v>
      </c>
      <c r="F20" s="24">
        <v>200</v>
      </c>
      <c r="G20" s="15">
        <f t="shared" si="1"/>
        <v>4.9399999999999999E-2</v>
      </c>
      <c r="H20" s="16"/>
      <c r="I20" s="16">
        <v>200</v>
      </c>
      <c r="J20" s="17">
        <f t="shared" si="0"/>
        <v>4.9421E-2</v>
      </c>
    </row>
    <row r="21" spans="2:10" x14ac:dyDescent="0.25">
      <c r="B21" s="7">
        <v>16</v>
      </c>
      <c r="C21" s="7"/>
      <c r="D21" s="7" t="s">
        <v>28</v>
      </c>
      <c r="E21" s="24" t="s">
        <v>14</v>
      </c>
      <c r="F21" s="24">
        <f>3800+405</f>
        <v>4205</v>
      </c>
      <c r="G21" s="15">
        <f t="shared" si="1"/>
        <v>1.038635</v>
      </c>
      <c r="H21" s="16"/>
      <c r="I21" s="16">
        <f>3800+405</f>
        <v>4205</v>
      </c>
      <c r="J21" s="17">
        <f t="shared" si="0"/>
        <v>1.039076525</v>
      </c>
    </row>
    <row r="22" spans="2:10" x14ac:dyDescent="0.25">
      <c r="C22">
        <v>3350</v>
      </c>
      <c r="D22" s="12">
        <v>39554</v>
      </c>
      <c r="E22" s="11" t="s">
        <v>54</v>
      </c>
      <c r="F22" s="26"/>
      <c r="G22" s="17"/>
      <c r="H22" s="16"/>
      <c r="I22" s="16">
        <v>406</v>
      </c>
      <c r="J22" s="17">
        <f t="shared" si="0"/>
        <v>0.10032463000000001</v>
      </c>
    </row>
    <row r="23" spans="2:10" x14ac:dyDescent="0.25">
      <c r="B23" s="35" t="s">
        <v>32</v>
      </c>
      <c r="C23" s="36"/>
      <c r="D23" s="36"/>
      <c r="E23" s="37"/>
      <c r="F23" s="9">
        <f>SUM(F6:F22)</f>
        <v>53155</v>
      </c>
      <c r="G23" s="19">
        <f>SUM(G6:G22)</f>
        <v>13.129284999999999</v>
      </c>
      <c r="H23" s="20">
        <f>SUM(H6:H21)</f>
        <v>11.195</v>
      </c>
      <c r="I23" s="21">
        <f>SUM(I6:I22)</f>
        <v>62461</v>
      </c>
      <c r="J23" s="22">
        <f>SUM(J6:J22)</f>
        <v>15.434425404999999</v>
      </c>
    </row>
    <row r="29" spans="2:10" ht="59.25" x14ac:dyDescent="0.25">
      <c r="B29" s="5" t="s">
        <v>48</v>
      </c>
      <c r="C29" s="5"/>
      <c r="D29" s="5" t="s">
        <v>49</v>
      </c>
      <c r="E29" s="5" t="s">
        <v>0</v>
      </c>
      <c r="F29" s="6" t="s">
        <v>50</v>
      </c>
      <c r="G29" s="6" t="s">
        <v>51</v>
      </c>
      <c r="H29" s="14" t="s">
        <v>56</v>
      </c>
      <c r="I29" s="16"/>
      <c r="J29" s="16"/>
    </row>
    <row r="30" spans="2:10" x14ac:dyDescent="0.25">
      <c r="B30" s="7">
        <v>1</v>
      </c>
      <c r="C30" s="7"/>
      <c r="D30" s="7" t="s">
        <v>21</v>
      </c>
      <c r="E30" s="7" t="s">
        <v>15</v>
      </c>
      <c r="F30" s="16">
        <v>700</v>
      </c>
      <c r="G30" s="17">
        <f>F30*0.000247105</f>
        <v>0.1729735</v>
      </c>
      <c r="H30" s="16">
        <v>0.17499999999999999</v>
      </c>
    </row>
    <row r="31" spans="2:10" x14ac:dyDescent="0.25">
      <c r="B31" s="7">
        <v>2</v>
      </c>
      <c r="C31" s="7"/>
      <c r="D31" s="7" t="s">
        <v>23</v>
      </c>
      <c r="E31" s="7" t="s">
        <v>1</v>
      </c>
      <c r="F31" s="18">
        <v>3000</v>
      </c>
      <c r="G31" s="17">
        <f t="shared" ref="G31:G46" si="2">F31*0.000247105</f>
        <v>0.74131500000000006</v>
      </c>
      <c r="H31" s="16">
        <v>0.75</v>
      </c>
    </row>
    <row r="32" spans="2:10" x14ac:dyDescent="0.25">
      <c r="B32" s="7">
        <v>3</v>
      </c>
      <c r="C32" s="7"/>
      <c r="D32" s="7" t="s">
        <v>57</v>
      </c>
      <c r="E32" s="7" t="s">
        <v>2</v>
      </c>
      <c r="F32" s="18">
        <f>2200+1800+2600</f>
        <v>6600</v>
      </c>
      <c r="G32" s="17">
        <f t="shared" si="2"/>
        <v>1.6308930000000001</v>
      </c>
      <c r="H32" s="16">
        <v>1.2</v>
      </c>
    </row>
    <row r="33" spans="2:9" x14ac:dyDescent="0.25">
      <c r="B33" s="7">
        <v>4</v>
      </c>
      <c r="C33" s="7"/>
      <c r="D33" s="7" t="s">
        <v>27</v>
      </c>
      <c r="E33" s="7" t="s">
        <v>3</v>
      </c>
      <c r="F33" s="18">
        <f>4002+7100</f>
        <v>11102</v>
      </c>
      <c r="G33" s="17">
        <f t="shared" si="2"/>
        <v>2.74335971</v>
      </c>
      <c r="H33" s="16">
        <v>1.7749999999999999</v>
      </c>
    </row>
    <row r="34" spans="2:9" x14ac:dyDescent="0.25">
      <c r="B34" s="7">
        <v>5</v>
      </c>
      <c r="C34" s="7"/>
      <c r="D34" s="7" t="s">
        <v>27</v>
      </c>
      <c r="E34" s="7" t="s">
        <v>4</v>
      </c>
      <c r="F34" s="18">
        <v>4000</v>
      </c>
      <c r="G34" s="17">
        <f t="shared" si="2"/>
        <v>0.98842000000000008</v>
      </c>
      <c r="H34" s="16">
        <v>1</v>
      </c>
    </row>
    <row r="35" spans="2:9" x14ac:dyDescent="0.25">
      <c r="B35" s="7">
        <v>6</v>
      </c>
      <c r="C35" s="7"/>
      <c r="D35" s="7" t="s">
        <v>20</v>
      </c>
      <c r="E35" s="7" t="s">
        <v>5</v>
      </c>
      <c r="F35" s="18">
        <f>500+2700</f>
        <v>3200</v>
      </c>
      <c r="G35" s="17">
        <f t="shared" si="2"/>
        <v>0.79073599999999999</v>
      </c>
      <c r="H35" s="16">
        <v>0.8</v>
      </c>
    </row>
    <row r="36" spans="2:9" x14ac:dyDescent="0.25">
      <c r="B36" s="7">
        <v>7</v>
      </c>
      <c r="C36" s="7"/>
      <c r="D36" s="7" t="s">
        <v>17</v>
      </c>
      <c r="E36" s="7" t="s">
        <v>6</v>
      </c>
      <c r="F36" s="18">
        <v>6700</v>
      </c>
      <c r="G36" s="17">
        <f t="shared" si="2"/>
        <v>1.6556035</v>
      </c>
      <c r="H36" s="16">
        <v>1.675</v>
      </c>
    </row>
    <row r="37" spans="2:9" x14ac:dyDescent="0.25">
      <c r="B37" s="7">
        <v>8</v>
      </c>
      <c r="C37" s="7"/>
      <c r="D37" s="7" t="s">
        <v>18</v>
      </c>
      <c r="E37" s="7" t="s">
        <v>7</v>
      </c>
      <c r="F37" s="18">
        <v>202</v>
      </c>
      <c r="G37" s="17">
        <f t="shared" si="2"/>
        <v>4.9915210000000002E-2</v>
      </c>
      <c r="H37" s="16">
        <v>5.5E-2</v>
      </c>
    </row>
    <row r="38" spans="2:9" x14ac:dyDescent="0.25">
      <c r="B38" s="7">
        <v>9</v>
      </c>
      <c r="C38" s="7"/>
      <c r="D38" s="7" t="s">
        <v>24</v>
      </c>
      <c r="E38" s="7" t="s">
        <v>10</v>
      </c>
      <c r="F38" s="18">
        <f>1108+3100</f>
        <v>4208</v>
      </c>
      <c r="G38" s="17">
        <f t="shared" si="2"/>
        <v>1.03981784</v>
      </c>
      <c r="H38" s="16">
        <v>1.07</v>
      </c>
    </row>
    <row r="39" spans="2:9" x14ac:dyDescent="0.25">
      <c r="B39" s="7">
        <v>10</v>
      </c>
      <c r="C39" s="7"/>
      <c r="D39" s="7" t="s">
        <v>26</v>
      </c>
      <c r="E39" s="7" t="s">
        <v>8</v>
      </c>
      <c r="F39" s="18">
        <v>305</v>
      </c>
      <c r="G39" s="17">
        <f t="shared" si="2"/>
        <v>7.5367025000000004E-2</v>
      </c>
      <c r="H39" s="16">
        <v>8.7499999999999994E-2</v>
      </c>
    </row>
    <row r="40" spans="2:9" ht="28.5" x14ac:dyDescent="0.25">
      <c r="B40" s="7">
        <v>11</v>
      </c>
      <c r="C40" s="7"/>
      <c r="D40" s="7" t="s">
        <v>22</v>
      </c>
      <c r="E40" s="8" t="s">
        <v>33</v>
      </c>
      <c r="F40" s="18">
        <f>3904+700+5709</f>
        <v>10313</v>
      </c>
      <c r="G40" s="17">
        <f t="shared" si="2"/>
        <v>2.548393865</v>
      </c>
      <c r="H40" s="16">
        <v>2.6074999999999999</v>
      </c>
    </row>
    <row r="41" spans="2:9" x14ac:dyDescent="0.25">
      <c r="B41" s="7">
        <v>12</v>
      </c>
      <c r="C41" s="7"/>
      <c r="D41" s="7" t="s">
        <v>25</v>
      </c>
      <c r="E41" s="7" t="s">
        <v>9</v>
      </c>
      <c r="F41" s="18">
        <v>807</v>
      </c>
      <c r="G41" s="17">
        <f t="shared" si="2"/>
        <v>0.19941373500000001</v>
      </c>
      <c r="H41" s="23">
        <f>I41*0.000247105</f>
        <v>0.19941373500000001</v>
      </c>
      <c r="I41" s="16">
        <v>807</v>
      </c>
    </row>
    <row r="42" spans="2:9" x14ac:dyDescent="0.25">
      <c r="B42" s="7">
        <v>13</v>
      </c>
      <c r="C42" s="7"/>
      <c r="D42" s="7" t="s">
        <v>29</v>
      </c>
      <c r="E42" s="7" t="s">
        <v>11</v>
      </c>
      <c r="F42" s="18">
        <f>300+1800</f>
        <v>2100</v>
      </c>
      <c r="G42" s="17">
        <f t="shared" si="2"/>
        <v>0.51892050000000001</v>
      </c>
      <c r="H42" s="23">
        <f>I42*0.000247105</f>
        <v>0.52089733999999999</v>
      </c>
      <c r="I42" s="16">
        <f>308+1800</f>
        <v>2108</v>
      </c>
    </row>
    <row r="43" spans="2:9" x14ac:dyDescent="0.25">
      <c r="B43" s="7">
        <v>14</v>
      </c>
      <c r="C43" s="7"/>
      <c r="D43" s="7" t="s">
        <v>30</v>
      </c>
      <c r="E43" s="7" t="s">
        <v>12</v>
      </c>
      <c r="F43" s="18">
        <v>4405</v>
      </c>
      <c r="G43" s="17">
        <f t="shared" si="2"/>
        <v>1.088497525</v>
      </c>
      <c r="H43" s="23">
        <f>I43*0.000247105</f>
        <v>1.088497525</v>
      </c>
      <c r="I43" s="16">
        <v>4405</v>
      </c>
    </row>
    <row r="44" spans="2:9" x14ac:dyDescent="0.25">
      <c r="B44" s="7">
        <v>15</v>
      </c>
      <c r="C44" s="7"/>
      <c r="D44" s="7" t="s">
        <v>31</v>
      </c>
      <c r="E44" s="7" t="s">
        <v>13</v>
      </c>
      <c r="F44" s="16">
        <v>200</v>
      </c>
      <c r="G44" s="17">
        <f t="shared" si="2"/>
        <v>4.9421E-2</v>
      </c>
      <c r="H44" s="23">
        <f>I44*0.000247105</f>
        <v>4.9421E-2</v>
      </c>
      <c r="I44" s="16">
        <v>200</v>
      </c>
    </row>
    <row r="45" spans="2:9" x14ac:dyDescent="0.25">
      <c r="B45" s="7">
        <v>16</v>
      </c>
      <c r="C45" s="7"/>
      <c r="D45" s="7" t="s">
        <v>28</v>
      </c>
      <c r="E45" s="7" t="s">
        <v>14</v>
      </c>
      <c r="F45" s="16">
        <f>3800+405</f>
        <v>4205</v>
      </c>
      <c r="G45" s="17">
        <f t="shared" si="2"/>
        <v>1.039076525</v>
      </c>
      <c r="H45" s="23">
        <f>I45*0.000247105</f>
        <v>1.039076525</v>
      </c>
      <c r="I45" s="16">
        <f>3800+405</f>
        <v>4205</v>
      </c>
    </row>
    <row r="46" spans="2:9" x14ac:dyDescent="0.25">
      <c r="B46" s="13">
        <v>17</v>
      </c>
      <c r="C46">
        <v>3350</v>
      </c>
      <c r="D46" s="12">
        <v>39554</v>
      </c>
      <c r="E46" s="11" t="s">
        <v>54</v>
      </c>
      <c r="F46" s="16">
        <v>406</v>
      </c>
      <c r="G46" s="17">
        <f t="shared" si="2"/>
        <v>0.10032463000000001</v>
      </c>
      <c r="H46" s="23"/>
    </row>
    <row r="47" spans="2:9" x14ac:dyDescent="0.25">
      <c r="B47" s="35" t="s">
        <v>32</v>
      </c>
      <c r="C47" s="36"/>
      <c r="D47" s="36"/>
      <c r="E47" s="37"/>
      <c r="F47" s="21">
        <f>SUM(F30:F46)</f>
        <v>62453</v>
      </c>
      <c r="G47" s="22">
        <f>SUM(G30:G46)</f>
        <v>15.432448565</v>
      </c>
      <c r="H47" s="20">
        <f>SUM(H30:H45)</f>
        <v>14.092306125</v>
      </c>
    </row>
    <row r="67" spans="8:14" x14ac:dyDescent="0.25">
      <c r="J67" s="3">
        <f>15000*53663</f>
        <v>804945000</v>
      </c>
    </row>
    <row r="68" spans="8:14" x14ac:dyDescent="0.25">
      <c r="I68">
        <f>G23*43560</f>
        <v>571911.65460000001</v>
      </c>
      <c r="J68" t="s">
        <v>16</v>
      </c>
      <c r="K68">
        <f>I68/1000</f>
        <v>571.91165460000002</v>
      </c>
      <c r="L68" s="1">
        <f>K68*5000000</f>
        <v>2859558273</v>
      </c>
    </row>
    <row r="69" spans="8:14" x14ac:dyDescent="0.25">
      <c r="K69">
        <v>1000</v>
      </c>
      <c r="L69">
        <v>1000000</v>
      </c>
      <c r="M69">
        <f>L69/K69</f>
        <v>1000</v>
      </c>
      <c r="N69">
        <f>L69*K70</f>
        <v>23000</v>
      </c>
    </row>
    <row r="70" spans="8:14" x14ac:dyDescent="0.25">
      <c r="K70" s="2">
        <f>K69*0.000023</f>
        <v>2.3E-2</v>
      </c>
      <c r="L70" s="3">
        <f>L69/K70</f>
        <v>43478260.869565219</v>
      </c>
      <c r="M70" s="4">
        <f>L70*G23</f>
        <v>570838478.2608695</v>
      </c>
    </row>
    <row r="72" spans="8:14" x14ac:dyDescent="0.25">
      <c r="K72">
        <v>1000</v>
      </c>
      <c r="L72">
        <v>1000000</v>
      </c>
    </row>
    <row r="73" spans="8:14" x14ac:dyDescent="0.25">
      <c r="H73">
        <f>35000000+200000</f>
        <v>35200000</v>
      </c>
      <c r="I73">
        <f>H73*13.13</f>
        <v>462176000</v>
      </c>
      <c r="K73">
        <v>2.2957000000000002E-2</v>
      </c>
      <c r="L73" s="3">
        <f>L72/K73</f>
        <v>43559698.566885911</v>
      </c>
      <c r="M73" s="3">
        <f>L73*G23</f>
        <v>571907696.99873662</v>
      </c>
    </row>
    <row r="76" spans="8:14" x14ac:dyDescent="0.25">
      <c r="I76">
        <f>H71*13.13</f>
        <v>0</v>
      </c>
    </row>
    <row r="77" spans="8:14" x14ac:dyDescent="0.25">
      <c r="I77">
        <v>30000000</v>
      </c>
    </row>
    <row r="78" spans="8:14" x14ac:dyDescent="0.25">
      <c r="I78">
        <f>1013511*1450</f>
        <v>1469590950</v>
      </c>
      <c r="J78">
        <f>30*1013511</f>
        <v>30405330</v>
      </c>
    </row>
    <row r="79" spans="8:14" x14ac:dyDescent="0.25">
      <c r="I79">
        <f>I78+I77+I73</f>
        <v>1961766950</v>
      </c>
    </row>
    <row r="81" spans="11:14" x14ac:dyDescent="0.25">
      <c r="K81">
        <v>1469590950</v>
      </c>
    </row>
    <row r="82" spans="11:14" x14ac:dyDescent="0.25">
      <c r="K82">
        <v>462176000</v>
      </c>
    </row>
    <row r="83" spans="11:14" x14ac:dyDescent="0.25">
      <c r="K83">
        <v>30000000</v>
      </c>
    </row>
    <row r="84" spans="11:14" x14ac:dyDescent="0.25">
      <c r="K84">
        <f>SUM(K81:K83)</f>
        <v>1961766950</v>
      </c>
      <c r="L84">
        <v>1961800000</v>
      </c>
      <c r="M84">
        <f>L84*0.85</f>
        <v>1667530000</v>
      </c>
      <c r="N84">
        <f>L84*0.75</f>
        <v>1471350000</v>
      </c>
    </row>
  </sheetData>
  <mergeCells count="2">
    <mergeCell ref="B23:E23"/>
    <mergeCell ref="B47:E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452BD-2070-4B0F-8383-3DBD69CE9132}">
  <dimension ref="B2:Z12"/>
  <sheetViews>
    <sheetView tabSelected="1" workbookViewId="0">
      <selection activeCell="B4" sqref="B4:Z12"/>
    </sheetView>
  </sheetViews>
  <sheetFormatPr defaultRowHeight="15" x14ac:dyDescent="0.25"/>
  <cols>
    <col min="1" max="1" width="2" style="39" customWidth="1"/>
    <col min="2" max="2" width="9.140625" style="39"/>
    <col min="3" max="3" width="14.85546875" style="39" customWidth="1"/>
    <col min="4" max="4" width="24" style="39" customWidth="1"/>
    <col min="5" max="5" width="19" style="39" customWidth="1"/>
    <col min="6" max="6" width="9.140625" style="39" hidden="1" customWidth="1"/>
    <col min="7" max="7" width="13" style="39" customWidth="1"/>
    <col min="8" max="8" width="9.140625" style="39" customWidth="1"/>
    <col min="9" max="9" width="11.5703125" style="39" hidden="1" customWidth="1"/>
    <col min="10" max="10" width="9.140625" style="39" hidden="1" customWidth="1"/>
    <col min="11" max="11" width="12.140625" style="39" hidden="1" customWidth="1"/>
    <col min="12" max="12" width="9.85546875" style="39" hidden="1" customWidth="1"/>
    <col min="13" max="13" width="10.7109375" style="39" hidden="1" customWidth="1"/>
    <col min="14" max="15" width="9.140625" style="39" hidden="1" customWidth="1"/>
    <col min="16" max="16" width="14" style="39" hidden="1" customWidth="1"/>
    <col min="17" max="17" width="10.5703125" style="39" hidden="1" customWidth="1"/>
    <col min="18" max="18" width="11.5703125" style="39" hidden="1" customWidth="1"/>
    <col min="19" max="19" width="14.28515625" style="39" bestFit="1" customWidth="1"/>
    <col min="20" max="20" width="13.28515625" style="39" hidden="1" customWidth="1"/>
    <col min="21" max="21" width="14.28515625" style="39" hidden="1" customWidth="1"/>
    <col min="22" max="22" width="17.7109375" style="39" hidden="1" customWidth="1"/>
    <col min="23" max="23" width="19.7109375" style="39" customWidth="1"/>
    <col min="24" max="24" width="20.28515625" style="39" hidden="1" customWidth="1"/>
    <col min="25" max="25" width="9.5703125" style="39" hidden="1" customWidth="1"/>
    <col min="26" max="26" width="16.7109375" style="39" hidden="1" customWidth="1"/>
    <col min="27" max="16384" width="9.140625" style="39"/>
  </cols>
  <sheetData>
    <row r="2" spans="2:26" ht="23.25" x14ac:dyDescent="0.35">
      <c r="B2" s="38" t="s">
        <v>82</v>
      </c>
    </row>
    <row r="4" spans="2:26" ht="33" customHeight="1" x14ac:dyDescent="0.25">
      <c r="B4" s="54" t="s">
        <v>120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2:26" ht="60" x14ac:dyDescent="0.25">
      <c r="B5" s="55" t="s">
        <v>48</v>
      </c>
      <c r="C5" s="55" t="s">
        <v>83</v>
      </c>
      <c r="D5" s="56" t="s">
        <v>84</v>
      </c>
      <c r="E5" s="55" t="s">
        <v>85</v>
      </c>
      <c r="F5" s="55" t="s">
        <v>86</v>
      </c>
      <c r="G5" s="55" t="s">
        <v>87</v>
      </c>
      <c r="H5" s="55" t="s">
        <v>107</v>
      </c>
      <c r="I5" s="55" t="s">
        <v>108</v>
      </c>
      <c r="J5" s="55" t="s">
        <v>109</v>
      </c>
      <c r="K5" s="55" t="s">
        <v>88</v>
      </c>
      <c r="L5" s="55" t="s">
        <v>89</v>
      </c>
      <c r="M5" s="55" t="s">
        <v>110</v>
      </c>
      <c r="N5" s="55" t="s">
        <v>111</v>
      </c>
      <c r="O5" s="55" t="s">
        <v>90</v>
      </c>
      <c r="P5" s="55" t="s">
        <v>91</v>
      </c>
      <c r="Q5" s="55" t="s">
        <v>112</v>
      </c>
      <c r="R5" s="55" t="s">
        <v>113</v>
      </c>
      <c r="S5" s="55" t="s">
        <v>114</v>
      </c>
      <c r="T5" s="55" t="s">
        <v>115</v>
      </c>
      <c r="U5" s="55" t="s">
        <v>116</v>
      </c>
      <c r="V5" s="55" t="s">
        <v>117</v>
      </c>
      <c r="W5" s="55" t="s">
        <v>118</v>
      </c>
      <c r="X5" s="40" t="s">
        <v>100</v>
      </c>
      <c r="Y5" s="40" t="s">
        <v>92</v>
      </c>
      <c r="Z5" s="40" t="s">
        <v>93</v>
      </c>
    </row>
    <row r="6" spans="2:26" ht="48.75" customHeight="1" x14ac:dyDescent="0.25">
      <c r="B6" s="41">
        <v>1</v>
      </c>
      <c r="C6" s="41" t="s">
        <v>104</v>
      </c>
      <c r="D6" s="41" t="s">
        <v>97</v>
      </c>
      <c r="E6" s="41" t="s">
        <v>98</v>
      </c>
      <c r="F6" s="41" t="s">
        <v>94</v>
      </c>
      <c r="G6" s="41" t="s">
        <v>95</v>
      </c>
      <c r="H6" s="42">
        <f>2803.08*3</f>
        <v>8409.24</v>
      </c>
      <c r="I6" s="48">
        <f>H6*10.7639</f>
        <v>90516.218435999996</v>
      </c>
      <c r="J6" s="41" t="s">
        <v>106</v>
      </c>
      <c r="K6" s="41">
        <v>2013</v>
      </c>
      <c r="L6" s="41">
        <v>2022</v>
      </c>
      <c r="M6" s="41">
        <f>L6-K6</f>
        <v>9</v>
      </c>
      <c r="N6" s="41">
        <v>60</v>
      </c>
      <c r="O6" s="41">
        <v>0.05</v>
      </c>
      <c r="P6" s="43">
        <f>(1-O6)/N6</f>
        <v>1.5833333333333331E-2</v>
      </c>
      <c r="Q6" s="44">
        <v>2000</v>
      </c>
      <c r="R6" s="44">
        <f>Q6*10.7639</f>
        <v>21527.8</v>
      </c>
      <c r="S6" s="45">
        <f>R6*H6</f>
        <v>181032436.87199998</v>
      </c>
      <c r="T6" s="45">
        <f>S6*P6*M6</f>
        <v>25797122.254259992</v>
      </c>
      <c r="U6" s="45">
        <f>MAX(S6-T6,0)</f>
        <v>155235314.61773998</v>
      </c>
      <c r="V6" s="41">
        <v>0</v>
      </c>
      <c r="W6" s="45">
        <f>IF(U6&gt;O6*S6,U6*(1+V6),S6*O6)</f>
        <v>155235314.61773998</v>
      </c>
      <c r="X6" s="44"/>
      <c r="Y6" s="41">
        <v>0.99</v>
      </c>
      <c r="Z6" s="44">
        <f>(X6*Y6*H6)</f>
        <v>0</v>
      </c>
    </row>
    <row r="7" spans="2:26" ht="30" x14ac:dyDescent="0.25">
      <c r="B7" s="41">
        <v>2</v>
      </c>
      <c r="C7" s="41" t="s">
        <v>104</v>
      </c>
      <c r="D7" s="41" t="s">
        <v>99</v>
      </c>
      <c r="E7" s="41" t="s">
        <v>98</v>
      </c>
      <c r="F7" s="41"/>
      <c r="G7" s="41" t="s">
        <v>95</v>
      </c>
      <c r="H7" s="42">
        <f>1401.54*3</f>
        <v>4204.62</v>
      </c>
      <c r="I7" s="48">
        <f>H7*10.7639</f>
        <v>45258.109217999998</v>
      </c>
      <c r="J7" s="41" t="s">
        <v>106</v>
      </c>
      <c r="K7" s="41">
        <v>2013</v>
      </c>
      <c r="L7" s="41">
        <v>2022</v>
      </c>
      <c r="M7" s="41">
        <f>L7-K7</f>
        <v>9</v>
      </c>
      <c r="N7" s="41">
        <v>60</v>
      </c>
      <c r="O7" s="41">
        <v>0.05</v>
      </c>
      <c r="P7" s="43">
        <f>(1-O7)/N7</f>
        <v>1.5833333333333331E-2</v>
      </c>
      <c r="Q7" s="44">
        <v>2000</v>
      </c>
      <c r="R7" s="44">
        <f>Q7*10.7639</f>
        <v>21527.8</v>
      </c>
      <c r="S7" s="45">
        <f>R7*H7</f>
        <v>90516218.43599999</v>
      </c>
      <c r="T7" s="45">
        <f>S7*P7*M7</f>
        <v>12898561.127129996</v>
      </c>
      <c r="U7" s="45">
        <f>MAX(S7-T7,0)</f>
        <v>77617657.308869988</v>
      </c>
      <c r="V7" s="41">
        <v>0</v>
      </c>
      <c r="W7" s="45">
        <f>IF(U7&gt;O7*S7,U7*(1+V7),S7*O7)</f>
        <v>77617657.308869988</v>
      </c>
      <c r="X7" s="44"/>
      <c r="Y7" s="41">
        <v>0.99</v>
      </c>
      <c r="Z7" s="44">
        <f>(X7*Y7*H7)</f>
        <v>0</v>
      </c>
    </row>
    <row r="8" spans="2:26" ht="30" x14ac:dyDescent="0.25">
      <c r="B8" s="41">
        <v>3</v>
      </c>
      <c r="C8" s="41" t="s">
        <v>104</v>
      </c>
      <c r="D8" s="41" t="s">
        <v>101</v>
      </c>
      <c r="E8" s="41" t="s">
        <v>98</v>
      </c>
      <c r="F8" s="41"/>
      <c r="G8" s="41" t="s">
        <v>95</v>
      </c>
      <c r="H8" s="42">
        <f>834.42*3</f>
        <v>2503.2599999999998</v>
      </c>
      <c r="I8" s="48">
        <f>H8*10.7639</f>
        <v>26944.840313999997</v>
      </c>
      <c r="J8" s="41" t="s">
        <v>106</v>
      </c>
      <c r="K8" s="41">
        <v>2013</v>
      </c>
      <c r="L8" s="41">
        <v>2022</v>
      </c>
      <c r="M8" s="41">
        <f>L8-K8</f>
        <v>9</v>
      </c>
      <c r="N8" s="41">
        <v>60</v>
      </c>
      <c r="O8" s="41">
        <v>0.05</v>
      </c>
      <c r="P8" s="43">
        <f>(1-O8)/N8</f>
        <v>1.5833333333333331E-2</v>
      </c>
      <c r="Q8" s="44">
        <v>1500</v>
      </c>
      <c r="R8" s="44">
        <f>Q8*10.7639</f>
        <v>16145.849999999999</v>
      </c>
      <c r="S8" s="45">
        <f>R8*H8</f>
        <v>40417260.470999993</v>
      </c>
      <c r="T8" s="45">
        <f>S8*P8*M8</f>
        <v>5759459.6171174981</v>
      </c>
      <c r="U8" s="45">
        <f>MAX(S8-T8,0)</f>
        <v>34657800.853882492</v>
      </c>
      <c r="V8" s="41">
        <v>0</v>
      </c>
      <c r="W8" s="45">
        <f>IF(U8&gt;O8*S8,U8*(1+V8),S8*O8)</f>
        <v>34657800.853882492</v>
      </c>
      <c r="X8" s="44"/>
      <c r="Y8" s="41">
        <v>0.99</v>
      </c>
      <c r="Z8" s="44">
        <f>(X8*Y8*H8)</f>
        <v>0</v>
      </c>
    </row>
    <row r="9" spans="2:26" x14ac:dyDescent="0.25">
      <c r="B9" s="41">
        <v>4</v>
      </c>
      <c r="C9" s="41" t="s">
        <v>105</v>
      </c>
      <c r="D9" s="41" t="s">
        <v>102</v>
      </c>
      <c r="E9" s="41" t="s">
        <v>98</v>
      </c>
      <c r="F9" s="41"/>
      <c r="G9" s="41" t="s">
        <v>95</v>
      </c>
      <c r="H9" s="42">
        <f>1933.1*2</f>
        <v>3866.2</v>
      </c>
      <c r="I9" s="48">
        <f>H9*10.7639</f>
        <v>41615.390179999995</v>
      </c>
      <c r="J9" s="41" t="s">
        <v>106</v>
      </c>
      <c r="K9" s="41">
        <v>2013</v>
      </c>
      <c r="L9" s="41">
        <v>2022</v>
      </c>
      <c r="M9" s="41">
        <f>L9-K9</f>
        <v>9</v>
      </c>
      <c r="N9" s="41">
        <v>60</v>
      </c>
      <c r="O9" s="41">
        <v>0.05</v>
      </c>
      <c r="P9" s="43">
        <f>(1-O9)/N9</f>
        <v>1.5833333333333331E-2</v>
      </c>
      <c r="Q9" s="44">
        <v>2000</v>
      </c>
      <c r="R9" s="44">
        <f>Q9*10.7639</f>
        <v>21527.8</v>
      </c>
      <c r="S9" s="45">
        <f>R9*H9</f>
        <v>83230780.359999999</v>
      </c>
      <c r="T9" s="45">
        <f>S9*P9*M9</f>
        <v>11860386.201299999</v>
      </c>
      <c r="U9" s="45">
        <f>MAX(S9-T9,0)</f>
        <v>71370394.158700004</v>
      </c>
      <c r="V9" s="41">
        <v>0</v>
      </c>
      <c r="W9" s="45">
        <f>IF(U9&gt;O9*S9,U9*(1+V9),S9*O9)</f>
        <v>71370394.158700004</v>
      </c>
      <c r="X9" s="44"/>
      <c r="Y9" s="41">
        <v>0.99</v>
      </c>
      <c r="Z9" s="44">
        <f>(X9*Y9*H9)</f>
        <v>0</v>
      </c>
    </row>
    <row r="10" spans="2:26" ht="15.75" thickBot="1" x14ac:dyDescent="0.3">
      <c r="B10" s="41">
        <v>5</v>
      </c>
      <c r="C10" s="41" t="s">
        <v>105</v>
      </c>
      <c r="D10" s="41" t="s">
        <v>103</v>
      </c>
      <c r="E10" s="41" t="s">
        <v>98</v>
      </c>
      <c r="F10" s="41"/>
      <c r="G10" s="41" t="s">
        <v>95</v>
      </c>
      <c r="H10" s="42">
        <f>499.42*2</f>
        <v>998.84</v>
      </c>
      <c r="I10" s="48">
        <f>H10*10.7639</f>
        <v>10751.413876000001</v>
      </c>
      <c r="J10" s="41" t="s">
        <v>106</v>
      </c>
      <c r="K10" s="41">
        <v>2013</v>
      </c>
      <c r="L10" s="41">
        <v>2022</v>
      </c>
      <c r="M10" s="41">
        <f>L10-K10</f>
        <v>9</v>
      </c>
      <c r="N10" s="41">
        <v>60</v>
      </c>
      <c r="O10" s="41">
        <v>0.05</v>
      </c>
      <c r="P10" s="43">
        <f>(1-O10)/N10</f>
        <v>1.5833333333333331E-2</v>
      </c>
      <c r="Q10" s="44">
        <v>1500</v>
      </c>
      <c r="R10" s="44">
        <f>Q10*10.7639</f>
        <v>16145.849999999999</v>
      </c>
      <c r="S10" s="45">
        <f>R10*H10</f>
        <v>16127120.813999999</v>
      </c>
      <c r="T10" s="45">
        <f>S10*P10*M10</f>
        <v>2298114.7159949997</v>
      </c>
      <c r="U10" s="45">
        <f>MAX(S10-T10,0)</f>
        <v>13829006.098005001</v>
      </c>
      <c r="V10" s="41">
        <v>0</v>
      </c>
      <c r="W10" s="45">
        <f>IF(U10&gt;O10*S10,U10*(1+V10),S10*O10)</f>
        <v>13829006.098005001</v>
      </c>
      <c r="X10" s="44"/>
      <c r="Y10" s="41">
        <v>0.99</v>
      </c>
      <c r="Z10" s="44">
        <f>(X10*Y10*H10)</f>
        <v>0</v>
      </c>
    </row>
    <row r="11" spans="2:26" ht="16.5" thickTop="1" thickBot="1" x14ac:dyDescent="0.3">
      <c r="B11" s="49" t="s">
        <v>96</v>
      </c>
      <c r="C11" s="49"/>
      <c r="D11" s="49"/>
      <c r="E11" s="49"/>
      <c r="F11" s="49"/>
      <c r="G11" s="49"/>
      <c r="H11" s="50">
        <f>SUM(H6:H10)</f>
        <v>19982.16</v>
      </c>
      <c r="I11" s="51">
        <f>SUM(I6:I6)</f>
        <v>90516.218435999996</v>
      </c>
      <c r="J11" s="52"/>
      <c r="K11" s="52"/>
      <c r="L11" s="52"/>
      <c r="M11" s="52"/>
      <c r="N11" s="52"/>
      <c r="O11" s="52"/>
      <c r="P11" s="52"/>
      <c r="Q11" s="52"/>
      <c r="R11" s="52"/>
      <c r="S11" s="53">
        <f>SUM(S6:S10)</f>
        <v>411323816.95300001</v>
      </c>
      <c r="T11" s="53">
        <f>SUM(T6:T10)</f>
        <v>58613643.915802479</v>
      </c>
      <c r="U11" s="53">
        <f>SUM(U6:U10)</f>
        <v>352710173.03719747</v>
      </c>
      <c r="V11" s="52"/>
      <c r="W11" s="53">
        <f>SUM(W6:W10)</f>
        <v>352710173.03719747</v>
      </c>
      <c r="X11" s="41"/>
      <c r="Y11" s="41"/>
      <c r="Z11" s="46">
        <f>SUM(Z6:Z6)</f>
        <v>0</v>
      </c>
    </row>
    <row r="12" spans="2:26" ht="99.75" customHeight="1" thickTop="1" x14ac:dyDescent="0.25">
      <c r="B12" s="47" t="s">
        <v>119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</sheetData>
  <mergeCells count="3">
    <mergeCell ref="B11:G11"/>
    <mergeCell ref="B12:Z12"/>
    <mergeCell ref="B4:W4"/>
  </mergeCells>
  <dataValidations count="1">
    <dataValidation type="list" allowBlank="1" showInputMessage="1" showErrorMessage="1" promptTitle="Condition of Structure" prompt="Condition of Structure" sqref="G6:G10" xr:uid="{993F68C0-5B8F-479A-9FF4-95D7CF469E71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Area details in Deeds</vt:lpstr>
      <vt:lpstr>Buildings Detail</vt:lpstr>
      <vt:lpstr>Sheet 2</vt:lpstr>
      <vt:lpstr>Construction Rate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Tejas Bharadwaj</cp:lastModifiedBy>
  <dcterms:created xsi:type="dcterms:W3CDTF">2022-01-15T07:21:30Z</dcterms:created>
  <dcterms:modified xsi:type="dcterms:W3CDTF">2022-05-20T07:51:41Z</dcterms:modified>
</cp:coreProperties>
</file>