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firstSheet="11" activeTab="11"/>
  </bookViews>
  <sheets>
    <sheet name="Lead" sheetId="1" state="hidden" r:id="rId1"/>
    <sheet name="Dep" sheetId="10" state="hidden" r:id="rId2"/>
    <sheet name="Sheet3" sheetId="11" state="hidden" r:id="rId3"/>
    <sheet name="Sheet1" sheetId="14" state="hidden" r:id="rId4"/>
    <sheet name="Land" sheetId="15" state="hidden" r:id="rId5"/>
    <sheet name="Building" sheetId="16" state="hidden" r:id="rId6"/>
    <sheet name="Vehicles" sheetId="18" state="hidden" r:id="rId7"/>
    <sheet name="Office Equipment" sheetId="19" state="hidden" r:id="rId8"/>
    <sheet name="Furniture &amp; Fixture" sheetId="20" state="hidden" r:id="rId9"/>
    <sheet name="Insurance Spares-30.09.21" sheetId="22" state="hidden" r:id="rId10"/>
    <sheet name="P&amp;M" sheetId="17" state="hidden" r:id="rId11"/>
    <sheet name="Building Valuation" sheetId="29" r:id="rId12"/>
    <sheet name="Plant &amp; Machinery" sheetId="24" r:id="rId13"/>
    <sheet name="Office Equip" sheetId="25" r:id="rId14"/>
    <sheet name="Furniture &amp; Fixture " sheetId="26" r:id="rId15"/>
    <sheet name="Insurance Spares-dec,19" sheetId="21" state="hidden" r:id="rId16"/>
    <sheet name="Insurance Spares-31.03.19" sheetId="23" state="hidden" r:id="rId17"/>
  </sheets>
  <externalReferences>
    <externalReference r:id="rId18"/>
  </externalReferences>
  <definedNames>
    <definedName name="_xlnm._FilterDatabase" localSheetId="5" hidden="1">Building!$A$4:$AF$4</definedName>
    <definedName name="_xlnm._FilterDatabase" localSheetId="4" hidden="1">Land!$B$4:$P$4</definedName>
    <definedName name="_xlnm._FilterDatabase" localSheetId="10" hidden="1">'P&amp;M'!$B$3:$P$3</definedName>
    <definedName name="_xlnm._FilterDatabase" localSheetId="6" hidden="1">Vehicles!$B$4:$P$4</definedName>
    <definedName name="_xlnm.Print_Area" localSheetId="0">Lead!$A$1:$M$18</definedName>
    <definedName name="_xlnm.Print_Area" localSheetId="3">Sheet1!$A$1:$G$74</definedName>
  </definedNames>
  <calcPr calcId="152511"/>
</workbook>
</file>

<file path=xl/calcChain.xml><?xml version="1.0" encoding="utf-8"?>
<calcChain xmlns="http://schemas.openxmlformats.org/spreadsheetml/2006/main">
  <c r="N27" i="29" l="1"/>
  <c r="M27" i="29"/>
  <c r="P26" i="29"/>
  <c r="L26" i="29"/>
  <c r="I26" i="29"/>
  <c r="Q25" i="29"/>
  <c r="R25" i="29" s="1"/>
  <c r="T25" i="29" s="1"/>
  <c r="P25" i="29"/>
  <c r="L25" i="29"/>
  <c r="I25" i="29"/>
  <c r="P24" i="29"/>
  <c r="L24" i="29"/>
  <c r="I24" i="29"/>
  <c r="Q23" i="29"/>
  <c r="R23" i="29" s="1"/>
  <c r="T23" i="29" s="1"/>
  <c r="P23" i="29"/>
  <c r="L23" i="29"/>
  <c r="I23" i="29"/>
  <c r="P22" i="29"/>
  <c r="L22" i="29"/>
  <c r="I22" i="29"/>
  <c r="Q21" i="29"/>
  <c r="R21" i="29" s="1"/>
  <c r="T21" i="29" s="1"/>
  <c r="P21" i="29"/>
  <c r="L21" i="29"/>
  <c r="I21" i="29"/>
  <c r="P20" i="29"/>
  <c r="L20" i="29"/>
  <c r="I20" i="29"/>
  <c r="Q19" i="29"/>
  <c r="R19" i="29" s="1"/>
  <c r="T19" i="29" s="1"/>
  <c r="P19" i="29"/>
  <c r="L19" i="29"/>
  <c r="I19" i="29"/>
  <c r="P18" i="29"/>
  <c r="L18" i="29"/>
  <c r="I18" i="29"/>
  <c r="Q17" i="29"/>
  <c r="R17" i="29" s="1"/>
  <c r="T17" i="29" s="1"/>
  <c r="P17" i="29"/>
  <c r="L17" i="29"/>
  <c r="I17" i="29"/>
  <c r="P16" i="29"/>
  <c r="L16" i="29"/>
  <c r="I16" i="29"/>
  <c r="Q15" i="29"/>
  <c r="R15" i="29" s="1"/>
  <c r="T15" i="29" s="1"/>
  <c r="P15" i="29"/>
  <c r="L15" i="29"/>
  <c r="I15" i="29"/>
  <c r="P14" i="29"/>
  <c r="L14" i="29"/>
  <c r="I14" i="29"/>
  <c r="Q13" i="29"/>
  <c r="R13" i="29" s="1"/>
  <c r="T13" i="29" s="1"/>
  <c r="P13" i="29"/>
  <c r="L13" i="29"/>
  <c r="I13" i="29"/>
  <c r="P12" i="29"/>
  <c r="L12" i="29"/>
  <c r="I12" i="29"/>
  <c r="Q11" i="29"/>
  <c r="R11" i="29" s="1"/>
  <c r="T11" i="29" s="1"/>
  <c r="P11" i="29"/>
  <c r="L11" i="29"/>
  <c r="I11" i="29"/>
  <c r="P10" i="29"/>
  <c r="L10" i="29"/>
  <c r="I10" i="29"/>
  <c r="Q9" i="29"/>
  <c r="R9" i="29" s="1"/>
  <c r="T9" i="29" s="1"/>
  <c r="P9" i="29"/>
  <c r="L9" i="29"/>
  <c r="I9" i="29"/>
  <c r="P8" i="29"/>
  <c r="L8" i="29"/>
  <c r="I8" i="29"/>
  <c r="Q7" i="29"/>
  <c r="R7" i="29" s="1"/>
  <c r="T7" i="29" s="1"/>
  <c r="P7" i="29"/>
  <c r="L7" i="29"/>
  <c r="I7" i="29"/>
  <c r="P6" i="29"/>
  <c r="L6" i="29"/>
  <c r="I6" i="29"/>
  <c r="Q5" i="29"/>
  <c r="R5" i="29" s="1"/>
  <c r="T5" i="29" s="1"/>
  <c r="P5" i="29"/>
  <c r="L5" i="29"/>
  <c r="I5" i="29"/>
  <c r="P4" i="29"/>
  <c r="L4" i="29"/>
  <c r="I4" i="29"/>
  <c r="R12" i="29" l="1"/>
  <c r="T12" i="29" s="1"/>
  <c r="R20" i="29"/>
  <c r="T20" i="29" s="1"/>
  <c r="R10" i="29"/>
  <c r="T10" i="29" s="1"/>
  <c r="R14" i="29"/>
  <c r="T14" i="29" s="1"/>
  <c r="Q4" i="29"/>
  <c r="R4" i="29" s="1"/>
  <c r="T4" i="29" s="1"/>
  <c r="T27" i="29" s="1"/>
  <c r="Q6" i="29"/>
  <c r="R6" i="29" s="1"/>
  <c r="T6" i="29" s="1"/>
  <c r="Q8" i="29"/>
  <c r="R8" i="29" s="1"/>
  <c r="T8" i="29" s="1"/>
  <c r="Q10" i="29"/>
  <c r="Q12" i="29"/>
  <c r="Q14" i="29"/>
  <c r="Q16" i="29"/>
  <c r="R16" i="29" s="1"/>
  <c r="T16" i="29" s="1"/>
  <c r="Q18" i="29"/>
  <c r="R18" i="29" s="1"/>
  <c r="T18" i="29" s="1"/>
  <c r="Q20" i="29"/>
  <c r="Q22" i="29"/>
  <c r="R22" i="29" s="1"/>
  <c r="T22" i="29" s="1"/>
  <c r="Q24" i="29"/>
  <c r="R24" i="29" s="1"/>
  <c r="T24" i="29" s="1"/>
  <c r="Q26" i="29"/>
  <c r="R26" i="29" s="1"/>
  <c r="T26" i="29" s="1"/>
  <c r="M14" i="26"/>
  <c r="L14" i="26"/>
  <c r="M11" i="25"/>
  <c r="L11" i="25"/>
  <c r="K66" i="24"/>
  <c r="J66" i="24"/>
  <c r="M66" i="24" l="1"/>
  <c r="Q66" i="24" l="1"/>
  <c r="K13" i="26"/>
  <c r="K12" i="26"/>
  <c r="N12" i="26" s="1"/>
  <c r="O12" i="26" s="1"/>
  <c r="Q12" i="26" s="1"/>
  <c r="K11" i="26"/>
  <c r="H11" i="26"/>
  <c r="H12" i="26"/>
  <c r="H13" i="26"/>
  <c r="N13" i="26"/>
  <c r="O13" i="26" s="1"/>
  <c r="Q13" i="26" s="1"/>
  <c r="K10" i="26"/>
  <c r="H10" i="26"/>
  <c r="N10" i="26" s="1"/>
  <c r="O10" i="26" s="1"/>
  <c r="Q10" i="26" s="1"/>
  <c r="K9" i="26"/>
  <c r="H9" i="26"/>
  <c r="K8" i="26"/>
  <c r="H8" i="26"/>
  <c r="N8" i="26" s="1"/>
  <c r="O8" i="26" s="1"/>
  <c r="Q8" i="26" s="1"/>
  <c r="K7" i="26"/>
  <c r="H7" i="26"/>
  <c r="N7" i="26" s="1"/>
  <c r="O7" i="26" s="1"/>
  <c r="Q7" i="26" s="1"/>
  <c r="K6" i="26"/>
  <c r="H6" i="26"/>
  <c r="N6" i="26" s="1"/>
  <c r="O6" i="26" s="1"/>
  <c r="Q6" i="26" s="1"/>
  <c r="K5" i="26"/>
  <c r="H5" i="26"/>
  <c r="Q10" i="25"/>
  <c r="O10" i="25"/>
  <c r="N5" i="25"/>
  <c r="N6" i="25"/>
  <c r="N7" i="25"/>
  <c r="N8" i="25"/>
  <c r="N9" i="25"/>
  <c r="N10" i="25"/>
  <c r="K10" i="25"/>
  <c r="H10" i="25"/>
  <c r="K9" i="25"/>
  <c r="H9" i="25"/>
  <c r="K8" i="25"/>
  <c r="H8" i="25"/>
  <c r="K7" i="25"/>
  <c r="H7" i="25"/>
  <c r="K6" i="25"/>
  <c r="H6" i="25"/>
  <c r="O6" i="25" s="1"/>
  <c r="Q6" i="25" s="1"/>
  <c r="K5" i="25"/>
  <c r="H5" i="25"/>
  <c r="K4" i="25"/>
  <c r="H4" i="25"/>
  <c r="N5" i="26" l="1"/>
  <c r="O5" i="26" s="1"/>
  <c r="Q5" i="26" s="1"/>
  <c r="N11" i="26"/>
  <c r="O11" i="26" s="1"/>
  <c r="Q11" i="26" s="1"/>
  <c r="N9" i="26"/>
  <c r="O9" i="26" s="1"/>
  <c r="Q9" i="26" s="1"/>
  <c r="O5" i="25"/>
  <c r="Q5" i="25" s="1"/>
  <c r="O7" i="25"/>
  <c r="O9" i="25"/>
  <c r="Q9" i="25" s="1"/>
  <c r="Q7" i="25"/>
  <c r="N4" i="25"/>
  <c r="O4" i="25" s="1"/>
  <c r="Q4" i="25" s="1"/>
  <c r="Q11" i="25" s="1"/>
  <c r="O8" i="25"/>
  <c r="Q8" i="25" s="1"/>
  <c r="Q14" i="26" l="1"/>
  <c r="M12" i="24"/>
  <c r="M13" i="24"/>
  <c r="M14" i="24"/>
  <c r="N14" i="24" s="1"/>
  <c r="O14" i="24" s="1"/>
  <c r="Q14" i="24" s="1"/>
  <c r="M15" i="24"/>
  <c r="M16" i="24"/>
  <c r="M17" i="24"/>
  <c r="M18" i="24"/>
  <c r="N18" i="24" s="1"/>
  <c r="O18" i="24" s="1"/>
  <c r="Q18" i="24" s="1"/>
  <c r="M19" i="24"/>
  <c r="M20" i="24"/>
  <c r="M21" i="24"/>
  <c r="M22" i="24"/>
  <c r="N22" i="24" s="1"/>
  <c r="O22" i="24" s="1"/>
  <c r="Q22" i="24" s="1"/>
  <c r="M23" i="24"/>
  <c r="M24" i="24"/>
  <c r="M25" i="24"/>
  <c r="M26" i="24"/>
  <c r="N26" i="24" s="1"/>
  <c r="O26" i="24" s="1"/>
  <c r="Q26" i="24" s="1"/>
  <c r="M27" i="24"/>
  <c r="M28" i="24"/>
  <c r="M29" i="24"/>
  <c r="O29" i="24" s="1"/>
  <c r="Q29" i="24" s="1"/>
  <c r="M30" i="24"/>
  <c r="N30" i="24" s="1"/>
  <c r="O30" i="24" s="1"/>
  <c r="Q30" i="24" s="1"/>
  <c r="M31" i="24"/>
  <c r="M32" i="24"/>
  <c r="M33" i="24"/>
  <c r="M34" i="24"/>
  <c r="N34" i="24" s="1"/>
  <c r="O34" i="24" s="1"/>
  <c r="Q34" i="24" s="1"/>
  <c r="M35" i="24"/>
  <c r="M36" i="24"/>
  <c r="M37" i="24"/>
  <c r="O37" i="24" s="1"/>
  <c r="Q37" i="24" s="1"/>
  <c r="M38" i="24"/>
  <c r="N38" i="24" s="1"/>
  <c r="O38" i="24" s="1"/>
  <c r="Q38" i="24" s="1"/>
  <c r="M39" i="24"/>
  <c r="M40" i="24"/>
  <c r="M41" i="24"/>
  <c r="M42" i="24"/>
  <c r="N42" i="24" s="1"/>
  <c r="O42" i="24" s="1"/>
  <c r="Q42" i="24" s="1"/>
  <c r="M43" i="24"/>
  <c r="M44" i="24"/>
  <c r="M45" i="24"/>
  <c r="N45" i="24" s="1"/>
  <c r="M46" i="24"/>
  <c r="N46" i="24" s="1"/>
  <c r="O46" i="24" s="1"/>
  <c r="Q46" i="24" s="1"/>
  <c r="M47" i="24"/>
  <c r="M48" i="24"/>
  <c r="M49" i="24"/>
  <c r="N49" i="24" s="1"/>
  <c r="O49" i="24" s="1"/>
  <c r="Q49" i="24" s="1"/>
  <c r="M50" i="24"/>
  <c r="N50" i="24" s="1"/>
  <c r="O50" i="24" s="1"/>
  <c r="Q50" i="24" s="1"/>
  <c r="M51" i="24"/>
  <c r="M52" i="24"/>
  <c r="M53" i="24"/>
  <c r="M54" i="24"/>
  <c r="N54" i="24" s="1"/>
  <c r="O54" i="24" s="1"/>
  <c r="Q54" i="24" s="1"/>
  <c r="M55" i="24"/>
  <c r="M56" i="24"/>
  <c r="M57" i="24"/>
  <c r="M58" i="24"/>
  <c r="N58" i="24" s="1"/>
  <c r="O58" i="24" s="1"/>
  <c r="Q58" i="24" s="1"/>
  <c r="M59" i="24"/>
  <c r="M60" i="24"/>
  <c r="M61" i="24"/>
  <c r="M62" i="24"/>
  <c r="N62" i="24" s="1"/>
  <c r="O62" i="24" s="1"/>
  <c r="Q62" i="24" s="1"/>
  <c r="M63" i="24"/>
  <c r="M64" i="24"/>
  <c r="M65" i="24"/>
  <c r="N65" i="24" s="1"/>
  <c r="I12" i="24"/>
  <c r="I13" i="24"/>
  <c r="I14" i="24"/>
  <c r="I15" i="24"/>
  <c r="I16" i="24"/>
  <c r="N16" i="24" s="1"/>
  <c r="O16" i="24" s="1"/>
  <c r="Q16" i="24" s="1"/>
  <c r="I17" i="24"/>
  <c r="I18" i="24"/>
  <c r="I19" i="24"/>
  <c r="I20" i="24"/>
  <c r="N20" i="24" s="1"/>
  <c r="O20" i="24" s="1"/>
  <c r="Q20" i="24" s="1"/>
  <c r="I21" i="24"/>
  <c r="I22" i="24"/>
  <c r="I23" i="24"/>
  <c r="N23" i="24" s="1"/>
  <c r="O23" i="24" s="1"/>
  <c r="Q23" i="24" s="1"/>
  <c r="I24" i="24"/>
  <c r="I25" i="24"/>
  <c r="I26" i="24"/>
  <c r="I27" i="24"/>
  <c r="N27" i="24" s="1"/>
  <c r="O27" i="24" s="1"/>
  <c r="Q27" i="24" s="1"/>
  <c r="I28" i="24"/>
  <c r="N28" i="24" s="1"/>
  <c r="O28" i="24" s="1"/>
  <c r="Q28" i="24" s="1"/>
  <c r="I29" i="24"/>
  <c r="I30" i="24"/>
  <c r="I31" i="24"/>
  <c r="N31" i="24" s="1"/>
  <c r="O31" i="24" s="1"/>
  <c r="Q31" i="24" s="1"/>
  <c r="I32" i="24"/>
  <c r="N32" i="24" s="1"/>
  <c r="O32" i="24" s="1"/>
  <c r="Q32" i="24" s="1"/>
  <c r="I33" i="24"/>
  <c r="I34" i="24"/>
  <c r="I35" i="24"/>
  <c r="N35" i="24" s="1"/>
  <c r="O35" i="24" s="1"/>
  <c r="Q35" i="24" s="1"/>
  <c r="I36" i="24"/>
  <c r="N36" i="24" s="1"/>
  <c r="O36" i="24" s="1"/>
  <c r="Q36" i="24" s="1"/>
  <c r="I37" i="24"/>
  <c r="I38" i="24"/>
  <c r="I39" i="24"/>
  <c r="N39" i="24" s="1"/>
  <c r="O39" i="24" s="1"/>
  <c r="Q39" i="24" s="1"/>
  <c r="I40" i="24"/>
  <c r="N40" i="24" s="1"/>
  <c r="O40" i="24" s="1"/>
  <c r="Q40" i="24" s="1"/>
  <c r="I41" i="24"/>
  <c r="I42" i="24"/>
  <c r="I43" i="24"/>
  <c r="N43" i="24" s="1"/>
  <c r="O43" i="24" s="1"/>
  <c r="Q43" i="24" s="1"/>
  <c r="I44" i="24"/>
  <c r="I45" i="24"/>
  <c r="I46" i="24"/>
  <c r="I47" i="24"/>
  <c r="I48" i="24"/>
  <c r="I49" i="24"/>
  <c r="I50" i="24"/>
  <c r="I51" i="24"/>
  <c r="N51" i="24" s="1"/>
  <c r="O51" i="24" s="1"/>
  <c r="Q51" i="24" s="1"/>
  <c r="I52" i="24"/>
  <c r="N52" i="24" s="1"/>
  <c r="O52" i="24" s="1"/>
  <c r="Q52" i="24" s="1"/>
  <c r="I53" i="24"/>
  <c r="I54" i="24"/>
  <c r="I55" i="24"/>
  <c r="N55" i="24" s="1"/>
  <c r="O55" i="24" s="1"/>
  <c r="Q55" i="24" s="1"/>
  <c r="I56" i="24"/>
  <c r="I57" i="24"/>
  <c r="I58" i="24"/>
  <c r="I59" i="24"/>
  <c r="I60" i="24"/>
  <c r="N60" i="24" s="1"/>
  <c r="O60" i="24" s="1"/>
  <c r="Q60" i="24" s="1"/>
  <c r="I61" i="24"/>
  <c r="I62" i="24"/>
  <c r="I63" i="24"/>
  <c r="N63" i="24" s="1"/>
  <c r="O63" i="24" s="1"/>
  <c r="Q63" i="24" s="1"/>
  <c r="I64" i="24"/>
  <c r="N64" i="24" s="1"/>
  <c r="O64" i="24" s="1"/>
  <c r="Q64" i="24" s="1"/>
  <c r="I65" i="24"/>
  <c r="J65" i="24"/>
  <c r="F12" i="24"/>
  <c r="F13" i="24"/>
  <c r="F14" i="24"/>
  <c r="F15" i="24"/>
  <c r="F16" i="24"/>
  <c r="F17" i="24"/>
  <c r="N17" i="24" s="1"/>
  <c r="O17" i="24" s="1"/>
  <c r="Q17" i="24" s="1"/>
  <c r="F18" i="24"/>
  <c r="F19" i="24"/>
  <c r="F20" i="24"/>
  <c r="F21" i="24"/>
  <c r="F22" i="24"/>
  <c r="F23" i="24"/>
  <c r="F24" i="24"/>
  <c r="F25" i="24"/>
  <c r="F26" i="24"/>
  <c r="F27" i="24"/>
  <c r="F28" i="24"/>
  <c r="F29" i="24"/>
  <c r="N29" i="24" s="1"/>
  <c r="F30" i="24"/>
  <c r="F31" i="24"/>
  <c r="F32" i="24"/>
  <c r="F33" i="24"/>
  <c r="F34" i="24"/>
  <c r="F35" i="24"/>
  <c r="F36" i="24"/>
  <c r="F37" i="24"/>
  <c r="N37" i="24" s="1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N53" i="24" s="1"/>
  <c r="O53" i="24" s="1"/>
  <c r="Q53" i="24" s="1"/>
  <c r="F54" i="24"/>
  <c r="F55" i="24"/>
  <c r="F56" i="24"/>
  <c r="F57" i="24"/>
  <c r="F58" i="24"/>
  <c r="F59" i="24"/>
  <c r="F60" i="24"/>
  <c r="F61" i="24"/>
  <c r="F62" i="24"/>
  <c r="F63" i="24"/>
  <c r="F64" i="24"/>
  <c r="F65" i="24"/>
  <c r="O61" i="24" l="1"/>
  <c r="Q61" i="24" s="1"/>
  <c r="N13" i="24"/>
  <c r="O13" i="24" s="1"/>
  <c r="Q13" i="24" s="1"/>
  <c r="N33" i="24"/>
  <c r="O33" i="24" s="1"/>
  <c r="Q33" i="24" s="1"/>
  <c r="N25" i="24"/>
  <c r="O25" i="24" s="1"/>
  <c r="Q25" i="24" s="1"/>
  <c r="O65" i="24"/>
  <c r="Q65" i="24" s="1"/>
  <c r="N57" i="24"/>
  <c r="O57" i="24" s="1"/>
  <c r="Q57" i="24" s="1"/>
  <c r="O45" i="24"/>
  <c r="Q45" i="24" s="1"/>
  <c r="N21" i="24"/>
  <c r="O21" i="24" s="1"/>
  <c r="Q21" i="24" s="1"/>
  <c r="N61" i="24"/>
  <c r="N59" i="24"/>
  <c r="O59" i="24" s="1"/>
  <c r="Q59" i="24" s="1"/>
  <c r="N56" i="24"/>
  <c r="O56" i="24" s="1"/>
  <c r="Q56" i="24" s="1"/>
  <c r="N48" i="24"/>
  <c r="O48" i="24" s="1"/>
  <c r="Q48" i="24" s="1"/>
  <c r="N47" i="24"/>
  <c r="O47" i="24" s="1"/>
  <c r="Q47" i="24" s="1"/>
  <c r="N44" i="24"/>
  <c r="O44" i="24" s="1"/>
  <c r="Q44" i="24" s="1"/>
  <c r="N41" i="24"/>
  <c r="O41" i="24" s="1"/>
  <c r="Q41" i="24" s="1"/>
  <c r="N24" i="24"/>
  <c r="O24" i="24" s="1"/>
  <c r="Q24" i="24" s="1"/>
  <c r="N19" i="24"/>
  <c r="O19" i="24" s="1"/>
  <c r="Q19" i="24" s="1"/>
  <c r="N15" i="24"/>
  <c r="O15" i="24" s="1"/>
  <c r="Q15" i="24" s="1"/>
  <c r="N12" i="24"/>
  <c r="O12" i="24" s="1"/>
  <c r="Q12" i="24" s="1"/>
  <c r="M11" i="24"/>
  <c r="I11" i="24"/>
  <c r="F11" i="24"/>
  <c r="M10" i="24"/>
  <c r="I10" i="24"/>
  <c r="F10" i="24"/>
  <c r="M9" i="24"/>
  <c r="I9" i="24"/>
  <c r="F9" i="24"/>
  <c r="M8" i="24"/>
  <c r="I8" i="24"/>
  <c r="F8" i="24"/>
  <c r="M7" i="24"/>
  <c r="I7" i="24"/>
  <c r="F7" i="24"/>
  <c r="M6" i="24"/>
  <c r="I6" i="24"/>
  <c r="F6" i="24"/>
  <c r="M5" i="24"/>
  <c r="I5" i="24"/>
  <c r="F5" i="24"/>
  <c r="N10" i="24" l="1"/>
  <c r="O10" i="24" s="1"/>
  <c r="Q10" i="24" s="1"/>
  <c r="N7" i="24"/>
  <c r="O7" i="24" s="1"/>
  <c r="Q7" i="24" s="1"/>
  <c r="N5" i="24"/>
  <c r="O5" i="24" s="1"/>
  <c r="Q5" i="24" s="1"/>
  <c r="N9" i="24"/>
  <c r="O9" i="24" s="1"/>
  <c r="Q9" i="24" s="1"/>
  <c r="N6" i="24"/>
  <c r="O6" i="24" s="1"/>
  <c r="Q6" i="24" s="1"/>
  <c r="N8" i="24"/>
  <c r="O8" i="24" s="1"/>
  <c r="Q8" i="24" s="1"/>
  <c r="N11" i="24"/>
  <c r="O11" i="24" s="1"/>
  <c r="Q11" i="24" s="1"/>
  <c r="G10" i="1"/>
  <c r="I51" i="22"/>
  <c r="G80" i="17"/>
  <c r="W71" i="22" l="1"/>
  <c r="K48" i="22" l="1"/>
  <c r="J13" i="19" l="1"/>
  <c r="J12" i="19"/>
  <c r="B10" i="1" l="1"/>
  <c r="M47" i="22"/>
  <c r="E48" i="22"/>
  <c r="U46" i="22" l="1"/>
  <c r="V46" i="22" s="1"/>
  <c r="S46" i="22"/>
  <c r="T46" i="22" s="1"/>
  <c r="Q46" i="22"/>
  <c r="R46" i="22" s="1"/>
  <c r="P46" i="22"/>
  <c r="W46" i="22" l="1"/>
  <c r="X46" i="22" s="1"/>
  <c r="E78" i="17"/>
  <c r="J10" i="1"/>
  <c r="X65" i="22" l="1"/>
  <c r="S45" i="22" l="1"/>
  <c r="T45" i="22" s="1"/>
  <c r="Q45" i="22"/>
  <c r="R45" i="22" s="1"/>
  <c r="P45" i="22"/>
  <c r="M46" i="22"/>
  <c r="M45" i="22"/>
  <c r="U45" i="22" s="1"/>
  <c r="V45" i="22" s="1"/>
  <c r="W45" i="22" l="1"/>
  <c r="X45" i="22" s="1"/>
  <c r="I8" i="1"/>
  <c r="F15" i="1"/>
  <c r="AB69" i="22" l="1"/>
  <c r="K39" i="23" l="1"/>
  <c r="G39" i="23"/>
  <c r="E39" i="23"/>
  <c r="S37" i="23"/>
  <c r="T37" i="23" s="1"/>
  <c r="P37" i="23"/>
  <c r="Q37" i="23" s="1"/>
  <c r="R37" i="23" s="1"/>
  <c r="M37" i="23"/>
  <c r="L37" i="23"/>
  <c r="S36" i="23"/>
  <c r="T36" i="23" s="1"/>
  <c r="P36" i="23"/>
  <c r="Q36" i="23" s="1"/>
  <c r="R36" i="23" s="1"/>
  <c r="L36" i="23"/>
  <c r="I36" i="23"/>
  <c r="M36" i="23" s="1"/>
  <c r="H36" i="23"/>
  <c r="S35" i="23"/>
  <c r="T35" i="23" s="1"/>
  <c r="P35" i="23"/>
  <c r="Q35" i="23" s="1"/>
  <c r="R35" i="23" s="1"/>
  <c r="M35" i="23"/>
  <c r="L35" i="23"/>
  <c r="S34" i="23"/>
  <c r="T34" i="23" s="1"/>
  <c r="Q34" i="23"/>
  <c r="R34" i="23" s="1"/>
  <c r="P34" i="23"/>
  <c r="M34" i="23"/>
  <c r="L34" i="23"/>
  <c r="U33" i="23"/>
  <c r="V33" i="23" s="1"/>
  <c r="S33" i="23"/>
  <c r="T33" i="23" s="1"/>
  <c r="P33" i="23"/>
  <c r="Q33" i="23" s="1"/>
  <c r="R33" i="23" s="1"/>
  <c r="M33" i="23"/>
  <c r="L33" i="23"/>
  <c r="T32" i="23"/>
  <c r="S32" i="23"/>
  <c r="P32" i="23"/>
  <c r="Q32" i="23" s="1"/>
  <c r="R32" i="23" s="1"/>
  <c r="M32" i="23"/>
  <c r="L32" i="23"/>
  <c r="S31" i="23"/>
  <c r="T31" i="23" s="1"/>
  <c r="P31" i="23"/>
  <c r="Q31" i="23" s="1"/>
  <c r="R31" i="23" s="1"/>
  <c r="M31" i="23"/>
  <c r="L31" i="23"/>
  <c r="S30" i="23"/>
  <c r="T30" i="23" s="1"/>
  <c r="P30" i="23"/>
  <c r="Q30" i="23" s="1"/>
  <c r="R30" i="23" s="1"/>
  <c r="M30" i="23"/>
  <c r="L30" i="23"/>
  <c r="I30" i="23"/>
  <c r="H30" i="23"/>
  <c r="S29" i="23"/>
  <c r="T29" i="23" s="1"/>
  <c r="P29" i="23"/>
  <c r="Q29" i="23" s="1"/>
  <c r="R29" i="23" s="1"/>
  <c r="M29" i="23"/>
  <c r="L29" i="23"/>
  <c r="S28" i="23"/>
  <c r="T28" i="23" s="1"/>
  <c r="P28" i="23"/>
  <c r="Q28" i="23" s="1"/>
  <c r="R28" i="23" s="1"/>
  <c r="M28" i="23"/>
  <c r="L28" i="23"/>
  <c r="S27" i="23"/>
  <c r="T27" i="23" s="1"/>
  <c r="P27" i="23"/>
  <c r="Q27" i="23" s="1"/>
  <c r="R27" i="23" s="1"/>
  <c r="M27" i="23"/>
  <c r="U27" i="23" s="1"/>
  <c r="V27" i="23" s="1"/>
  <c r="L27" i="23"/>
  <c r="T26" i="23"/>
  <c r="S26" i="23"/>
  <c r="P26" i="23"/>
  <c r="Q26" i="23" s="1"/>
  <c r="R26" i="23" s="1"/>
  <c r="M26" i="23"/>
  <c r="U26" i="23" s="1"/>
  <c r="L26" i="23"/>
  <c r="S25" i="23"/>
  <c r="T25" i="23" s="1"/>
  <c r="P25" i="23"/>
  <c r="Q25" i="23" s="1"/>
  <c r="R25" i="23" s="1"/>
  <c r="M25" i="23"/>
  <c r="L25" i="23"/>
  <c r="S24" i="23"/>
  <c r="T24" i="23" s="1"/>
  <c r="P24" i="23"/>
  <c r="Q24" i="23" s="1"/>
  <c r="R24" i="23" s="1"/>
  <c r="M24" i="23"/>
  <c r="L24" i="23"/>
  <c r="S23" i="23"/>
  <c r="T23" i="23" s="1"/>
  <c r="P23" i="23"/>
  <c r="Q23" i="23" s="1"/>
  <c r="R23" i="23" s="1"/>
  <c r="M23" i="23"/>
  <c r="U23" i="23" s="1"/>
  <c r="V23" i="23" s="1"/>
  <c r="L23" i="23"/>
  <c r="T22" i="23"/>
  <c r="S22" i="23"/>
  <c r="P22" i="23"/>
  <c r="Q22" i="23" s="1"/>
  <c r="R22" i="23" s="1"/>
  <c r="M22" i="23"/>
  <c r="L22" i="23"/>
  <c r="S21" i="23"/>
  <c r="T21" i="23" s="1"/>
  <c r="P21" i="23"/>
  <c r="Q21" i="23" s="1"/>
  <c r="R21" i="23" s="1"/>
  <c r="M21" i="23"/>
  <c r="L21" i="23"/>
  <c r="S20" i="23"/>
  <c r="T20" i="23" s="1"/>
  <c r="P20" i="23"/>
  <c r="Q20" i="23" s="1"/>
  <c r="R20" i="23" s="1"/>
  <c r="M20" i="23"/>
  <c r="L20" i="23"/>
  <c r="S19" i="23"/>
  <c r="T19" i="23" s="1"/>
  <c r="Q19" i="23"/>
  <c r="R19" i="23" s="1"/>
  <c r="P19" i="23"/>
  <c r="M19" i="23"/>
  <c r="U19" i="23" s="1"/>
  <c r="V19" i="23" s="1"/>
  <c r="L19" i="23"/>
  <c r="S18" i="23"/>
  <c r="T18" i="23" s="1"/>
  <c r="P18" i="23"/>
  <c r="Q18" i="23" s="1"/>
  <c r="R18" i="23" s="1"/>
  <c r="M18" i="23"/>
  <c r="L18" i="23"/>
  <c r="S17" i="23"/>
  <c r="T17" i="23" s="1"/>
  <c r="P17" i="23"/>
  <c r="Q17" i="23" s="1"/>
  <c r="R17" i="23" s="1"/>
  <c r="M17" i="23"/>
  <c r="L17" i="23"/>
  <c r="S16" i="23"/>
  <c r="T16" i="23" s="1"/>
  <c r="P16" i="23"/>
  <c r="Q16" i="23" s="1"/>
  <c r="R16" i="23" s="1"/>
  <c r="M16" i="23"/>
  <c r="L16" i="23"/>
  <c r="S15" i="23"/>
  <c r="T15" i="23" s="1"/>
  <c r="Q15" i="23"/>
  <c r="R15" i="23" s="1"/>
  <c r="P15" i="23"/>
  <c r="M15" i="23"/>
  <c r="U15" i="23" s="1"/>
  <c r="V15" i="23" s="1"/>
  <c r="L15" i="23"/>
  <c r="T14" i="23"/>
  <c r="S14" i="23"/>
  <c r="P14" i="23"/>
  <c r="Q14" i="23" s="1"/>
  <c r="R14" i="23" s="1"/>
  <c r="I14" i="23"/>
  <c r="M14" i="23" s="1"/>
  <c r="H14" i="23"/>
  <c r="L14" i="23" s="1"/>
  <c r="S13" i="23"/>
  <c r="T13" i="23" s="1"/>
  <c r="Q13" i="23"/>
  <c r="R13" i="23" s="1"/>
  <c r="P13" i="23"/>
  <c r="I13" i="23"/>
  <c r="H13" i="23"/>
  <c r="L13" i="23" s="1"/>
  <c r="S12" i="23"/>
  <c r="T12" i="23" s="1"/>
  <c r="P12" i="23"/>
  <c r="Q12" i="23" s="1"/>
  <c r="R12" i="23" s="1"/>
  <c r="M12" i="23"/>
  <c r="L12" i="23"/>
  <c r="S11" i="23"/>
  <c r="T11" i="23" s="1"/>
  <c r="P11" i="23"/>
  <c r="Q11" i="23" s="1"/>
  <c r="R11" i="23" s="1"/>
  <c r="M11" i="23"/>
  <c r="L11" i="23"/>
  <c r="S10" i="23"/>
  <c r="T10" i="23" s="1"/>
  <c r="Q10" i="23"/>
  <c r="R10" i="23" s="1"/>
  <c r="P10" i="23"/>
  <c r="M10" i="23"/>
  <c r="L10" i="23"/>
  <c r="T9" i="23"/>
  <c r="S9" i="23"/>
  <c r="P9" i="23"/>
  <c r="Q9" i="23" s="1"/>
  <c r="R9" i="23" s="1"/>
  <c r="M9" i="23"/>
  <c r="U9" i="23" s="1"/>
  <c r="L9" i="23"/>
  <c r="S8" i="23"/>
  <c r="T8" i="23" s="1"/>
  <c r="P8" i="23"/>
  <c r="Q8" i="23" s="1"/>
  <c r="R8" i="23" s="1"/>
  <c r="M8" i="23"/>
  <c r="L8" i="23"/>
  <c r="S7" i="23"/>
  <c r="T7" i="23" s="1"/>
  <c r="P7" i="23"/>
  <c r="Q7" i="23" s="1"/>
  <c r="R7" i="23" s="1"/>
  <c r="M7" i="23"/>
  <c r="L7" i="23"/>
  <c r="S6" i="23"/>
  <c r="T6" i="23" s="1"/>
  <c r="Q6" i="23"/>
  <c r="R6" i="23" s="1"/>
  <c r="P6" i="23"/>
  <c r="M6" i="23"/>
  <c r="U6" i="23" s="1"/>
  <c r="L6" i="23"/>
  <c r="W63" i="22"/>
  <c r="X63" i="22"/>
  <c r="Y63" i="22" s="1"/>
  <c r="Y65" i="22" s="1"/>
  <c r="M44" i="22"/>
  <c r="U44" i="22" s="1"/>
  <c r="V44" i="22" s="1"/>
  <c r="L44" i="22"/>
  <c r="M43" i="22"/>
  <c r="U43" i="22" s="1"/>
  <c r="L43" i="22"/>
  <c r="M42" i="22"/>
  <c r="U42" i="22" s="1"/>
  <c r="V42" i="22" s="1"/>
  <c r="L42" i="22"/>
  <c r="M41" i="22"/>
  <c r="U41" i="22" s="1"/>
  <c r="V41" i="22" s="1"/>
  <c r="L41" i="22"/>
  <c r="M36" i="22"/>
  <c r="S44" i="22"/>
  <c r="T44" i="22" s="1"/>
  <c r="P44" i="22"/>
  <c r="Q44" i="22" s="1"/>
  <c r="R44" i="22" s="1"/>
  <c r="S43" i="22"/>
  <c r="T43" i="22" s="1"/>
  <c r="P43" i="22"/>
  <c r="Q43" i="22" s="1"/>
  <c r="R43" i="22" s="1"/>
  <c r="S42" i="22"/>
  <c r="T42" i="22" s="1"/>
  <c r="P42" i="22"/>
  <c r="Q42" i="22" s="1"/>
  <c r="R42" i="22" s="1"/>
  <c r="S41" i="22"/>
  <c r="T41" i="22" s="1"/>
  <c r="P41" i="22"/>
  <c r="Q41" i="22" s="1"/>
  <c r="R41" i="22" s="1"/>
  <c r="S40" i="22"/>
  <c r="T40" i="22" s="1"/>
  <c r="P40" i="22"/>
  <c r="Q40" i="22" s="1"/>
  <c r="R40" i="22" s="1"/>
  <c r="S39" i="22"/>
  <c r="T39" i="22" s="1"/>
  <c r="P39" i="22"/>
  <c r="Q39" i="22" s="1"/>
  <c r="R39" i="22" s="1"/>
  <c r="S38" i="22"/>
  <c r="T38" i="22" s="1"/>
  <c r="P38" i="22"/>
  <c r="Q38" i="22" s="1"/>
  <c r="R38" i="22" s="1"/>
  <c r="K10" i="22"/>
  <c r="J10" i="22"/>
  <c r="K6" i="22"/>
  <c r="J6" i="22"/>
  <c r="K30" i="22"/>
  <c r="J30" i="22"/>
  <c r="J40" i="22"/>
  <c r="L40" i="22" s="1"/>
  <c r="J39" i="22"/>
  <c r="L39" i="22" s="1"/>
  <c r="K38" i="22"/>
  <c r="M38" i="22" s="1"/>
  <c r="U38" i="22" s="1"/>
  <c r="V38" i="22" s="1"/>
  <c r="J38" i="22"/>
  <c r="L38" i="22" s="1"/>
  <c r="S37" i="22"/>
  <c r="T37" i="22" s="1"/>
  <c r="P37" i="22"/>
  <c r="Q37" i="22" s="1"/>
  <c r="R37" i="22" s="1"/>
  <c r="S36" i="22"/>
  <c r="T36" i="22" s="1"/>
  <c r="Q36" i="22"/>
  <c r="R36" i="22" s="1"/>
  <c r="P36" i="22"/>
  <c r="S35" i="22"/>
  <c r="T35" i="22" s="1"/>
  <c r="P35" i="22"/>
  <c r="Q35" i="22" s="1"/>
  <c r="R35" i="22" s="1"/>
  <c r="I37" i="22"/>
  <c r="M37" i="22" s="1"/>
  <c r="U37" i="22" s="1"/>
  <c r="V37" i="22" s="1"/>
  <c r="H37" i="22"/>
  <c r="L37" i="22" s="1"/>
  <c r="I36" i="22"/>
  <c r="H36" i="22"/>
  <c r="L36" i="22" s="1"/>
  <c r="I35" i="22"/>
  <c r="M35" i="22" s="1"/>
  <c r="U35" i="22" s="1"/>
  <c r="V35" i="22" s="1"/>
  <c r="H35" i="22"/>
  <c r="L35" i="22" s="1"/>
  <c r="I29" i="22"/>
  <c r="H29" i="22"/>
  <c r="I27" i="22"/>
  <c r="H27" i="22"/>
  <c r="I16" i="22"/>
  <c r="H16" i="22"/>
  <c r="I15" i="22"/>
  <c r="H15" i="22"/>
  <c r="I39" i="23" l="1"/>
  <c r="W15" i="23"/>
  <c r="V32" i="23"/>
  <c r="W32" i="23" s="1"/>
  <c r="X32" i="23" s="1"/>
  <c r="U7" i="23"/>
  <c r="V7" i="23" s="1"/>
  <c r="W7" i="23" s="1"/>
  <c r="X7" i="23" s="1"/>
  <c r="U11" i="23"/>
  <c r="U18" i="23"/>
  <c r="V18" i="23" s="1"/>
  <c r="W18" i="23" s="1"/>
  <c r="X18" i="23" s="1"/>
  <c r="W19" i="23"/>
  <c r="U22" i="23"/>
  <c r="V22" i="23" s="1"/>
  <c r="W22" i="23" s="1"/>
  <c r="X22" i="23" s="1"/>
  <c r="V26" i="23"/>
  <c r="U32" i="23"/>
  <c r="U36" i="22"/>
  <c r="V36" i="22" s="1"/>
  <c r="W36" i="22" s="1"/>
  <c r="X36" i="22" s="1"/>
  <c r="U10" i="23"/>
  <c r="V10" i="23" s="1"/>
  <c r="W10" i="23" s="1"/>
  <c r="X10" i="23" s="1"/>
  <c r="V11" i="23"/>
  <c r="W11" i="23" s="1"/>
  <c r="X11" i="23" s="1"/>
  <c r="U14" i="23"/>
  <c r="V14" i="23" s="1"/>
  <c r="W14" i="23" s="1"/>
  <c r="X14" i="23" s="1"/>
  <c r="W33" i="23"/>
  <c r="X33" i="23" s="1"/>
  <c r="V20" i="23"/>
  <c r="W26" i="23"/>
  <c r="X26" i="23" s="1"/>
  <c r="W6" i="23"/>
  <c r="X15" i="23"/>
  <c r="X19" i="23"/>
  <c r="W20" i="23"/>
  <c r="X20" i="23" s="1"/>
  <c r="W23" i="23"/>
  <c r="X23" i="23" s="1"/>
  <c r="W27" i="23"/>
  <c r="X27" i="23" s="1"/>
  <c r="U8" i="23"/>
  <c r="V8" i="23" s="1"/>
  <c r="W8" i="23" s="1"/>
  <c r="X8" i="23" s="1"/>
  <c r="V9" i="23"/>
  <c r="W9" i="23" s="1"/>
  <c r="X9" i="23" s="1"/>
  <c r="U12" i="23"/>
  <c r="U16" i="23"/>
  <c r="V16" i="23" s="1"/>
  <c r="W16" i="23" s="1"/>
  <c r="X16" i="23" s="1"/>
  <c r="V17" i="23"/>
  <c r="W17" i="23" s="1"/>
  <c r="X17" i="23" s="1"/>
  <c r="U20" i="23"/>
  <c r="U24" i="23"/>
  <c r="V24" i="23" s="1"/>
  <c r="W24" i="23" s="1"/>
  <c r="X24" i="23" s="1"/>
  <c r="U28" i="23"/>
  <c r="V28" i="23" s="1"/>
  <c r="W28" i="23" s="1"/>
  <c r="X28" i="23" s="1"/>
  <c r="U30" i="23"/>
  <c r="V30" i="23" s="1"/>
  <c r="W30" i="23" s="1"/>
  <c r="X30" i="23" s="1"/>
  <c r="U34" i="23"/>
  <c r="V34" i="23" s="1"/>
  <c r="W34" i="23" s="1"/>
  <c r="X34" i="23" s="1"/>
  <c r="U36" i="23"/>
  <c r="V36" i="23" s="1"/>
  <c r="W36" i="23" s="1"/>
  <c r="X36" i="23" s="1"/>
  <c r="V12" i="23"/>
  <c r="W12" i="23" s="1"/>
  <c r="X12" i="23" s="1"/>
  <c r="V6" i="23"/>
  <c r="M13" i="23"/>
  <c r="M39" i="23" s="1"/>
  <c r="U17" i="23"/>
  <c r="U21" i="23"/>
  <c r="V21" i="23" s="1"/>
  <c r="W21" i="23" s="1"/>
  <c r="X21" i="23" s="1"/>
  <c r="U25" i="23"/>
  <c r="V25" i="23" s="1"/>
  <c r="W25" i="23" s="1"/>
  <c r="X25" i="23" s="1"/>
  <c r="U29" i="23"/>
  <c r="V29" i="23" s="1"/>
  <c r="W29" i="23" s="1"/>
  <c r="X29" i="23" s="1"/>
  <c r="U31" i="23"/>
  <c r="V31" i="23" s="1"/>
  <c r="W31" i="23" s="1"/>
  <c r="X31" i="23" s="1"/>
  <c r="U35" i="23"/>
  <c r="V35" i="23" s="1"/>
  <c r="W35" i="23" s="1"/>
  <c r="X35" i="23" s="1"/>
  <c r="U37" i="23"/>
  <c r="V37" i="23" s="1"/>
  <c r="W37" i="23" s="1"/>
  <c r="X37" i="23" s="1"/>
  <c r="W41" i="22"/>
  <c r="X41" i="22" s="1"/>
  <c r="V43" i="22"/>
  <c r="W43" i="22" s="1"/>
  <c r="X43" i="22" s="1"/>
  <c r="W44" i="22"/>
  <c r="X44" i="22" s="1"/>
  <c r="W42" i="22"/>
  <c r="X42" i="22" s="1"/>
  <c r="W38" i="22"/>
  <c r="X38" i="22" s="1"/>
  <c r="W37" i="22"/>
  <c r="X37" i="22" s="1"/>
  <c r="W35" i="22"/>
  <c r="X35" i="22" s="1"/>
  <c r="U13" i="23" l="1"/>
  <c r="U39" i="23" s="1"/>
  <c r="X6" i="23"/>
  <c r="V13" i="23" l="1"/>
  <c r="W13" i="23" l="1"/>
  <c r="V39" i="23"/>
  <c r="X13" i="23" l="1"/>
  <c r="X39" i="23" s="1"/>
  <c r="W39" i="23"/>
  <c r="W51" i="23" s="1"/>
  <c r="E80" i="17" l="1"/>
  <c r="J80" i="17" s="1"/>
  <c r="S33" i="22"/>
  <c r="T33" i="22" s="1"/>
  <c r="P33" i="22"/>
  <c r="Q33" i="22" s="1"/>
  <c r="R33" i="22" s="1"/>
  <c r="M33" i="22"/>
  <c r="U33" i="22" s="1"/>
  <c r="V33" i="22" s="1"/>
  <c r="L33" i="22"/>
  <c r="S32" i="22"/>
  <c r="T32" i="22" s="1"/>
  <c r="Q32" i="22"/>
  <c r="R32" i="22" s="1"/>
  <c r="P32" i="22"/>
  <c r="M32" i="22"/>
  <c r="U32" i="22" s="1"/>
  <c r="L32" i="22"/>
  <c r="S31" i="22"/>
  <c r="T31" i="22" s="1"/>
  <c r="P31" i="22"/>
  <c r="Q31" i="22" s="1"/>
  <c r="R31" i="22" s="1"/>
  <c r="M31" i="22"/>
  <c r="U31" i="22" s="1"/>
  <c r="V31" i="22" s="1"/>
  <c r="L31" i="22"/>
  <c r="S30" i="22"/>
  <c r="T30" i="22" s="1"/>
  <c r="P30" i="22"/>
  <c r="Q30" i="22" s="1"/>
  <c r="R30" i="22" s="1"/>
  <c r="M30" i="22"/>
  <c r="L30" i="22"/>
  <c r="S29" i="22"/>
  <c r="T29" i="22" s="1"/>
  <c r="P29" i="22"/>
  <c r="Q29" i="22" s="1"/>
  <c r="R29" i="22" s="1"/>
  <c r="M29" i="22"/>
  <c r="L29" i="22"/>
  <c r="S28" i="22"/>
  <c r="T28" i="22" s="1"/>
  <c r="P28" i="22"/>
  <c r="Q28" i="22" s="1"/>
  <c r="R28" i="22" s="1"/>
  <c r="M28" i="22"/>
  <c r="U28" i="22" s="1"/>
  <c r="L28" i="22"/>
  <c r="S27" i="22"/>
  <c r="T27" i="22" s="1"/>
  <c r="P27" i="22"/>
  <c r="Q27" i="22" s="1"/>
  <c r="R27" i="22" s="1"/>
  <c r="L27" i="22"/>
  <c r="M27" i="22"/>
  <c r="S26" i="22"/>
  <c r="T26" i="22" s="1"/>
  <c r="P26" i="22"/>
  <c r="Q26" i="22" s="1"/>
  <c r="R26" i="22" s="1"/>
  <c r="M26" i="22"/>
  <c r="U26" i="22" s="1"/>
  <c r="L26" i="22"/>
  <c r="S25" i="22"/>
  <c r="T25" i="22" s="1"/>
  <c r="P25" i="22"/>
  <c r="Q25" i="22" s="1"/>
  <c r="R25" i="22" s="1"/>
  <c r="M25" i="22"/>
  <c r="L25" i="22"/>
  <c r="S24" i="22"/>
  <c r="T24" i="22" s="1"/>
  <c r="P24" i="22"/>
  <c r="Q24" i="22" s="1"/>
  <c r="R24" i="22" s="1"/>
  <c r="M24" i="22"/>
  <c r="L24" i="22"/>
  <c r="S23" i="22"/>
  <c r="T23" i="22" s="1"/>
  <c r="P23" i="22"/>
  <c r="Q23" i="22" s="1"/>
  <c r="R23" i="22" s="1"/>
  <c r="M23" i="22"/>
  <c r="U23" i="22" s="1"/>
  <c r="V23" i="22" s="1"/>
  <c r="L23" i="22"/>
  <c r="S22" i="22"/>
  <c r="T22" i="22" s="1"/>
  <c r="P22" i="22"/>
  <c r="Q22" i="22" s="1"/>
  <c r="R22" i="22" s="1"/>
  <c r="M22" i="22"/>
  <c r="U22" i="22" s="1"/>
  <c r="L22" i="22"/>
  <c r="S21" i="22"/>
  <c r="T21" i="22" s="1"/>
  <c r="P21" i="22"/>
  <c r="Q21" i="22" s="1"/>
  <c r="R21" i="22" s="1"/>
  <c r="M21" i="22"/>
  <c r="U21" i="22" s="1"/>
  <c r="V21" i="22" s="1"/>
  <c r="L21" i="22"/>
  <c r="S20" i="22"/>
  <c r="T20" i="22" s="1"/>
  <c r="P20" i="22"/>
  <c r="Q20" i="22" s="1"/>
  <c r="R20" i="22" s="1"/>
  <c r="M20" i="22"/>
  <c r="U20" i="22" s="1"/>
  <c r="L20" i="22"/>
  <c r="S19" i="22"/>
  <c r="T19" i="22" s="1"/>
  <c r="P19" i="22"/>
  <c r="Q19" i="22" s="1"/>
  <c r="R19" i="22" s="1"/>
  <c r="M19" i="22"/>
  <c r="U19" i="22" s="1"/>
  <c r="V19" i="22" s="1"/>
  <c r="L19" i="22"/>
  <c r="S18" i="22"/>
  <c r="T18" i="22" s="1"/>
  <c r="Q18" i="22"/>
  <c r="R18" i="22" s="1"/>
  <c r="P18" i="22"/>
  <c r="M18" i="22"/>
  <c r="L18" i="22"/>
  <c r="S17" i="22"/>
  <c r="T17" i="22" s="1"/>
  <c r="P17" i="22"/>
  <c r="Q17" i="22" s="1"/>
  <c r="R17" i="22" s="1"/>
  <c r="M17" i="22"/>
  <c r="U17" i="22" s="1"/>
  <c r="V17" i="22" s="1"/>
  <c r="L17" i="22"/>
  <c r="S16" i="22"/>
  <c r="T16" i="22" s="1"/>
  <c r="P16" i="22"/>
  <c r="Q16" i="22" s="1"/>
  <c r="R16" i="22" s="1"/>
  <c r="M16" i="22"/>
  <c r="U16" i="22" s="1"/>
  <c r="L16" i="22"/>
  <c r="S15" i="22"/>
  <c r="T15" i="22" s="1"/>
  <c r="P15" i="22"/>
  <c r="Q15" i="22" s="1"/>
  <c r="R15" i="22" s="1"/>
  <c r="M15" i="22"/>
  <c r="L15" i="22"/>
  <c r="S14" i="22"/>
  <c r="T14" i="22" s="1"/>
  <c r="Q14" i="22"/>
  <c r="R14" i="22" s="1"/>
  <c r="P14" i="22"/>
  <c r="M14" i="22"/>
  <c r="L14" i="22"/>
  <c r="S13" i="22"/>
  <c r="T13" i="22" s="1"/>
  <c r="P13" i="22"/>
  <c r="Q13" i="22" s="1"/>
  <c r="R13" i="22" s="1"/>
  <c r="M13" i="22"/>
  <c r="U13" i="22" s="1"/>
  <c r="V13" i="22" s="1"/>
  <c r="L13" i="22"/>
  <c r="S12" i="22"/>
  <c r="T12" i="22" s="1"/>
  <c r="P12" i="22"/>
  <c r="Q12" i="22" s="1"/>
  <c r="R12" i="22" s="1"/>
  <c r="M12" i="22"/>
  <c r="L12" i="22"/>
  <c r="S11" i="22"/>
  <c r="T11" i="22" s="1"/>
  <c r="P11" i="22"/>
  <c r="Q11" i="22" s="1"/>
  <c r="R11" i="22" s="1"/>
  <c r="M11" i="22"/>
  <c r="U11" i="22" s="1"/>
  <c r="V11" i="22" s="1"/>
  <c r="L11" i="22"/>
  <c r="S10" i="22"/>
  <c r="T10" i="22" s="1"/>
  <c r="P10" i="22"/>
  <c r="Q10" i="22" s="1"/>
  <c r="R10" i="22" s="1"/>
  <c r="M10" i="22"/>
  <c r="L10" i="22"/>
  <c r="S9" i="22"/>
  <c r="T9" i="22" s="1"/>
  <c r="P9" i="22"/>
  <c r="Q9" i="22" s="1"/>
  <c r="R9" i="22" s="1"/>
  <c r="M9" i="22"/>
  <c r="U9" i="22" s="1"/>
  <c r="V9" i="22" s="1"/>
  <c r="L9" i="22"/>
  <c r="S8" i="22"/>
  <c r="T8" i="22" s="1"/>
  <c r="P8" i="22"/>
  <c r="Q8" i="22" s="1"/>
  <c r="R8" i="22" s="1"/>
  <c r="M8" i="22"/>
  <c r="L8" i="22"/>
  <c r="S7" i="22"/>
  <c r="T7" i="22" s="1"/>
  <c r="P7" i="22"/>
  <c r="Q7" i="22" s="1"/>
  <c r="R7" i="22" s="1"/>
  <c r="M7" i="22"/>
  <c r="U7" i="22" s="1"/>
  <c r="V7" i="22" s="1"/>
  <c r="L7" i="22"/>
  <c r="S6" i="22"/>
  <c r="T6" i="22" s="1"/>
  <c r="P6" i="22"/>
  <c r="Q6" i="22" s="1"/>
  <c r="R6" i="22" s="1"/>
  <c r="M6" i="22"/>
  <c r="L6" i="22"/>
  <c r="M41" i="21"/>
  <c r="U25" i="22" l="1"/>
  <c r="V25" i="22" s="1"/>
  <c r="M48" i="22"/>
  <c r="K39" i="22"/>
  <c r="M39" i="22"/>
  <c r="K40" i="22"/>
  <c r="M40" i="22" s="1"/>
  <c r="U40" i="22" s="1"/>
  <c r="V40" i="22" s="1"/>
  <c r="W40" i="22" s="1"/>
  <c r="X40" i="22" s="1"/>
  <c r="W19" i="22"/>
  <c r="X19" i="22" s="1"/>
  <c r="G48" i="22"/>
  <c r="U15" i="22"/>
  <c r="V15" i="22" s="1"/>
  <c r="W15" i="22" s="1"/>
  <c r="X15" i="22" s="1"/>
  <c r="U6" i="22"/>
  <c r="U10" i="22"/>
  <c r="V10" i="22" s="1"/>
  <c r="W10" i="22" s="1"/>
  <c r="X10" i="22" s="1"/>
  <c r="U27" i="22"/>
  <c r="V27" i="22" s="1"/>
  <c r="W27" i="22" s="1"/>
  <c r="X27" i="22" s="1"/>
  <c r="U29" i="22"/>
  <c r="V29" i="22" s="1"/>
  <c r="W29" i="22" s="1"/>
  <c r="X29" i="22" s="1"/>
  <c r="W7" i="22"/>
  <c r="X7" i="22" s="1"/>
  <c r="W11" i="22"/>
  <c r="X11" i="22" s="1"/>
  <c r="W25" i="22"/>
  <c r="X25" i="22" s="1"/>
  <c r="W17" i="22"/>
  <c r="X17" i="22" s="1"/>
  <c r="W21" i="22"/>
  <c r="X21" i="22" s="1"/>
  <c r="W31" i="22"/>
  <c r="X31" i="22" s="1"/>
  <c r="W9" i="22"/>
  <c r="X9" i="22" s="1"/>
  <c r="W13" i="22"/>
  <c r="X13" i="22" s="1"/>
  <c r="W23" i="22"/>
  <c r="X23" i="22" s="1"/>
  <c r="W33" i="22"/>
  <c r="X33" i="22" s="1"/>
  <c r="U12" i="22"/>
  <c r="V12" i="22" s="1"/>
  <c r="W12" i="22" s="1"/>
  <c r="X12" i="22" s="1"/>
  <c r="U24" i="22"/>
  <c r="V24" i="22" s="1"/>
  <c r="W24" i="22" s="1"/>
  <c r="X24" i="22" s="1"/>
  <c r="U30" i="22"/>
  <c r="V30" i="22" s="1"/>
  <c r="W30" i="22" s="1"/>
  <c r="X30" i="22" s="1"/>
  <c r="V22" i="22"/>
  <c r="W22" i="22" s="1"/>
  <c r="X22" i="22" s="1"/>
  <c r="V26" i="22"/>
  <c r="W26" i="22" s="1"/>
  <c r="X26" i="22" s="1"/>
  <c r="V28" i="22"/>
  <c r="W28" i="22" s="1"/>
  <c r="X28" i="22" s="1"/>
  <c r="V32" i="22"/>
  <c r="W32" i="22" s="1"/>
  <c r="X32" i="22" s="1"/>
  <c r="I48" i="22"/>
  <c r="U8" i="22"/>
  <c r="V8" i="22" s="1"/>
  <c r="W8" i="22" s="1"/>
  <c r="X8" i="22" s="1"/>
  <c r="U18" i="22"/>
  <c r="V18" i="22" s="1"/>
  <c r="W18" i="22" s="1"/>
  <c r="X18" i="22" s="1"/>
  <c r="U14" i="22"/>
  <c r="V14" i="22" s="1"/>
  <c r="W14" i="22" s="1"/>
  <c r="X14" i="22" s="1"/>
  <c r="V16" i="22"/>
  <c r="W16" i="22" s="1"/>
  <c r="X16" i="22" s="1"/>
  <c r="V20" i="22"/>
  <c r="W20" i="22" s="1"/>
  <c r="X20" i="22" s="1"/>
  <c r="K73" i="17"/>
  <c r="L73" i="17" s="1"/>
  <c r="M73" i="17" s="1"/>
  <c r="N73" i="17" s="1"/>
  <c r="J73" i="17"/>
  <c r="G73" i="17"/>
  <c r="K58" i="17"/>
  <c r="L58" i="17" s="1"/>
  <c r="M58" i="17" s="1"/>
  <c r="N58" i="17" s="1"/>
  <c r="J58" i="17"/>
  <c r="G58" i="17"/>
  <c r="K57" i="17"/>
  <c r="L57" i="17" s="1"/>
  <c r="M57" i="17" s="1"/>
  <c r="N57" i="17" s="1"/>
  <c r="J57" i="17"/>
  <c r="G57" i="17"/>
  <c r="M37" i="21"/>
  <c r="L37" i="21"/>
  <c r="M36" i="21"/>
  <c r="L36" i="21"/>
  <c r="M35" i="21"/>
  <c r="L35" i="21"/>
  <c r="M34" i="21"/>
  <c r="L34" i="21"/>
  <c r="N39" i="21"/>
  <c r="K56" i="17"/>
  <c r="L56" i="17" s="1"/>
  <c r="M56" i="17" s="1"/>
  <c r="N56" i="17" s="1"/>
  <c r="J56" i="17"/>
  <c r="G56" i="17"/>
  <c r="O56" i="17" s="1"/>
  <c r="K55" i="17"/>
  <c r="L55" i="17" s="1"/>
  <c r="M55" i="17" s="1"/>
  <c r="N55" i="17" s="1"/>
  <c r="J55" i="17"/>
  <c r="G55" i="17"/>
  <c r="L30" i="21"/>
  <c r="G38" i="21"/>
  <c r="I38" i="21"/>
  <c r="O55" i="17" l="1"/>
  <c r="P55" i="17" s="1"/>
  <c r="Q55" i="17" s="1"/>
  <c r="U39" i="22"/>
  <c r="V39" i="22"/>
  <c r="W39" i="22" s="1"/>
  <c r="X39" i="22" s="1"/>
  <c r="O58" i="17"/>
  <c r="P58" i="17" s="1"/>
  <c r="Q58" i="17" s="1"/>
  <c r="O73" i="17"/>
  <c r="P73" i="17" s="1"/>
  <c r="Q73" i="17" s="1"/>
  <c r="O57" i="17"/>
  <c r="P57" i="17" s="1"/>
  <c r="Q57" i="17" s="1"/>
  <c r="P56" i="17"/>
  <c r="Q56" i="17" s="1"/>
  <c r="U48" i="22"/>
  <c r="V6" i="22"/>
  <c r="F81" i="17" l="1"/>
  <c r="C10" i="1" s="1"/>
  <c r="V48" i="22"/>
  <c r="W6" i="22"/>
  <c r="L31" i="21"/>
  <c r="M31" i="21"/>
  <c r="V31" i="21" s="1"/>
  <c r="Q31" i="21"/>
  <c r="R31" i="21" s="1"/>
  <c r="S31" i="21" s="1"/>
  <c r="T31" i="21"/>
  <c r="U31" i="21" s="1"/>
  <c r="L32" i="21"/>
  <c r="M32" i="21"/>
  <c r="V32" i="21" s="1"/>
  <c r="W32" i="21" s="1"/>
  <c r="Q32" i="21"/>
  <c r="R32" i="21" s="1"/>
  <c r="S32" i="21" s="1"/>
  <c r="T32" i="21"/>
  <c r="U32" i="21" s="1"/>
  <c r="L33" i="21"/>
  <c r="M33" i="21"/>
  <c r="Q33" i="21"/>
  <c r="R33" i="21" s="1"/>
  <c r="S33" i="21" s="1"/>
  <c r="T33" i="21"/>
  <c r="U33" i="21" s="1"/>
  <c r="Q34" i="21"/>
  <c r="R34" i="21" s="1"/>
  <c r="S34" i="21" s="1"/>
  <c r="T34" i="21"/>
  <c r="U34" i="21" s="1"/>
  <c r="V34" i="21"/>
  <c r="W34" i="21" s="1"/>
  <c r="Q35" i="21"/>
  <c r="R35" i="21" s="1"/>
  <c r="S35" i="21" s="1"/>
  <c r="T35" i="21"/>
  <c r="U35" i="21" s="1"/>
  <c r="V35" i="21"/>
  <c r="W35" i="21" s="1"/>
  <c r="Y35" i="21" s="1"/>
  <c r="Q36" i="21"/>
  <c r="R36" i="21" s="1"/>
  <c r="S36" i="21" s="1"/>
  <c r="T36" i="21"/>
  <c r="U36" i="21" s="1"/>
  <c r="V36" i="21"/>
  <c r="W36" i="21" s="1"/>
  <c r="Q37" i="21"/>
  <c r="R37" i="21" s="1"/>
  <c r="S37" i="21" s="1"/>
  <c r="T37" i="21"/>
  <c r="U37" i="21" s="1"/>
  <c r="V37" i="21"/>
  <c r="W37" i="21" s="1"/>
  <c r="W48" i="22" l="1"/>
  <c r="X6" i="22"/>
  <c r="X48" i="22" s="1"/>
  <c r="Y34" i="21"/>
  <c r="Y37" i="21"/>
  <c r="Y36" i="21"/>
  <c r="X32" i="21"/>
  <c r="Y32" i="21" s="1"/>
  <c r="W31" i="21"/>
  <c r="X31" i="21" s="1"/>
  <c r="Y31" i="21" s="1"/>
  <c r="V33" i="21"/>
  <c r="W33" i="21" s="1"/>
  <c r="X33" i="21" s="1"/>
  <c r="Y33" i="21" s="1"/>
  <c r="K8" i="1"/>
  <c r="P80" i="17" l="1"/>
  <c r="K40" i="17"/>
  <c r="L40" i="17" s="1"/>
  <c r="M40" i="17" s="1"/>
  <c r="N40" i="17" s="1"/>
  <c r="J40" i="17"/>
  <c r="G40" i="17"/>
  <c r="K54" i="17"/>
  <c r="L54" i="17" s="1"/>
  <c r="M54" i="17" s="1"/>
  <c r="N54" i="17" s="1"/>
  <c r="J54" i="17"/>
  <c r="K53" i="17"/>
  <c r="L53" i="17" s="1"/>
  <c r="M53" i="17" s="1"/>
  <c r="N53" i="17" s="1"/>
  <c r="J53" i="17"/>
  <c r="K52" i="17"/>
  <c r="L52" i="17" s="1"/>
  <c r="M52" i="17" s="1"/>
  <c r="N52" i="17" s="1"/>
  <c r="J52" i="17"/>
  <c r="K51" i="17"/>
  <c r="L51" i="17" s="1"/>
  <c r="M51" i="17" s="1"/>
  <c r="N51" i="17" s="1"/>
  <c r="J51" i="17"/>
  <c r="G54" i="17"/>
  <c r="G53" i="17"/>
  <c r="G52" i="17"/>
  <c r="G51" i="17"/>
  <c r="K63" i="17"/>
  <c r="L63" i="17" s="1"/>
  <c r="M63" i="17" s="1"/>
  <c r="N63" i="17" s="1"/>
  <c r="J63" i="17"/>
  <c r="G63" i="17"/>
  <c r="O63" i="17" l="1"/>
  <c r="P63" i="17" s="1"/>
  <c r="Q63" i="17" s="1"/>
  <c r="O54" i="17"/>
  <c r="P54" i="17" s="1"/>
  <c r="Q54" i="17" s="1"/>
  <c r="O53" i="17"/>
  <c r="P53" i="17" s="1"/>
  <c r="Q53" i="17" s="1"/>
  <c r="O51" i="17"/>
  <c r="P51" i="17" s="1"/>
  <c r="Q51" i="17" s="1"/>
  <c r="O52" i="17"/>
  <c r="P52" i="17" s="1"/>
  <c r="Q52" i="17" s="1"/>
  <c r="O40" i="17"/>
  <c r="P40" i="17" s="1"/>
  <c r="Q40" i="17" s="1"/>
  <c r="K12" i="20"/>
  <c r="L12" i="20" s="1"/>
  <c r="M12" i="20" s="1"/>
  <c r="N12" i="20" s="1"/>
  <c r="J12" i="20"/>
  <c r="G12" i="20"/>
  <c r="O12" i="20" s="1"/>
  <c r="P12" i="20" l="1"/>
  <c r="Q12" i="20" s="1"/>
  <c r="K41" i="17"/>
  <c r="L41" i="17" s="1"/>
  <c r="J41" i="17"/>
  <c r="G41" i="17"/>
  <c r="P38" i="21"/>
  <c r="O38" i="21"/>
  <c r="M41" i="17" l="1"/>
  <c r="N41" i="17" s="1"/>
  <c r="O41" i="17"/>
  <c r="P41" i="17" s="1"/>
  <c r="N38" i="21"/>
  <c r="Q41" i="17" l="1"/>
  <c r="K11" i="20"/>
  <c r="L11" i="20" s="1"/>
  <c r="M11" i="20" s="1"/>
  <c r="N11" i="20" s="1"/>
  <c r="J11" i="20"/>
  <c r="G11" i="20"/>
  <c r="C11" i="1"/>
  <c r="K10" i="17"/>
  <c r="L10" i="17" s="1"/>
  <c r="O11" i="20" l="1"/>
  <c r="P11" i="20" s="1"/>
  <c r="Q11" i="20" s="1"/>
  <c r="M10" i="17"/>
  <c r="N10" i="17" s="1"/>
  <c r="K10" i="20"/>
  <c r="L10" i="20" s="1"/>
  <c r="M10" i="20" s="1"/>
  <c r="N10" i="20" s="1"/>
  <c r="J10" i="20"/>
  <c r="G10" i="20"/>
  <c r="O10" i="20" l="1"/>
  <c r="P10" i="20" s="1"/>
  <c r="Q10" i="20" s="1"/>
  <c r="K50" i="17" l="1"/>
  <c r="K45" i="17"/>
  <c r="K9" i="17"/>
  <c r="K13" i="16"/>
  <c r="L50" i="17" l="1"/>
  <c r="M50" i="17" s="1"/>
  <c r="N50" i="17" s="1"/>
  <c r="J50" i="17"/>
  <c r="G50" i="17"/>
  <c r="O50" i="17" s="1"/>
  <c r="L45" i="17"/>
  <c r="M45" i="17" s="1"/>
  <c r="N45" i="17" s="1"/>
  <c r="J45" i="17"/>
  <c r="G45" i="17"/>
  <c r="L9" i="17"/>
  <c r="M9" i="17" s="1"/>
  <c r="N9" i="17" s="1"/>
  <c r="J9" i="17"/>
  <c r="G9" i="17"/>
  <c r="L13" i="16"/>
  <c r="M13" i="16" s="1"/>
  <c r="N13" i="16" s="1"/>
  <c r="J13" i="16"/>
  <c r="G13" i="16"/>
  <c r="O13" i="16" s="1"/>
  <c r="O9" i="17" l="1"/>
  <c r="P9" i="17" s="1"/>
  <c r="Q9" i="17" s="1"/>
  <c r="O45" i="17"/>
  <c r="P45" i="17" s="1"/>
  <c r="Q45" i="17" s="1"/>
  <c r="P13" i="16"/>
  <c r="Q13" i="16" s="1"/>
  <c r="P50" i="17"/>
  <c r="Q50" i="17" s="1"/>
  <c r="K33" i="16" l="1"/>
  <c r="L33" i="16" s="1"/>
  <c r="M33" i="16" s="1"/>
  <c r="N33" i="16" s="1"/>
  <c r="J33" i="16"/>
  <c r="G33" i="16"/>
  <c r="K28" i="17"/>
  <c r="L28" i="17" s="1"/>
  <c r="M28" i="17" s="1"/>
  <c r="N28" i="17" s="1"/>
  <c r="J28" i="17"/>
  <c r="G28" i="17"/>
  <c r="K29" i="16"/>
  <c r="L29" i="16" s="1"/>
  <c r="M29" i="16" s="1"/>
  <c r="N29" i="16" s="1"/>
  <c r="J29" i="16"/>
  <c r="G29" i="16"/>
  <c r="K8" i="17"/>
  <c r="L8" i="17" s="1"/>
  <c r="M8" i="17" s="1"/>
  <c r="N8" i="17" s="1"/>
  <c r="J8" i="17"/>
  <c r="G8" i="17"/>
  <c r="K21" i="16"/>
  <c r="L21" i="16" s="1"/>
  <c r="M21" i="16" s="1"/>
  <c r="N21" i="16" s="1"/>
  <c r="J21" i="16"/>
  <c r="G21" i="16"/>
  <c r="K15" i="20"/>
  <c r="L15" i="20" s="1"/>
  <c r="M15" i="20" s="1"/>
  <c r="N15" i="20" s="1"/>
  <c r="J15" i="20"/>
  <c r="G15" i="20"/>
  <c r="K72" i="17"/>
  <c r="L72" i="17" s="1"/>
  <c r="M72" i="17" s="1"/>
  <c r="N72" i="17" s="1"/>
  <c r="J72" i="17"/>
  <c r="G72" i="17"/>
  <c r="K17" i="16"/>
  <c r="L17" i="16" s="1"/>
  <c r="M17" i="16" s="1"/>
  <c r="N17" i="16" s="1"/>
  <c r="J17" i="16"/>
  <c r="G17" i="16"/>
  <c r="K34" i="17"/>
  <c r="L34" i="17" s="1"/>
  <c r="M34" i="17" s="1"/>
  <c r="N34" i="17" s="1"/>
  <c r="J34" i="17"/>
  <c r="G34" i="17"/>
  <c r="K25" i="16"/>
  <c r="L25" i="16" s="1"/>
  <c r="M25" i="16" s="1"/>
  <c r="N25" i="16" s="1"/>
  <c r="J25" i="16"/>
  <c r="G25" i="16"/>
  <c r="K12" i="16"/>
  <c r="L12" i="16" s="1"/>
  <c r="M12" i="16" s="1"/>
  <c r="N12" i="16" s="1"/>
  <c r="J12" i="16"/>
  <c r="G12" i="16"/>
  <c r="K9" i="16"/>
  <c r="L9" i="16" s="1"/>
  <c r="M9" i="16" s="1"/>
  <c r="N9" i="16" s="1"/>
  <c r="J9" i="16"/>
  <c r="G9" i="16"/>
  <c r="K62" i="17"/>
  <c r="L62" i="17" s="1"/>
  <c r="M62" i="17" s="1"/>
  <c r="N62" i="17" s="1"/>
  <c r="J62" i="17"/>
  <c r="G62" i="17"/>
  <c r="K44" i="17"/>
  <c r="L44" i="17" s="1"/>
  <c r="M44" i="17" s="1"/>
  <c r="N44" i="17" s="1"/>
  <c r="J44" i="17"/>
  <c r="G44" i="17"/>
  <c r="K49" i="17"/>
  <c r="L49" i="17" s="1"/>
  <c r="M49" i="17" s="1"/>
  <c r="N49" i="17" s="1"/>
  <c r="J49" i="17"/>
  <c r="O49" i="17" s="1"/>
  <c r="G49" i="17"/>
  <c r="K39" i="17"/>
  <c r="L39" i="17" s="1"/>
  <c r="M39" i="17" s="1"/>
  <c r="N39" i="17" s="1"/>
  <c r="J39" i="17"/>
  <c r="G39" i="17"/>
  <c r="K9" i="20"/>
  <c r="L9" i="20" s="1"/>
  <c r="M9" i="20" s="1"/>
  <c r="N9" i="20" s="1"/>
  <c r="J9" i="20"/>
  <c r="G9" i="20"/>
  <c r="K13" i="19"/>
  <c r="L13" i="19" s="1"/>
  <c r="M13" i="19" s="1"/>
  <c r="N13" i="19" s="1"/>
  <c r="K12" i="19"/>
  <c r="L12" i="19" s="1"/>
  <c r="M12" i="19" s="1"/>
  <c r="N12" i="19" s="1"/>
  <c r="J11" i="19"/>
  <c r="J10" i="19"/>
  <c r="J9" i="19"/>
  <c r="J8" i="19"/>
  <c r="J7" i="19"/>
  <c r="G12" i="19"/>
  <c r="G13" i="19"/>
  <c r="O13" i="19" l="1"/>
  <c r="P13" i="19" s="1"/>
  <c r="Q13" i="19" s="1"/>
  <c r="O12" i="19"/>
  <c r="P12" i="19" s="1"/>
  <c r="Q12" i="19" s="1"/>
  <c r="O34" i="17"/>
  <c r="P34" i="17" s="1"/>
  <c r="Q34" i="17" s="1"/>
  <c r="O33" i="16"/>
  <c r="P33" i="16" s="1"/>
  <c r="Q33" i="16" s="1"/>
  <c r="O9" i="16"/>
  <c r="P9" i="16" s="1"/>
  <c r="Q9" i="16" s="1"/>
  <c r="O72" i="17"/>
  <c r="P72" i="17" s="1"/>
  <c r="Q72" i="17" s="1"/>
  <c r="O62" i="17"/>
  <c r="P49" i="17"/>
  <c r="Q49" i="17" s="1"/>
  <c r="O44" i="17"/>
  <c r="P44" i="17" s="1"/>
  <c r="Q44" i="17" s="1"/>
  <c r="O39" i="17"/>
  <c r="P39" i="17" s="1"/>
  <c r="Q39" i="17" s="1"/>
  <c r="O28" i="17"/>
  <c r="P28" i="17" s="1"/>
  <c r="Q28" i="17" s="1"/>
  <c r="O29" i="16"/>
  <c r="P29" i="16" s="1"/>
  <c r="Q29" i="16" s="1"/>
  <c r="O21" i="16"/>
  <c r="P21" i="16" s="1"/>
  <c r="Q21" i="16" s="1"/>
  <c r="O17" i="16"/>
  <c r="P17" i="16" s="1"/>
  <c r="Q17" i="16" s="1"/>
  <c r="O8" i="17"/>
  <c r="P8" i="17" s="1"/>
  <c r="Q8" i="17" s="1"/>
  <c r="O15" i="20"/>
  <c r="P15" i="20" s="1"/>
  <c r="O9" i="20"/>
  <c r="P9" i="20" s="1"/>
  <c r="Q9" i="20" s="1"/>
  <c r="O25" i="16"/>
  <c r="P25" i="16" s="1"/>
  <c r="Q25" i="16" s="1"/>
  <c r="O12" i="16"/>
  <c r="P12" i="16" s="1"/>
  <c r="Q12" i="16" s="1"/>
  <c r="P62" i="17"/>
  <c r="Q62" i="17" s="1"/>
  <c r="M8" i="1"/>
  <c r="G7" i="19"/>
  <c r="Q15" i="20" l="1"/>
  <c r="H13" i="1"/>
  <c r="H12" i="1"/>
  <c r="H10" i="1"/>
  <c r="H9" i="1"/>
  <c r="K6" i="17"/>
  <c r="Q10" i="21" l="1"/>
  <c r="K22" i="1" l="1"/>
  <c r="T7" i="21" l="1"/>
  <c r="U7" i="21" s="1"/>
  <c r="T8" i="21"/>
  <c r="U8" i="21" s="1"/>
  <c r="T9" i="21"/>
  <c r="U9" i="21" s="1"/>
  <c r="T10" i="21"/>
  <c r="U10" i="21" s="1"/>
  <c r="T11" i="21"/>
  <c r="U11" i="21" s="1"/>
  <c r="T12" i="21"/>
  <c r="U12" i="21" s="1"/>
  <c r="T13" i="21"/>
  <c r="U13" i="21" s="1"/>
  <c r="T14" i="21"/>
  <c r="U14" i="21" s="1"/>
  <c r="T15" i="21"/>
  <c r="U15" i="21" s="1"/>
  <c r="T16" i="21"/>
  <c r="U16" i="21" s="1"/>
  <c r="T17" i="21"/>
  <c r="U17" i="21" s="1"/>
  <c r="T18" i="21"/>
  <c r="U18" i="21" s="1"/>
  <c r="T19" i="21"/>
  <c r="U19" i="21" s="1"/>
  <c r="T20" i="21"/>
  <c r="U20" i="21" s="1"/>
  <c r="T21" i="21"/>
  <c r="U21" i="21" s="1"/>
  <c r="T22" i="21"/>
  <c r="U22" i="21" s="1"/>
  <c r="T23" i="21"/>
  <c r="U23" i="21" s="1"/>
  <c r="T24" i="21"/>
  <c r="U24" i="21" s="1"/>
  <c r="T25" i="21"/>
  <c r="U25" i="21" s="1"/>
  <c r="T26" i="21"/>
  <c r="U26" i="21" s="1"/>
  <c r="T27" i="21"/>
  <c r="U27" i="21" s="1"/>
  <c r="T28" i="21"/>
  <c r="U28" i="21" s="1"/>
  <c r="T29" i="21"/>
  <c r="U29" i="21" s="1"/>
  <c r="T30" i="21"/>
  <c r="U30" i="21" s="1"/>
  <c r="T6" i="21"/>
  <c r="Q7" i="21"/>
  <c r="R7" i="21" s="1"/>
  <c r="Q8" i="21"/>
  <c r="R8" i="21" s="1"/>
  <c r="Q9" i="21"/>
  <c r="R9" i="21" s="1"/>
  <c r="R10" i="21"/>
  <c r="Q11" i="21"/>
  <c r="R11" i="21" s="1"/>
  <c r="Q12" i="21"/>
  <c r="R12" i="21" s="1"/>
  <c r="Q13" i="21"/>
  <c r="R13" i="21" s="1"/>
  <c r="Q14" i="21"/>
  <c r="R14" i="21" s="1"/>
  <c r="Q15" i="21"/>
  <c r="R15" i="21" s="1"/>
  <c r="Q16" i="21"/>
  <c r="R16" i="21" s="1"/>
  <c r="Q17" i="21"/>
  <c r="R17" i="21" s="1"/>
  <c r="Q18" i="21"/>
  <c r="R18" i="21" s="1"/>
  <c r="Q19" i="21"/>
  <c r="R19" i="21" s="1"/>
  <c r="Q20" i="21"/>
  <c r="R20" i="21" s="1"/>
  <c r="L80" i="17" s="1"/>
  <c r="Q21" i="21"/>
  <c r="R21" i="21" s="1"/>
  <c r="Q22" i="21"/>
  <c r="R22" i="21" s="1"/>
  <c r="Q23" i="21"/>
  <c r="R23" i="21" s="1"/>
  <c r="Q24" i="21"/>
  <c r="R24" i="21" s="1"/>
  <c r="Q25" i="21"/>
  <c r="R25" i="21" s="1"/>
  <c r="Q26" i="21"/>
  <c r="R26" i="21" s="1"/>
  <c r="Q27" i="21"/>
  <c r="R27" i="21" s="1"/>
  <c r="Q28" i="21"/>
  <c r="R28" i="21" s="1"/>
  <c r="Q29" i="21"/>
  <c r="R29" i="21" s="1"/>
  <c r="Q30" i="21"/>
  <c r="R30" i="21" s="1"/>
  <c r="Q6" i="21"/>
  <c r="K80" i="17"/>
  <c r="K38" i="21"/>
  <c r="M30" i="21"/>
  <c r="V30" i="21" s="1"/>
  <c r="M29" i="21"/>
  <c r="L29" i="21"/>
  <c r="M28" i="21"/>
  <c r="V28" i="21" s="1"/>
  <c r="L28" i="21"/>
  <c r="M27" i="21"/>
  <c r="V27" i="21" s="1"/>
  <c r="L27" i="21"/>
  <c r="M26" i="21"/>
  <c r="L26" i="21"/>
  <c r="M25" i="21"/>
  <c r="V25" i="21" s="1"/>
  <c r="L25" i="21"/>
  <c r="M24" i="21"/>
  <c r="V24" i="21" s="1"/>
  <c r="L24" i="21"/>
  <c r="M23" i="21"/>
  <c r="V23" i="21" s="1"/>
  <c r="L23" i="21"/>
  <c r="M22" i="21"/>
  <c r="L22" i="21"/>
  <c r="M21" i="21"/>
  <c r="V21" i="21" s="1"/>
  <c r="L21" i="21"/>
  <c r="M20" i="21"/>
  <c r="V20" i="21" s="1"/>
  <c r="L20" i="21"/>
  <c r="M19" i="21"/>
  <c r="V19" i="21" s="1"/>
  <c r="L19" i="21"/>
  <c r="M18" i="21"/>
  <c r="L18" i="21"/>
  <c r="M17" i="21"/>
  <c r="V17" i="21" s="1"/>
  <c r="L17" i="21"/>
  <c r="M16" i="21"/>
  <c r="V16" i="21" s="1"/>
  <c r="L16" i="21"/>
  <c r="M15" i="21"/>
  <c r="V15" i="21" s="1"/>
  <c r="L15" i="21"/>
  <c r="M14" i="21"/>
  <c r="V14" i="21" s="1"/>
  <c r="L14" i="21"/>
  <c r="M13" i="21"/>
  <c r="L13" i="21"/>
  <c r="V12" i="21"/>
  <c r="V11" i="21"/>
  <c r="V10" i="21"/>
  <c r="V9" i="21"/>
  <c r="V7" i="21"/>
  <c r="M38" i="21" l="1"/>
  <c r="R6" i="21"/>
  <c r="Q38" i="21"/>
  <c r="U6" i="21"/>
  <c r="U38" i="21" s="1"/>
  <c r="T38" i="21"/>
  <c r="V13" i="21"/>
  <c r="W13" i="21" s="1"/>
  <c r="M80" i="17"/>
  <c r="N80" i="17" s="1"/>
  <c r="V26" i="21"/>
  <c r="W26" i="21" s="1"/>
  <c r="V8" i="21"/>
  <c r="W8" i="21" s="1"/>
  <c r="V18" i="21"/>
  <c r="W18" i="21" s="1"/>
  <c r="V22" i="21"/>
  <c r="W22" i="21" s="1"/>
  <c r="V29" i="21"/>
  <c r="W29" i="21" s="1"/>
  <c r="W7" i="21"/>
  <c r="W9" i="21"/>
  <c r="W12" i="21"/>
  <c r="W14" i="21"/>
  <c r="W15" i="21"/>
  <c r="W17" i="21"/>
  <c r="W19" i="21"/>
  <c r="W21" i="21"/>
  <c r="W23" i="21"/>
  <c r="W27" i="21"/>
  <c r="W28" i="21"/>
  <c r="W30" i="21"/>
  <c r="S8" i="21"/>
  <c r="W16" i="21"/>
  <c r="W24" i="21"/>
  <c r="S7" i="21"/>
  <c r="W11" i="21"/>
  <c r="W25" i="21"/>
  <c r="V6" i="21"/>
  <c r="W10" i="21"/>
  <c r="W20" i="21"/>
  <c r="W6" i="21" l="1"/>
  <c r="W38" i="21" s="1"/>
  <c r="V38" i="21"/>
  <c r="S6" i="21"/>
  <c r="R38" i="21"/>
  <c r="E81" i="17"/>
  <c r="X7" i="21"/>
  <c r="Y7" i="21" s="1"/>
  <c r="X8" i="21"/>
  <c r="Y8" i="21" s="1"/>
  <c r="S9" i="21"/>
  <c r="X9" i="21" s="1"/>
  <c r="Y9" i="21" s="1"/>
  <c r="L11" i="19"/>
  <c r="M11" i="19" s="1"/>
  <c r="N11" i="19" s="1"/>
  <c r="L10" i="19"/>
  <c r="M10" i="19" s="1"/>
  <c r="N10" i="19" s="1"/>
  <c r="L9" i="19"/>
  <c r="L8" i="19"/>
  <c r="M8" i="19" s="1"/>
  <c r="N8" i="19" s="1"/>
  <c r="E18" i="19"/>
  <c r="G8" i="19"/>
  <c r="G11" i="19"/>
  <c r="O11" i="19" s="1"/>
  <c r="G10" i="19"/>
  <c r="G9" i="19"/>
  <c r="O9" i="19" s="1"/>
  <c r="M10" i="1" l="1"/>
  <c r="X6" i="21"/>
  <c r="Y6" i="21" s="1"/>
  <c r="O10" i="19"/>
  <c r="P10" i="19" s="1"/>
  <c r="Q10" i="19" s="1"/>
  <c r="O8" i="19"/>
  <c r="P8" i="19" s="1"/>
  <c r="Q8" i="19" s="1"/>
  <c r="S10" i="21"/>
  <c r="X10" i="21" s="1"/>
  <c r="Y10" i="21" s="1"/>
  <c r="P9" i="19"/>
  <c r="Q9" i="19" s="1"/>
  <c r="P11" i="19"/>
  <c r="Q11" i="19" s="1"/>
  <c r="M9" i="19"/>
  <c r="N9" i="19" s="1"/>
  <c r="O80" i="17" l="1"/>
  <c r="Q80" i="17"/>
  <c r="Y48" i="22" s="1"/>
  <c r="S11" i="21"/>
  <c r="X11" i="21" s="1"/>
  <c r="E8" i="1"/>
  <c r="L8" i="1" s="1"/>
  <c r="Y11" i="21" l="1"/>
  <c r="D44" i="16"/>
  <c r="D43" i="16"/>
  <c r="D42" i="16"/>
  <c r="J7" i="16"/>
  <c r="S12" i="21" l="1"/>
  <c r="J14" i="20"/>
  <c r="J13" i="20"/>
  <c r="J8" i="20"/>
  <c r="J7" i="20"/>
  <c r="J18" i="19"/>
  <c r="J78" i="17"/>
  <c r="J76" i="17"/>
  <c r="J75" i="17"/>
  <c r="J71" i="17"/>
  <c r="J70" i="17"/>
  <c r="J69" i="17"/>
  <c r="J68" i="17"/>
  <c r="J67" i="17"/>
  <c r="J66" i="17"/>
  <c r="J65" i="17"/>
  <c r="J61" i="17"/>
  <c r="J60" i="17"/>
  <c r="J48" i="17"/>
  <c r="J47" i="17"/>
  <c r="J43" i="17"/>
  <c r="J38" i="17"/>
  <c r="J37" i="17"/>
  <c r="J36" i="17"/>
  <c r="J33" i="17"/>
  <c r="J32" i="17"/>
  <c r="J31" i="17"/>
  <c r="J30" i="17"/>
  <c r="J29" i="17"/>
  <c r="J27" i="17"/>
  <c r="J26" i="17"/>
  <c r="J24" i="17"/>
  <c r="J23" i="17"/>
  <c r="J21" i="17"/>
  <c r="J20" i="17"/>
  <c r="J19" i="17"/>
  <c r="J18" i="17"/>
  <c r="J16" i="17"/>
  <c r="J15" i="17"/>
  <c r="J13" i="17"/>
  <c r="J12" i="17"/>
  <c r="J10" i="17"/>
  <c r="J7" i="17"/>
  <c r="J6" i="17"/>
  <c r="J36" i="16"/>
  <c r="J35" i="16"/>
  <c r="J32" i="16"/>
  <c r="J31" i="16"/>
  <c r="J28" i="16"/>
  <c r="J27" i="16"/>
  <c r="J24" i="16"/>
  <c r="J23" i="16"/>
  <c r="J20" i="16"/>
  <c r="J19" i="16"/>
  <c r="J16" i="16"/>
  <c r="J15" i="16"/>
  <c r="J11" i="16"/>
  <c r="J8" i="16"/>
  <c r="K7" i="16"/>
  <c r="L7" i="16" s="1"/>
  <c r="X12" i="21" l="1"/>
  <c r="Y12" i="21" s="1"/>
  <c r="J81" i="17"/>
  <c r="M7" i="16"/>
  <c r="E16" i="20"/>
  <c r="M13" i="1" s="1"/>
  <c r="M12" i="1"/>
  <c r="K70" i="17" l="1"/>
  <c r="L70" i="17" s="1"/>
  <c r="G70" i="17"/>
  <c r="O70" i="17" l="1"/>
  <c r="P70" i="17" s="1"/>
  <c r="Q70" i="17" s="1"/>
  <c r="M70" i="17"/>
  <c r="N70" i="17" s="1"/>
  <c r="F16" i="20" l="1"/>
  <c r="F38" i="16"/>
  <c r="C13" i="1" l="1"/>
  <c r="S13" i="21"/>
  <c r="X13" i="21" s="1"/>
  <c r="Y13" i="21" s="1"/>
  <c r="G7" i="17"/>
  <c r="K7" i="17"/>
  <c r="L7" i="17" s="1"/>
  <c r="M7" i="17" s="1"/>
  <c r="N7" i="17" s="1"/>
  <c r="G68" i="17"/>
  <c r="K68" i="17"/>
  <c r="L68" i="17" s="1"/>
  <c r="M68" i="17" s="1"/>
  <c r="N68" i="17" s="1"/>
  <c r="G66" i="17"/>
  <c r="K66" i="17"/>
  <c r="L66" i="17" s="1"/>
  <c r="M66" i="17" s="1"/>
  <c r="N66" i="17" s="1"/>
  <c r="G71" i="17"/>
  <c r="K71" i="17"/>
  <c r="L71" i="17" s="1"/>
  <c r="M71" i="17" s="1"/>
  <c r="N71" i="17" s="1"/>
  <c r="G19" i="17"/>
  <c r="K19" i="17"/>
  <c r="L19" i="17" s="1"/>
  <c r="M19" i="17" s="1"/>
  <c r="N19" i="17" s="1"/>
  <c r="G30" i="17"/>
  <c r="K30" i="17"/>
  <c r="L30" i="17" s="1"/>
  <c r="M30" i="17" s="1"/>
  <c r="N30" i="17" s="1"/>
  <c r="G76" i="17"/>
  <c r="K76" i="17"/>
  <c r="L76" i="17" s="1"/>
  <c r="M76" i="17" s="1"/>
  <c r="N76" i="17" s="1"/>
  <c r="G61" i="17"/>
  <c r="K61" i="17"/>
  <c r="L61" i="17" s="1"/>
  <c r="M61" i="17" s="1"/>
  <c r="N61" i="17" s="1"/>
  <c r="G38" i="17"/>
  <c r="K38" i="17"/>
  <c r="L38" i="17" s="1"/>
  <c r="M38" i="17" s="1"/>
  <c r="N38" i="17" s="1"/>
  <c r="K48" i="17"/>
  <c r="L48" i="17" s="1"/>
  <c r="M48" i="17" s="1"/>
  <c r="N48" i="17" s="1"/>
  <c r="G48" i="17"/>
  <c r="K37" i="17"/>
  <c r="L37" i="17" s="1"/>
  <c r="M37" i="17" s="1"/>
  <c r="N37" i="17" s="1"/>
  <c r="G37" i="17"/>
  <c r="K24" i="17"/>
  <c r="L24" i="17" s="1"/>
  <c r="M24" i="17" s="1"/>
  <c r="N24" i="17" s="1"/>
  <c r="G24" i="17"/>
  <c r="K13" i="17"/>
  <c r="L13" i="17" s="1"/>
  <c r="M13" i="17" s="1"/>
  <c r="N13" i="17" s="1"/>
  <c r="G13" i="17"/>
  <c r="K21" i="17"/>
  <c r="L21" i="17" s="1"/>
  <c r="M21" i="17" s="1"/>
  <c r="N21" i="17" s="1"/>
  <c r="G21" i="17"/>
  <c r="K8" i="20"/>
  <c r="L8" i="20" s="1"/>
  <c r="G8" i="20"/>
  <c r="O8" i="20" s="1"/>
  <c r="K14" i="20"/>
  <c r="L14" i="20" s="1"/>
  <c r="M14" i="20" s="1"/>
  <c r="N14" i="20" s="1"/>
  <c r="G14" i="20"/>
  <c r="E10" i="1"/>
  <c r="F18" i="19"/>
  <c r="C12" i="1" s="1"/>
  <c r="S14" i="21" l="1"/>
  <c r="X14" i="21" s="1"/>
  <c r="O48" i="17"/>
  <c r="O61" i="17"/>
  <c r="P61" i="17" s="1"/>
  <c r="Q61" i="17" s="1"/>
  <c r="O71" i="17"/>
  <c r="P71" i="17" s="1"/>
  <c r="Q71" i="17" s="1"/>
  <c r="O14" i="20"/>
  <c r="P14" i="20" s="1"/>
  <c r="Q14" i="20" s="1"/>
  <c r="O38" i="17"/>
  <c r="P38" i="17" s="1"/>
  <c r="Q38" i="17" s="1"/>
  <c r="O24" i="17"/>
  <c r="P24" i="17" s="1"/>
  <c r="Q24" i="17" s="1"/>
  <c r="O30" i="17"/>
  <c r="P30" i="17" s="1"/>
  <c r="Q30" i="17" s="1"/>
  <c r="O68" i="17"/>
  <c r="P68" i="17" s="1"/>
  <c r="Q68" i="17" s="1"/>
  <c r="O19" i="17"/>
  <c r="P19" i="17" s="1"/>
  <c r="Q19" i="17" s="1"/>
  <c r="O7" i="17"/>
  <c r="P7" i="17" s="1"/>
  <c r="Q7" i="17" s="1"/>
  <c r="O76" i="17"/>
  <c r="P76" i="17" s="1"/>
  <c r="Q76" i="17" s="1"/>
  <c r="O66" i="17"/>
  <c r="P66" i="17" s="1"/>
  <c r="Q66" i="17" s="1"/>
  <c r="M8" i="20"/>
  <c r="N8" i="20" s="1"/>
  <c r="P8" i="20"/>
  <c r="Q8" i="20" s="1"/>
  <c r="P48" i="17"/>
  <c r="Q48" i="17" s="1"/>
  <c r="O21" i="17"/>
  <c r="O13" i="17"/>
  <c r="P13" i="17" s="1"/>
  <c r="Q13" i="17" s="1"/>
  <c r="O37" i="17"/>
  <c r="P37" i="17" s="1"/>
  <c r="K13" i="20"/>
  <c r="L13" i="20" s="1"/>
  <c r="K7" i="20"/>
  <c r="L7" i="20" s="1"/>
  <c r="M7" i="20" s="1"/>
  <c r="N7" i="20" s="1"/>
  <c r="G7" i="20"/>
  <c r="G13" i="20"/>
  <c r="O13" i="20" s="1"/>
  <c r="Y14" i="21" l="1"/>
  <c r="G16" i="20"/>
  <c r="J16" i="20"/>
  <c r="P13" i="20"/>
  <c r="Q13" i="20" s="1"/>
  <c r="P21" i="17"/>
  <c r="Q37" i="17"/>
  <c r="M13" i="20"/>
  <c r="N13" i="20" s="1"/>
  <c r="O7" i="20"/>
  <c r="S15" i="21" l="1"/>
  <c r="X15" i="21" s="1"/>
  <c r="Q21" i="17"/>
  <c r="O16" i="20"/>
  <c r="P7" i="20"/>
  <c r="Y15" i="21" l="1"/>
  <c r="S16" i="21"/>
  <c r="X16" i="21" s="1"/>
  <c r="Y16" i="21" s="1"/>
  <c r="P16" i="20"/>
  <c r="G13" i="1" s="1"/>
  <c r="Q7" i="20"/>
  <c r="Q16" i="20" s="1"/>
  <c r="L7" i="19"/>
  <c r="M7" i="19" s="1"/>
  <c r="N7" i="19" s="1"/>
  <c r="G18" i="19"/>
  <c r="L6" i="17"/>
  <c r="M6" i="17" s="1"/>
  <c r="N6" i="17" s="1"/>
  <c r="G6" i="17"/>
  <c r="B2" i="20"/>
  <c r="B2" i="19"/>
  <c r="B2" i="18"/>
  <c r="K78" i="17"/>
  <c r="L78" i="17" s="1"/>
  <c r="M78" i="17" s="1"/>
  <c r="N78" i="17" s="1"/>
  <c r="K75" i="17"/>
  <c r="L75" i="17" s="1"/>
  <c r="K69" i="17"/>
  <c r="L69" i="17" s="1"/>
  <c r="M69" i="17" s="1"/>
  <c r="N69" i="17" s="1"/>
  <c r="K67" i="17"/>
  <c r="L67" i="17" s="1"/>
  <c r="M67" i="17" s="1"/>
  <c r="N67" i="17" s="1"/>
  <c r="K65" i="17"/>
  <c r="L65" i="17" s="1"/>
  <c r="M65" i="17" s="1"/>
  <c r="N65" i="17" s="1"/>
  <c r="K60" i="17"/>
  <c r="L60" i="17" s="1"/>
  <c r="K47" i="17"/>
  <c r="L47" i="17" s="1"/>
  <c r="M47" i="17" s="1"/>
  <c r="N47" i="17" s="1"/>
  <c r="K43" i="17"/>
  <c r="L43" i="17" s="1"/>
  <c r="M43" i="17" s="1"/>
  <c r="N43" i="17" s="1"/>
  <c r="K36" i="17"/>
  <c r="L36" i="17" s="1"/>
  <c r="M36" i="17" s="1"/>
  <c r="N36" i="17" s="1"/>
  <c r="K33" i="17"/>
  <c r="L33" i="17" s="1"/>
  <c r="K32" i="17"/>
  <c r="L32" i="17" s="1"/>
  <c r="M32" i="17" s="1"/>
  <c r="N32" i="17" s="1"/>
  <c r="K31" i="17"/>
  <c r="L31" i="17" s="1"/>
  <c r="M31" i="17" s="1"/>
  <c r="N31" i="17" s="1"/>
  <c r="K29" i="17"/>
  <c r="L29" i="17" s="1"/>
  <c r="M29" i="17" s="1"/>
  <c r="N29" i="17" s="1"/>
  <c r="K27" i="17"/>
  <c r="L27" i="17" s="1"/>
  <c r="M27" i="17" s="1"/>
  <c r="N27" i="17" s="1"/>
  <c r="K26" i="17"/>
  <c r="L26" i="17" s="1"/>
  <c r="M26" i="17" s="1"/>
  <c r="N26" i="17" s="1"/>
  <c r="K23" i="17"/>
  <c r="L23" i="17" s="1"/>
  <c r="M23" i="17" s="1"/>
  <c r="N23" i="17" s="1"/>
  <c r="K20" i="17"/>
  <c r="L20" i="17" s="1"/>
  <c r="M20" i="17" s="1"/>
  <c r="N20" i="17" s="1"/>
  <c r="K18" i="17"/>
  <c r="L18" i="17" s="1"/>
  <c r="M18" i="17" s="1"/>
  <c r="N18" i="17" s="1"/>
  <c r="K16" i="17"/>
  <c r="L16" i="17" s="1"/>
  <c r="M16" i="17" s="1"/>
  <c r="N16" i="17" s="1"/>
  <c r="K15" i="17"/>
  <c r="L15" i="17" s="1"/>
  <c r="M15" i="17" s="1"/>
  <c r="N15" i="17" s="1"/>
  <c r="K12" i="17"/>
  <c r="L12" i="17" s="1"/>
  <c r="M12" i="17" s="1"/>
  <c r="N12" i="17" s="1"/>
  <c r="G78" i="17"/>
  <c r="G75" i="17"/>
  <c r="G69" i="17"/>
  <c r="G67" i="17"/>
  <c r="G65" i="17"/>
  <c r="O65" i="17" s="1"/>
  <c r="G60" i="17"/>
  <c r="G47" i="17"/>
  <c r="G43" i="17"/>
  <c r="G36" i="17"/>
  <c r="G33" i="17"/>
  <c r="G32" i="17"/>
  <c r="G31" i="17"/>
  <c r="G29" i="17"/>
  <c r="G27" i="17"/>
  <c r="G26" i="17"/>
  <c r="G23" i="17"/>
  <c r="G20" i="17"/>
  <c r="G18" i="17"/>
  <c r="G16" i="17"/>
  <c r="G15" i="17"/>
  <c r="G12" i="17"/>
  <c r="G10" i="17"/>
  <c r="O10" i="17" s="1"/>
  <c r="P10" i="17" s="1"/>
  <c r="Q10" i="17" s="1"/>
  <c r="B2" i="17"/>
  <c r="G81" i="17" l="1"/>
  <c r="P65" i="17"/>
  <c r="Q65" i="17" s="1"/>
  <c r="O6" i="17"/>
  <c r="S17" i="21"/>
  <c r="X17" i="21" s="1"/>
  <c r="O36" i="17"/>
  <c r="P36" i="17" s="1"/>
  <c r="Q36" i="17" s="1"/>
  <c r="O12" i="17"/>
  <c r="P12" i="17" s="1"/>
  <c r="Q12" i="17" s="1"/>
  <c r="O32" i="17"/>
  <c r="O69" i="17"/>
  <c r="P69" i="17" s="1"/>
  <c r="Q69" i="17" s="1"/>
  <c r="O18" i="17"/>
  <c r="P18" i="17" s="1"/>
  <c r="Q18" i="17" s="1"/>
  <c r="O27" i="17"/>
  <c r="P27" i="17" s="1"/>
  <c r="Q27" i="17" s="1"/>
  <c r="O60" i="17"/>
  <c r="P60" i="17" s="1"/>
  <c r="Q60" i="17" s="1"/>
  <c r="O75" i="17"/>
  <c r="P75" i="17" s="1"/>
  <c r="Q75" i="17" s="1"/>
  <c r="O16" i="17"/>
  <c r="P16" i="17" s="1"/>
  <c r="Q16" i="17" s="1"/>
  <c r="O47" i="17"/>
  <c r="P47" i="17" s="1"/>
  <c r="Q47" i="17" s="1"/>
  <c r="O7" i="19"/>
  <c r="O18" i="19" s="1"/>
  <c r="O15" i="17"/>
  <c r="P15" i="17" s="1"/>
  <c r="Q15" i="17" s="1"/>
  <c r="O23" i="17"/>
  <c r="P23" i="17" s="1"/>
  <c r="Q23" i="17" s="1"/>
  <c r="O31" i="17"/>
  <c r="P31" i="17" s="1"/>
  <c r="Q31" i="17" s="1"/>
  <c r="O43" i="17"/>
  <c r="P43" i="17" s="1"/>
  <c r="Q43" i="17" s="1"/>
  <c r="O67" i="17"/>
  <c r="P67" i="17" s="1"/>
  <c r="Q67" i="17" s="1"/>
  <c r="O29" i="17"/>
  <c r="P29" i="17" s="1"/>
  <c r="Q29" i="17" s="1"/>
  <c r="O33" i="17"/>
  <c r="P33" i="17" s="1"/>
  <c r="Q33" i="17" s="1"/>
  <c r="P32" i="17"/>
  <c r="Q32" i="17" s="1"/>
  <c r="O78" i="17"/>
  <c r="O26" i="17"/>
  <c r="P26" i="17" s="1"/>
  <c r="Q26" i="17" s="1"/>
  <c r="O20" i="17"/>
  <c r="M33" i="17"/>
  <c r="N33" i="17" s="1"/>
  <c r="M60" i="17"/>
  <c r="N60" i="17" s="1"/>
  <c r="M75" i="17"/>
  <c r="N75" i="17" s="1"/>
  <c r="Y17" i="21" l="1"/>
  <c r="O81" i="17"/>
  <c r="P6" i="17"/>
  <c r="Q6" i="17" s="1"/>
  <c r="S18" i="21"/>
  <c r="X18" i="21" s="1"/>
  <c r="Y18" i="21" s="1"/>
  <c r="P7" i="19"/>
  <c r="Q7" i="19" s="1"/>
  <c r="Q18" i="19" s="1"/>
  <c r="P78" i="17"/>
  <c r="P20" i="17"/>
  <c r="G7" i="16"/>
  <c r="O7" i="16" s="1"/>
  <c r="P7" i="16" s="1"/>
  <c r="S19" i="21" l="1"/>
  <c r="X19" i="21" s="1"/>
  <c r="Y19" i="21" s="1"/>
  <c r="P18" i="19"/>
  <c r="G12" i="1" s="1"/>
  <c r="Q78" i="17"/>
  <c r="Q20" i="17"/>
  <c r="G8" i="16"/>
  <c r="S20" i="21" l="1"/>
  <c r="X20" i="21" s="1"/>
  <c r="Y20" i="21" s="1"/>
  <c r="I11" i="1"/>
  <c r="K11" i="1" s="1"/>
  <c r="I12" i="1"/>
  <c r="K12" i="1" s="1"/>
  <c r="I13" i="1"/>
  <c r="K13" i="1" s="1"/>
  <c r="E11" i="1"/>
  <c r="E12" i="1"/>
  <c r="E13" i="1"/>
  <c r="C9" i="1"/>
  <c r="E38" i="16"/>
  <c r="M9" i="1" s="1"/>
  <c r="G36" i="16"/>
  <c r="G35" i="16"/>
  <c r="G32" i="16"/>
  <c r="G31" i="16"/>
  <c r="G28" i="16"/>
  <c r="G27" i="16"/>
  <c r="G24" i="16"/>
  <c r="G23" i="16"/>
  <c r="G20" i="16"/>
  <c r="G19" i="16"/>
  <c r="G16" i="16"/>
  <c r="G15" i="16"/>
  <c r="G11" i="16"/>
  <c r="K36" i="16"/>
  <c r="L36" i="16" s="1"/>
  <c r="M36" i="16" s="1"/>
  <c r="N36" i="16" s="1"/>
  <c r="K35" i="16"/>
  <c r="L35" i="16" s="1"/>
  <c r="M35" i="16" s="1"/>
  <c r="N35" i="16" s="1"/>
  <c r="K32" i="16"/>
  <c r="L32" i="16" s="1"/>
  <c r="M32" i="16" s="1"/>
  <c r="N32" i="16" s="1"/>
  <c r="K31" i="16"/>
  <c r="L31" i="16" s="1"/>
  <c r="M31" i="16" s="1"/>
  <c r="N31" i="16" s="1"/>
  <c r="K28" i="16"/>
  <c r="L28" i="16" s="1"/>
  <c r="M28" i="16" s="1"/>
  <c r="N28" i="16" s="1"/>
  <c r="K27" i="16"/>
  <c r="L27" i="16" s="1"/>
  <c r="M27" i="16" s="1"/>
  <c r="N27" i="16" s="1"/>
  <c r="K24" i="16"/>
  <c r="L24" i="16" s="1"/>
  <c r="M24" i="16" s="1"/>
  <c r="N24" i="16" s="1"/>
  <c r="K23" i="16"/>
  <c r="L23" i="16" s="1"/>
  <c r="M23" i="16" s="1"/>
  <c r="N23" i="16" s="1"/>
  <c r="K20" i="16"/>
  <c r="L20" i="16" s="1"/>
  <c r="M20" i="16" s="1"/>
  <c r="N20" i="16" s="1"/>
  <c r="K19" i="16"/>
  <c r="L19" i="16" s="1"/>
  <c r="M19" i="16" s="1"/>
  <c r="N19" i="16" s="1"/>
  <c r="K16" i="16"/>
  <c r="L16" i="16" s="1"/>
  <c r="M16" i="16" s="1"/>
  <c r="N16" i="16" s="1"/>
  <c r="K15" i="16"/>
  <c r="L15" i="16" s="1"/>
  <c r="M15" i="16" s="1"/>
  <c r="N15" i="16" s="1"/>
  <c r="K11" i="16"/>
  <c r="L11" i="16" s="1"/>
  <c r="M11" i="16" s="1"/>
  <c r="N11" i="16" s="1"/>
  <c r="K8" i="16"/>
  <c r="L8" i="16" s="1"/>
  <c r="M8" i="16" s="1"/>
  <c r="N8" i="16" s="1"/>
  <c r="O8" i="16"/>
  <c r="S21" i="21" l="1"/>
  <c r="X21" i="21" s="1"/>
  <c r="Y21" i="21" s="1"/>
  <c r="E9" i="1"/>
  <c r="O35" i="16"/>
  <c r="P35" i="16" s="1"/>
  <c r="Q35" i="16" s="1"/>
  <c r="O19" i="16"/>
  <c r="P19" i="16" s="1"/>
  <c r="Q19" i="16" s="1"/>
  <c r="O27" i="16"/>
  <c r="P27" i="16" s="1"/>
  <c r="Q27" i="16" s="1"/>
  <c r="O11" i="16"/>
  <c r="P11" i="16" s="1"/>
  <c r="Q11" i="16" s="1"/>
  <c r="O20" i="16"/>
  <c r="P20" i="16" s="1"/>
  <c r="Q20" i="16" s="1"/>
  <c r="O28" i="16"/>
  <c r="P28" i="16" s="1"/>
  <c r="Q28" i="16" s="1"/>
  <c r="O36" i="16"/>
  <c r="P36" i="16" s="1"/>
  <c r="Q36" i="16" s="1"/>
  <c r="O15" i="16"/>
  <c r="P15" i="16" s="1"/>
  <c r="Q15" i="16" s="1"/>
  <c r="O23" i="16"/>
  <c r="P23" i="16" s="1"/>
  <c r="Q23" i="16" s="1"/>
  <c r="O31" i="16"/>
  <c r="P31" i="16" s="1"/>
  <c r="Q31" i="16" s="1"/>
  <c r="O16" i="16"/>
  <c r="P16" i="16" s="1"/>
  <c r="Q16" i="16" s="1"/>
  <c r="O24" i="16"/>
  <c r="P24" i="16" s="1"/>
  <c r="Q24" i="16" s="1"/>
  <c r="O32" i="16"/>
  <c r="P32" i="16" s="1"/>
  <c r="Q32" i="16" s="1"/>
  <c r="L11" i="1"/>
  <c r="P8" i="16"/>
  <c r="Q8" i="16" s="1"/>
  <c r="L13" i="1"/>
  <c r="L12" i="1"/>
  <c r="G38" i="16"/>
  <c r="J38" i="16"/>
  <c r="S22" i="21" l="1"/>
  <c r="X22" i="21" s="1"/>
  <c r="Y22" i="21" s="1"/>
  <c r="Q7" i="16"/>
  <c r="Q38" i="16" s="1"/>
  <c r="O38" i="16"/>
  <c r="N7" i="16"/>
  <c r="H222" i="14"/>
  <c r="F70" i="14"/>
  <c r="D70" i="14"/>
  <c r="C70" i="14"/>
  <c r="E69" i="14"/>
  <c r="G69" i="14" s="1"/>
  <c r="E68" i="14"/>
  <c r="G68" i="14" s="1"/>
  <c r="G67" i="14"/>
  <c r="G64" i="14"/>
  <c r="F61" i="14"/>
  <c r="E61" i="14"/>
  <c r="H59" i="14"/>
  <c r="G59" i="14"/>
  <c r="I59" i="14" s="1"/>
  <c r="H58" i="14"/>
  <c r="D58" i="14"/>
  <c r="G58" i="14" s="1"/>
  <c r="I58" i="14" s="1"/>
  <c r="C57" i="14"/>
  <c r="H57" i="14" s="1"/>
  <c r="H56" i="14"/>
  <c r="G56" i="14"/>
  <c r="H55" i="14"/>
  <c r="G55" i="14"/>
  <c r="H54" i="14"/>
  <c r="G54" i="14"/>
  <c r="H53" i="14"/>
  <c r="G53" i="14"/>
  <c r="H52" i="14"/>
  <c r="G52" i="14"/>
  <c r="H51" i="14"/>
  <c r="G51" i="14"/>
  <c r="H50" i="14"/>
  <c r="G50" i="14"/>
  <c r="H49" i="14"/>
  <c r="G49" i="14"/>
  <c r="H48" i="14"/>
  <c r="G48" i="14"/>
  <c r="H47" i="14"/>
  <c r="G47" i="14"/>
  <c r="H46" i="14"/>
  <c r="D46" i="14"/>
  <c r="G46" i="14" s="1"/>
  <c r="H45" i="14"/>
  <c r="D45" i="14"/>
  <c r="G45" i="14" s="1"/>
  <c r="H44" i="14"/>
  <c r="D44" i="14"/>
  <c r="G44" i="14" s="1"/>
  <c r="H43" i="14"/>
  <c r="D43" i="14"/>
  <c r="G43" i="14" s="1"/>
  <c r="H42" i="14"/>
  <c r="D42" i="14"/>
  <c r="G42" i="14" s="1"/>
  <c r="H41" i="14"/>
  <c r="D41" i="14"/>
  <c r="G41" i="14" s="1"/>
  <c r="H40" i="14"/>
  <c r="D40" i="14"/>
  <c r="G40" i="14" s="1"/>
  <c r="H39" i="14"/>
  <c r="D39" i="14"/>
  <c r="G39" i="14" s="1"/>
  <c r="I39" i="14" s="1"/>
  <c r="H38" i="14"/>
  <c r="D38" i="14"/>
  <c r="G38" i="14" s="1"/>
  <c r="H37" i="14"/>
  <c r="D37" i="14"/>
  <c r="G37" i="14" s="1"/>
  <c r="I37" i="14" s="1"/>
  <c r="H36" i="14"/>
  <c r="D36" i="14"/>
  <c r="G36" i="14" s="1"/>
  <c r="H35" i="14"/>
  <c r="G35" i="14"/>
  <c r="H34" i="14"/>
  <c r="D34" i="14"/>
  <c r="G34" i="14" s="1"/>
  <c r="C33" i="14"/>
  <c r="D33" i="14" s="1"/>
  <c r="G33" i="14" s="1"/>
  <c r="H32" i="14"/>
  <c r="D32" i="14"/>
  <c r="G32" i="14" s="1"/>
  <c r="H31" i="14"/>
  <c r="D31" i="14"/>
  <c r="G31" i="14" s="1"/>
  <c r="I31" i="14" s="1"/>
  <c r="C30" i="14"/>
  <c r="H30" i="14" s="1"/>
  <c r="H29" i="14"/>
  <c r="D29" i="14"/>
  <c r="G29" i="14" s="1"/>
  <c r="H28" i="14"/>
  <c r="D28" i="14"/>
  <c r="G28" i="14" s="1"/>
  <c r="H27" i="14"/>
  <c r="D27" i="14"/>
  <c r="G27" i="14" s="1"/>
  <c r="H26" i="14"/>
  <c r="D26" i="14"/>
  <c r="G26" i="14" s="1"/>
  <c r="C25" i="14"/>
  <c r="H25" i="14" s="1"/>
  <c r="H24" i="14"/>
  <c r="D24" i="14"/>
  <c r="G24" i="14" s="1"/>
  <c r="H23" i="14"/>
  <c r="D23" i="14"/>
  <c r="G23" i="14" s="1"/>
  <c r="I23" i="14" s="1"/>
  <c r="H22" i="14"/>
  <c r="D22" i="14"/>
  <c r="G22" i="14" s="1"/>
  <c r="H21" i="14"/>
  <c r="D21" i="14"/>
  <c r="G21" i="14" s="1"/>
  <c r="I21" i="14" s="1"/>
  <c r="H20" i="14"/>
  <c r="D20" i="14"/>
  <c r="G20" i="14" s="1"/>
  <c r="H19" i="14"/>
  <c r="D19" i="14"/>
  <c r="G19" i="14" s="1"/>
  <c r="I19" i="14" s="1"/>
  <c r="H18" i="14"/>
  <c r="D18" i="14"/>
  <c r="G18" i="14" s="1"/>
  <c r="I18" i="14" s="1"/>
  <c r="H17" i="14"/>
  <c r="G17" i="14"/>
  <c r="I17" i="14" s="1"/>
  <c r="D17" i="14"/>
  <c r="C16" i="14"/>
  <c r="D16" i="14" s="1"/>
  <c r="G14" i="14"/>
  <c r="F12" i="14"/>
  <c r="E12" i="14"/>
  <c r="D12" i="14"/>
  <c r="C12" i="14"/>
  <c r="G10" i="14"/>
  <c r="G12" i="14" s="1"/>
  <c r="I28" i="14" l="1"/>
  <c r="I41" i="14"/>
  <c r="I43" i="14"/>
  <c r="I45" i="14"/>
  <c r="I47" i="14"/>
  <c r="I27" i="14"/>
  <c r="I29" i="14"/>
  <c r="I34" i="14"/>
  <c r="S23" i="21"/>
  <c r="X23" i="21" s="1"/>
  <c r="Y23" i="21" s="1"/>
  <c r="H16" i="14"/>
  <c r="D25" i="14"/>
  <c r="G25" i="14" s="1"/>
  <c r="I25" i="14" s="1"/>
  <c r="I22" i="14"/>
  <c r="I32" i="14"/>
  <c r="I36" i="14"/>
  <c r="I38" i="14"/>
  <c r="I40" i="14"/>
  <c r="I42" i="14"/>
  <c r="I44" i="14"/>
  <c r="I46" i="14"/>
  <c r="I48" i="14"/>
  <c r="I50" i="14"/>
  <c r="I56" i="14"/>
  <c r="P38" i="16"/>
  <c r="G9" i="1" s="1"/>
  <c r="I54" i="14"/>
  <c r="I24" i="14"/>
  <c r="I26" i="14"/>
  <c r="I35" i="14"/>
  <c r="I51" i="14"/>
  <c r="I55" i="14"/>
  <c r="I20" i="14"/>
  <c r="C61" i="14"/>
  <c r="C73" i="14" s="1"/>
  <c r="D30" i="14"/>
  <c r="G30" i="14" s="1"/>
  <c r="I30" i="14" s="1"/>
  <c r="I49" i="14"/>
  <c r="F73" i="14"/>
  <c r="I53" i="14"/>
  <c r="G16" i="14"/>
  <c r="I16" i="14" s="1"/>
  <c r="I52" i="14"/>
  <c r="D57" i="14"/>
  <c r="G57" i="14" s="1"/>
  <c r="I57" i="14" s="1"/>
  <c r="G70" i="14"/>
  <c r="E70" i="14"/>
  <c r="E73" i="14" s="1"/>
  <c r="H33" i="14"/>
  <c r="H61" i="14" s="1"/>
  <c r="G61" i="14" l="1"/>
  <c r="G73" i="14" s="1"/>
  <c r="I9" i="1"/>
  <c r="S24" i="21"/>
  <c r="X24" i="21" s="1"/>
  <c r="Y24" i="21" s="1"/>
  <c r="D61" i="14"/>
  <c r="D73" i="14" s="1"/>
  <c r="E79" i="14" s="1"/>
  <c r="I33" i="14"/>
  <c r="I61" i="14" s="1"/>
  <c r="K9" i="1" l="1"/>
  <c r="L9" i="1" s="1"/>
  <c r="S25" i="21"/>
  <c r="X25" i="21" s="1"/>
  <c r="Y25" i="21" s="1"/>
  <c r="H73" i="14"/>
  <c r="S26" i="21" l="1"/>
  <c r="X26" i="21" s="1"/>
  <c r="Y26" i="21" s="1"/>
  <c r="H12" i="10"/>
  <c r="G12" i="10"/>
  <c r="F12" i="10"/>
  <c r="E12" i="10"/>
  <c r="D12" i="10"/>
  <c r="C12" i="10"/>
  <c r="B12" i="10"/>
  <c r="S27" i="21" l="1"/>
  <c r="X27" i="21" s="1"/>
  <c r="Y27" i="21" s="1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L6" i="10"/>
  <c r="K6" i="10"/>
  <c r="J6" i="10"/>
  <c r="I6" i="10"/>
  <c r="J12" i="10" l="1"/>
  <c r="L12" i="10"/>
  <c r="M6" i="10"/>
  <c r="M12" i="10" s="1"/>
  <c r="I12" i="10"/>
  <c r="K12" i="10"/>
  <c r="N8" i="10"/>
  <c r="O8" i="10" s="1"/>
  <c r="N9" i="10"/>
  <c r="O9" i="10" s="1"/>
  <c r="N7" i="10"/>
  <c r="O7" i="10" s="1"/>
  <c r="N10" i="10"/>
  <c r="O10" i="10" s="1"/>
  <c r="N6" i="10" l="1"/>
  <c r="S28" i="21"/>
  <c r="X28" i="21" s="1"/>
  <c r="Y28" i="21" s="1"/>
  <c r="O6" i="10"/>
  <c r="O12" i="10" s="1"/>
  <c r="N12" i="10"/>
  <c r="S29" i="21" l="1"/>
  <c r="X29" i="21" s="1"/>
  <c r="Y29" i="21" s="1"/>
  <c r="H15" i="1"/>
  <c r="H17" i="1" s="1"/>
  <c r="S30" i="21" l="1"/>
  <c r="Q9" i="10"/>
  <c r="X30" i="21" l="1"/>
  <c r="Y30" i="21" s="1"/>
  <c r="S38" i="21"/>
  <c r="V9" i="10"/>
  <c r="C15" i="1" l="1"/>
  <c r="C17" i="1" s="1"/>
  <c r="J15" i="1"/>
  <c r="J17" i="1" s="1"/>
  <c r="D15" i="1"/>
  <c r="D17" i="1" s="1"/>
  <c r="Q8" i="10" l="1"/>
  <c r="V8" i="10" s="1"/>
  <c r="F17" i="1"/>
  <c r="S9" i="10"/>
  <c r="B15" i="1"/>
  <c r="B17" i="1" l="1"/>
  <c r="X38" i="21"/>
  <c r="X53" i="21" s="1"/>
  <c r="X54" i="21" s="1"/>
  <c r="M15" i="1"/>
  <c r="M17" i="1" s="1"/>
  <c r="S8" i="10"/>
  <c r="E15" i="1"/>
  <c r="E17" i="1" s="1"/>
  <c r="Y38" i="21" l="1"/>
  <c r="Q6" i="10"/>
  <c r="Q10" i="10"/>
  <c r="S10" i="10" s="1"/>
  <c r="P81" i="17" l="1"/>
  <c r="S6" i="10"/>
  <c r="V6" i="10"/>
  <c r="V10" i="10"/>
  <c r="Q81" i="17" l="1"/>
  <c r="G15" i="1" l="1"/>
  <c r="I10" i="1"/>
  <c r="I15" i="1" s="1"/>
  <c r="I17" i="1" s="1"/>
  <c r="G17" i="1" l="1"/>
  <c r="Q7" i="10"/>
  <c r="V7" i="10" s="1"/>
  <c r="K10" i="1"/>
  <c r="L10" i="1" s="1"/>
  <c r="L15" i="1" s="1"/>
  <c r="L17" i="1" s="1"/>
  <c r="S7" i="10" l="1"/>
  <c r="S12" i="10" s="1"/>
  <c r="Q12" i="10"/>
  <c r="K15" i="1"/>
  <c r="K42" i="1" s="1"/>
  <c r="K17" i="1" l="1"/>
</calcChain>
</file>

<file path=xl/sharedStrings.xml><?xml version="1.0" encoding="utf-8"?>
<sst xmlns="http://schemas.openxmlformats.org/spreadsheetml/2006/main" count="998" uniqueCount="391">
  <si>
    <t>GROSS BLOCK</t>
  </si>
  <si>
    <t xml:space="preserve"> DEPRECIATION</t>
  </si>
  <si>
    <t>PARTICULARS</t>
  </si>
  <si>
    <t>Total Dep</t>
  </si>
  <si>
    <t xml:space="preserve">Land </t>
  </si>
  <si>
    <t xml:space="preserve">Building </t>
  </si>
  <si>
    <t>Plant &amp; Machinery</t>
  </si>
  <si>
    <t>Vehicles</t>
  </si>
  <si>
    <t>Office Equipments</t>
  </si>
  <si>
    <t>Furniture &amp; Fixtures</t>
  </si>
  <si>
    <t>Total as per details</t>
  </si>
  <si>
    <t>Total as per Financials</t>
  </si>
  <si>
    <t>Difference</t>
  </si>
  <si>
    <t>Additions</t>
  </si>
  <si>
    <t>Factory Building</t>
  </si>
  <si>
    <t>Particulars</t>
  </si>
  <si>
    <t>Type</t>
  </si>
  <si>
    <t>Year of Addition</t>
  </si>
  <si>
    <t xml:space="preserve">Amount </t>
  </si>
  <si>
    <t>Structure</t>
  </si>
  <si>
    <t>Life</t>
  </si>
  <si>
    <t>5% of the gross Block</t>
  </si>
  <si>
    <t>HANDHELD COMPUTERS (32 NOS.)</t>
  </si>
  <si>
    <t>HANDHELD COMPUTERS (10 NOS.)</t>
  </si>
  <si>
    <t>Mobile</t>
  </si>
  <si>
    <t>Laptop</t>
  </si>
  <si>
    <t>OFFICE EQUIPMENTS</t>
  </si>
  <si>
    <t>Air Conditioner</t>
  </si>
  <si>
    <t>BOILER</t>
  </si>
  <si>
    <t xml:space="preserve">BOILER ONE </t>
  </si>
  <si>
    <t>BAGASSE CARRIER</t>
  </si>
  <si>
    <t>NEW BOILER 7000 H.S.</t>
  </si>
  <si>
    <t xml:space="preserve">NEW BOILER   </t>
  </si>
  <si>
    <t>I.D. FAN FOR BOILER CAPACITOR</t>
  </si>
  <si>
    <t>BOILER PLATFORM</t>
  </si>
  <si>
    <t>ID. FAN AT BOILER</t>
  </si>
  <si>
    <t>WATER SOFTENING PLANT</t>
  </si>
  <si>
    <t>OLD BOILER</t>
  </si>
  <si>
    <t>ECONOMIZER 2</t>
  </si>
  <si>
    <t>I.D. &amp;F.D. FAN FOR BOILER NO. 7</t>
  </si>
  <si>
    <t xml:space="preserve">NEW ECONOMISER  </t>
  </si>
  <si>
    <t xml:space="preserve">THREE BOILERS </t>
  </si>
  <si>
    <t>3 NOS. BOILERS</t>
  </si>
  <si>
    <t>2500KW TURBO SET COMPLETE</t>
  </si>
  <si>
    <t>POWER TURBINE OF 2500 KW</t>
  </si>
  <si>
    <t xml:space="preserve">ONE J.T. BOILER 8040 SQ.FT. H.S. WITH OTHER ACCESSARIES </t>
  </si>
  <si>
    <t xml:space="preserve">J.T. BOILER 8040 SQ.FT. H.S. </t>
  </si>
  <si>
    <t xml:space="preserve">PUL SETING GRATE </t>
  </si>
  <si>
    <t xml:space="preserve">I.D.FANS OF BIGGER SIZE </t>
  </si>
  <si>
    <t>F.D. FAN OF BIGGER SIZE</t>
  </si>
  <si>
    <t>ONE BOILER BODY J.T. TYPE 8040 SQ.FT. H.S.</t>
  </si>
  <si>
    <t>ONE BOILER FEED PUMP FOR BOILER</t>
  </si>
  <si>
    <t>NEW BOILER FROM RAMAGUNDAM</t>
  </si>
  <si>
    <t>BAGASSE BALING MACHINE (DALLA)</t>
  </si>
  <si>
    <t xml:space="preserve">AIR POLLUTION CONTROL SYSTEM </t>
  </si>
  <si>
    <t>E.F.S.- BOILER NO. 5,6,7,8,9,10,11,&amp;12</t>
  </si>
  <si>
    <t xml:space="preserve">E.F.S.- STEAM &amp; EXHAUST PIPE LINE &amp; HEADERS </t>
  </si>
  <si>
    <t>WET SCRUBBER</t>
  </si>
  <si>
    <t>15 TPH OLD BOILER - ONE NO.</t>
  </si>
  <si>
    <t>WET SCRUBBER FOR 15 &amp; 25  TON BOILER</t>
  </si>
  <si>
    <t>LEVEL CONTROL OF 15 &amp; 25 TPH BOILER</t>
  </si>
  <si>
    <t>ASH PITS FOR 70 &amp; 25 TON BOILER</t>
  </si>
  <si>
    <t>BAGASSE BELT CONVEYOR</t>
  </si>
  <si>
    <t>2.5 MW Turbine</t>
  </si>
  <si>
    <t xml:space="preserve">Roller Bearing 239/560 cak </t>
  </si>
  <si>
    <t>Balance Life</t>
  </si>
  <si>
    <t>Depreciation for the year</t>
  </si>
  <si>
    <t>Balance for Dep</t>
  </si>
  <si>
    <t>Check</t>
  </si>
  <si>
    <t>Q1</t>
  </si>
  <si>
    <t>Q2</t>
  </si>
  <si>
    <t>Q3</t>
  </si>
  <si>
    <t>Q4</t>
  </si>
  <si>
    <t>Depreciation Summary</t>
  </si>
  <si>
    <t>Opening Block</t>
  </si>
  <si>
    <t>Total</t>
  </si>
  <si>
    <t>Var on Q4 vs CQ</t>
  </si>
  <si>
    <t>Intrapolated</t>
  </si>
  <si>
    <t>Var Intra Vs CQ</t>
  </si>
  <si>
    <t>Due to addition in LQ in PY</t>
  </si>
  <si>
    <t>Remarks</t>
  </si>
  <si>
    <t>Decrease due to one car being Honda Civic Fully depreciation in LQ of PY</t>
  </si>
  <si>
    <t>15.11.2011</t>
  </si>
  <si>
    <t>End User Computers</t>
  </si>
  <si>
    <t>No</t>
  </si>
  <si>
    <t>15.12.2011</t>
  </si>
  <si>
    <t>Depreciation upto 30.09.2013</t>
  </si>
  <si>
    <t>Net Value</t>
  </si>
  <si>
    <t>Rate</t>
  </si>
  <si>
    <t>Depreciation as per life elapsed</t>
  </si>
  <si>
    <t>Depreciation available</t>
  </si>
  <si>
    <t>Depreciation for Qe 30/06/2014 as per schedule XIV</t>
  </si>
  <si>
    <t>Depreciation for Qe 30/09/2014 as per schedule XIV</t>
  </si>
  <si>
    <t>Net Block as per Schedule XIV</t>
  </si>
  <si>
    <t>Depreciation for Qe 31/12/2014 as per schedule XIV</t>
  </si>
  <si>
    <t>Depreciation for Qe 31/03/2015 as per schedule XIV</t>
  </si>
  <si>
    <t>Nature of Structure</t>
  </si>
  <si>
    <t>Date of Purch</t>
  </si>
  <si>
    <t>Book Value Date</t>
  </si>
  <si>
    <t>Period elapsed as at 31.03.2014 - Years</t>
  </si>
  <si>
    <t>Life under schedule II</t>
  </si>
  <si>
    <t>Useful Life completed</t>
  </si>
  <si>
    <t>5% Residual Val Check</t>
  </si>
  <si>
    <t>Balance Useful Life (Years)</t>
  </si>
  <si>
    <t>Gross Total depreciation to be charged</t>
  </si>
  <si>
    <t>Depreciation for FY 14-15</t>
  </si>
  <si>
    <t>Depreciation for Q1  FY 14-15</t>
  </si>
  <si>
    <t>Depreciation for Q2  FY 14-15</t>
  </si>
  <si>
    <t>Depreciation for Q3  FY 14-15</t>
  </si>
  <si>
    <t>Depreciation for Q4  FY 14-15</t>
  </si>
  <si>
    <t>Negative</t>
  </si>
  <si>
    <t>To Debit Opening Reserves</t>
  </si>
  <si>
    <t>Rs. 1.89 lacs is the decrease on account of life elapsed of assets in PY itself
Rs. 0.14 lacs on account of additions in PY on which partial dep was charged</t>
  </si>
  <si>
    <t>Increase in depreciation is on account of addition of Rs. 34.43 lacs made on 15/03/2015 on which dep was charged for 15 days and in CQ its for 3 months.</t>
  </si>
  <si>
    <t xml:space="preserve">Rs. 1,235 decrease on account of service lift at HO
Rs. </t>
  </si>
  <si>
    <t>Dep on Additions</t>
  </si>
  <si>
    <t xml:space="preserve">GOBIND SUGAR MILLS LTD. </t>
  </si>
  <si>
    <t>YEAR</t>
  </si>
  <si>
    <t>VALUE</t>
  </si>
  <si>
    <t>DEP. UPTO</t>
  </si>
  <si>
    <t>DEP.FOR</t>
  </si>
  <si>
    <t>SALE</t>
  </si>
  <si>
    <t>PROFIT/</t>
  </si>
  <si>
    <t>PERIOD</t>
  </si>
  <si>
    <t>(LOSS)</t>
  </si>
  <si>
    <t>conveyance</t>
  </si>
  <si>
    <t>Indigo Car UP 031J/8700</t>
  </si>
  <si>
    <t>INSURANCE SPARES</t>
  </si>
  <si>
    <t>FURNITURE</t>
  </si>
  <si>
    <t>Grand Total</t>
  </si>
  <si>
    <t>31.03.15</t>
  </si>
  <si>
    <t>PROFIT / LOSS ON FIXED ASSETS DISCARDED / SALE FOR THE PERIOD ENDED 31.12.2015</t>
  </si>
  <si>
    <t>MACHINERY</t>
  </si>
  <si>
    <t>RCC Framework</t>
  </si>
  <si>
    <t>Boundary wall for Power project (including bagasse yard)</t>
  </si>
  <si>
    <t>Concrete Chimeney</t>
  </si>
  <si>
    <t>Foundation for Boiller ESP,Terbo gent bagasse etc</t>
  </si>
  <si>
    <t>Road and drain work (Land &amp; Site)</t>
  </si>
  <si>
    <t>Cooling tower civil constuction work</t>
  </si>
  <si>
    <t>T.G.Building</t>
  </si>
  <si>
    <t>Water Treatment plant building</t>
  </si>
  <si>
    <t>Raw Water tank</t>
  </si>
  <si>
    <t>Deductions/
Adjustments</t>
  </si>
  <si>
    <t>NET BLOCK</t>
  </si>
  <si>
    <t>Building</t>
  </si>
  <si>
    <t>Openning balances</t>
  </si>
  <si>
    <t>Life Elapsed (in days)</t>
  </si>
  <si>
    <t>Life Elapsed (in years)</t>
  </si>
  <si>
    <t>Check for dep</t>
  </si>
  <si>
    <t>Closing balances</t>
  </si>
  <si>
    <t>Closing balance after deprecitaion</t>
  </si>
  <si>
    <t>Switchyard</t>
  </si>
  <si>
    <t>Plant end switchyard (132 KV)</t>
  </si>
  <si>
    <t>Transformers</t>
  </si>
  <si>
    <t>Dist. Transformers/Conv transformers</t>
  </si>
  <si>
    <t>Dist. Transformers/Conv transformers (Coplant)</t>
  </si>
  <si>
    <t>Power transformer (11KV)</t>
  </si>
  <si>
    <t>D.G. sets</t>
  </si>
  <si>
    <t>DG set package (1250 kva)</t>
  </si>
  <si>
    <t>Other installations</t>
  </si>
  <si>
    <t>Contracts Package (Cable tray,LT Bus Duct.Lighting)</t>
  </si>
  <si>
    <t>LT Package (2:4) Cogen plant</t>
  </si>
  <si>
    <t>VFD Packege  (2:5)</t>
  </si>
  <si>
    <t>VFD Packege (other than VFD of Mill) (1:3)</t>
  </si>
  <si>
    <t>Cables package</t>
  </si>
  <si>
    <t>Air Conditioning Machinery including air conditioners</t>
  </si>
  <si>
    <t>Air compressors for both Sugar &amp; Co-Gen.</t>
  </si>
  <si>
    <t>Air conditioning system &amp; vendilation system</t>
  </si>
  <si>
    <t>Fire protection systems</t>
  </si>
  <si>
    <t>Boiler 150 THP</t>
  </si>
  <si>
    <t>Boiler - 150 TPH steam generator including eps.</t>
  </si>
  <si>
    <t xml:space="preserve">Ash handling system for Boiler </t>
  </si>
  <si>
    <t xml:space="preserve">Turbine - 30 MV Extraction  cum condencing </t>
  </si>
  <si>
    <t>Material handling Equipments</t>
  </si>
  <si>
    <t>Bagasse handling system with all its accessories</t>
  </si>
  <si>
    <t>Water Treatment Plant (excluding RCC framework)</t>
  </si>
  <si>
    <t>Reverseosmosis based water treatment plant</t>
  </si>
  <si>
    <t>Steam water piping &amp; valves &amp; supports</t>
  </si>
  <si>
    <t>Cooling Tower</t>
  </si>
  <si>
    <t>Induced draft cooling tower (RCC Work included in Civil)</t>
  </si>
  <si>
    <t>Other Plant and machinery</t>
  </si>
  <si>
    <t>Balance of plant instrument for cogen</t>
  </si>
  <si>
    <t>Distribuited control system including ups for cogen</t>
  </si>
  <si>
    <t xml:space="preserve">   Turbine - 30 MV Extraction  cum condencing </t>
  </si>
  <si>
    <t xml:space="preserve"> Fire protection systems</t>
  </si>
  <si>
    <t>Cogen office air cond &amp; ventilation</t>
  </si>
  <si>
    <t>Air Conditioning</t>
  </si>
  <si>
    <t>Furnitures for cogen office WTP building office inc.</t>
  </si>
  <si>
    <t>Pipe Rake Support &amp; Cable rake (2.10)</t>
  </si>
  <si>
    <t>Furniture &amp; Fittings</t>
  </si>
  <si>
    <t xml:space="preserve">Gobind Sugar Mills Limited </t>
  </si>
  <si>
    <t>For the FY 2016-2017</t>
  </si>
  <si>
    <t>For Qtr. June-16</t>
  </si>
  <si>
    <t>For Qtr. Sep.-16</t>
  </si>
  <si>
    <t>PRINTER LASER HP 1020 PLUS</t>
  </si>
  <si>
    <t>LAPTOP  INTEL 5THGENERATION CORE 13TM</t>
  </si>
  <si>
    <t>T F T MONITOR 18.5" DELL MAKE</t>
  </si>
  <si>
    <t>HP LESERJET PRO M126NW PRINTER ( PRINT</t>
  </si>
  <si>
    <t>GOBIND SUGAR MILLS LTD., AIRA</t>
  </si>
  <si>
    <t>Details of Insured spare's list  01-04-2016 to 30-09-2016</t>
  </si>
  <si>
    <t>Machine's</t>
  </si>
  <si>
    <t xml:space="preserve">Opening </t>
  </si>
  <si>
    <t>Inward</t>
  </si>
  <si>
    <t>Outward No.1</t>
  </si>
  <si>
    <t>Outward No.2</t>
  </si>
  <si>
    <t xml:space="preserve">Balance </t>
  </si>
  <si>
    <t>Name</t>
  </si>
  <si>
    <t xml:space="preserve">Qty </t>
  </si>
  <si>
    <t>Value</t>
  </si>
  <si>
    <t>Amount</t>
  </si>
  <si>
    <t>C960003</t>
  </si>
  <si>
    <t>SHAFT  PART NO 210 MODEL HGC 3/14 MAKE KSB</t>
  </si>
  <si>
    <t>C960004</t>
  </si>
  <si>
    <t>IMPELLER PART NO 230 MODEL HGC 3/14 MAKE KSB</t>
  </si>
  <si>
    <t>C960006</t>
  </si>
  <si>
    <t>BEARING SHELL  PART NO 370 MODEL HGC 3/14 MAKE KSB</t>
  </si>
  <si>
    <t>C960007</t>
  </si>
  <si>
    <t>LABYRINGHT RING PART NO 423 MODEL HGC 3/14 MAKE KSB</t>
  </si>
  <si>
    <t>C960008</t>
  </si>
  <si>
    <t>SEGMENTAL RING PART NO 501 MODEL HGC 3/14 MAKE KSB</t>
  </si>
  <si>
    <t>C960009</t>
  </si>
  <si>
    <t>CASING WEAR RING PART NO 502 MODEL HGC 3/14 MAKE KSB</t>
  </si>
  <si>
    <t>C960010</t>
  </si>
  <si>
    <t>IMPELLER WEAR RING PART NO 503 MODEL HGC 3/14 MAKE KSB</t>
  </si>
  <si>
    <t>C960011</t>
  </si>
  <si>
    <t>SPACER RING  PART NO 504 MODEL HGC 3/14 MAKE KSB</t>
  </si>
  <si>
    <t>C960012</t>
  </si>
  <si>
    <t>RETAING RING PART NO 506 MODEL HGC 3/14 MAKE KSB</t>
  </si>
  <si>
    <t>C960013</t>
  </si>
  <si>
    <t>THROTTLE SLEEVE PART NO 522 MODEL HGC 3/14 MAKE KSB</t>
  </si>
  <si>
    <t>C960014</t>
  </si>
  <si>
    <t>SPACER SLEEVE PART NO 525 MODEL HGC 3/14 MAKE KSB</t>
  </si>
  <si>
    <t>C960015</t>
  </si>
  <si>
    <t>INTER STAGE BUSH PART NO 541 MODEL HGC 3/14 MAKE KSB</t>
  </si>
  <si>
    <t>C960016</t>
  </si>
  <si>
    <t>BALANCING DISC PART NO 601 MODEL HGC 3/14 MAKE KSB</t>
  </si>
  <si>
    <t>C960017</t>
  </si>
  <si>
    <t>BALANCING DISC SEAT PART NO 602 MODEL HGC 3/14 MAKE KSB</t>
  </si>
  <si>
    <t>C960018</t>
  </si>
  <si>
    <t>LUBRICATION RING PART NO 644 MODEL HGC 3/14 MAKE KSB</t>
  </si>
  <si>
    <t>C960020</t>
  </si>
  <si>
    <t>CIRCLIP PART NO 932 MODEL HGC 3/14 MAKE KSB</t>
  </si>
  <si>
    <t>C960021</t>
  </si>
  <si>
    <t>SPRING PART NO 950 MODEL HGC 3/14 MAKE KSB</t>
  </si>
  <si>
    <t>C960022</t>
  </si>
  <si>
    <t>GASKET &amp; O RING SET PART NO 400 &amp; 412 MODEL HGC 3/14 MAKE KSB</t>
  </si>
  <si>
    <t>CA10004</t>
  </si>
  <si>
    <t>Gasket, complete part no 400 MODEL WKT-065/003 MAKE KSB pump pvt ltd</t>
  </si>
  <si>
    <t>CA10005</t>
  </si>
  <si>
    <t>Gasket, complete part no 411MODEL WKT-065/003 MAKE KSB pump pvt ltd</t>
  </si>
  <si>
    <t>CA10010</t>
  </si>
  <si>
    <t>O RING &amp; GASKET SET FOR KSB PUMP, MODEL-WKT-065/003,SR NO.- 9972596359-200</t>
  </si>
  <si>
    <t>B</t>
  </si>
  <si>
    <t>TOTAL POWER PLANT</t>
  </si>
  <si>
    <t>Insurance Spares</t>
  </si>
  <si>
    <t>Life of prinicpal equipment</t>
  </si>
  <si>
    <t>Life elapsed (in days)</t>
  </si>
  <si>
    <t>Balance life for spares</t>
  </si>
  <si>
    <t>Date of purchase</t>
  </si>
  <si>
    <t>Life elapsed (in yrs)</t>
  </si>
  <si>
    <t>For Qtr. Dec.-16</t>
  </si>
  <si>
    <t>Q085010026</t>
  </si>
  <si>
    <t>OIL INLET FITTING FOR 30 MW GE -TRIVENI TURBINE;MODEL-GET-4HE</t>
  </si>
  <si>
    <t>Q085010027</t>
  </si>
  <si>
    <t>PISTON (SB) FOR 30 MW GE-TRIVE NI TURBINE;MODEL-GET-4HE-029;M</t>
  </si>
  <si>
    <t>Q085010028</t>
  </si>
  <si>
    <t>SPINDLE FOR S &amp; E VALVE FOR 30 MW GE-TRIVENI TUR;MODEL-GET-4</t>
  </si>
  <si>
    <t>Q085010029</t>
  </si>
  <si>
    <t>SEV-VALVE FOR 30MW GE-TRIVENI TURBINE;MODEL-GET-4HE-029.M.C.</t>
  </si>
  <si>
    <t>Q085010030</t>
  </si>
  <si>
    <t>T.V. SPINDAL NO.1FOR 30 MW GE- TRIVENI TURBINE;MODEL-GET-4HE-</t>
  </si>
  <si>
    <t>Q085010031</t>
  </si>
  <si>
    <t>T.V. SPINDAL NO. 2 FOR 30 MW G E-TRIVENI TURBINE;MODEL-GET-4H</t>
  </si>
  <si>
    <t>Q085010035</t>
  </si>
  <si>
    <t>L S COUPLING SHEAR PINS FOR 30 MW GE-TRIVENI TUR;MODEL-GET-4</t>
  </si>
  <si>
    <t>For Qtr. Sep.16</t>
  </si>
  <si>
    <t>For Qtr. Dec.16</t>
  </si>
  <si>
    <t>For Qtr. Mar.-17</t>
  </si>
  <si>
    <t>For Qtr. March.17</t>
  </si>
  <si>
    <t>For Qtr. Jun-17</t>
  </si>
  <si>
    <t>For Qtr. Jun.-17</t>
  </si>
  <si>
    <t>WATER COLLER</t>
  </si>
  <si>
    <t>RO 50 LTR.</t>
  </si>
  <si>
    <t>For Qtr. Sep.-17</t>
  </si>
  <si>
    <t>For Qtr. Sept.-17</t>
  </si>
  <si>
    <t>For Qtr. Dec.-17</t>
  </si>
  <si>
    <t>For Qtr. March.-18</t>
  </si>
  <si>
    <t>For Qtr. March-18</t>
  </si>
  <si>
    <t>For Qtr. June-18</t>
  </si>
  <si>
    <t>For Qtr. Sept.-18</t>
  </si>
  <si>
    <t>C850036</t>
  </si>
  <si>
    <t>SPRING LP OIL TRIP FOR 30 MW GE-TRIVENI TURBINE,MODEL- GET-4HE-029,M.C-BT0080040</t>
  </si>
  <si>
    <t>CA10006</t>
  </si>
  <si>
    <t>MECHANICAL SEAL FOR KSB PUMP,MODEL- WKT-065/003,SR. NO.-9972596359-200</t>
  </si>
  <si>
    <t>C960019</t>
  </si>
  <si>
    <t>LOCK NUT PART NO 920 MODEL HGC 3/14 MAKE KSB</t>
  </si>
  <si>
    <t>Addition</t>
  </si>
  <si>
    <t>For Qtr. Dec.-18</t>
  </si>
  <si>
    <t>For Qtr.March-19</t>
  </si>
  <si>
    <t>For Qtr.June-19</t>
  </si>
  <si>
    <t>For Qtr.Sept.-19</t>
  </si>
  <si>
    <t>For Qtr.Dec.-19</t>
  </si>
  <si>
    <t>For the FY 2019-20</t>
  </si>
  <si>
    <t>Q096010007</t>
  </si>
  <si>
    <t>LABYRINGHT RING PART NO 423 MO NOS DEL HGC 3/14 MAKE KSB</t>
  </si>
  <si>
    <t>Q096010019</t>
  </si>
  <si>
    <t>Q096010021</t>
  </si>
  <si>
    <t>Q085010032</t>
  </si>
  <si>
    <t>MAGNETIC PICKUP UNIT FOR 30 NOS GE-TRIVENI  TUR. MODEL-GET</t>
  </si>
  <si>
    <t>Q096010006</t>
  </si>
  <si>
    <t>BEARING SHELL PART NO-370 NOS  EL HGC-3/14 MAKE KSB</t>
  </si>
  <si>
    <t>Q096010022</t>
  </si>
  <si>
    <t>GASKET &amp; O RING SET PART NONOS 0 &amp; 412 MODEL HGC 3/14 MAKE KSB</t>
  </si>
  <si>
    <t>Q096010011</t>
  </si>
  <si>
    <t>SPACER RING PART NO 504 MODEL HGC 3/14 MAKE KSB</t>
  </si>
  <si>
    <t>Q096010014</t>
  </si>
  <si>
    <t>Q096010015</t>
  </si>
  <si>
    <t>INTER STAGE BUSH PART NO. 541 MODEL HGC 3/14 MAKE KSB</t>
  </si>
  <si>
    <t>For Qtr. June.-18</t>
  </si>
  <si>
    <t>For Qtr. March-19</t>
  </si>
  <si>
    <t>For Qtr. June-19</t>
  </si>
  <si>
    <t>For Qtr. Sept.,19</t>
  </si>
  <si>
    <t>For Qtr. Dec.-19</t>
  </si>
  <si>
    <t>For Qtr. March-20</t>
  </si>
  <si>
    <t>Q085010036</t>
  </si>
  <si>
    <t>SPRING LP OIL TRIP FOR 30 MW G E-TRIVENI TURBINE;MODEL- GET-4</t>
  </si>
  <si>
    <t>Q0A1010010</t>
  </si>
  <si>
    <t>O RING &amp; GASKET SET FOR KSB PU MP; MODEL-WKT-065/003;SR NO.-</t>
  </si>
  <si>
    <t>For Qtr.March-20</t>
  </si>
  <si>
    <r>
      <t>Less</t>
    </r>
    <r>
      <rPr>
        <b/>
        <sz val="11"/>
        <rFont val="Garamond"/>
        <family val="1"/>
      </rPr>
      <t>: On Deductions/Adjustments</t>
    </r>
  </si>
  <si>
    <t>For Qtr.June-20</t>
  </si>
  <si>
    <t>For Qtr. June-20</t>
  </si>
  <si>
    <t>For Qtr.Sept.-20</t>
  </si>
  <si>
    <t>For Qtr.Dec.-20</t>
  </si>
  <si>
    <t>For Qtr. Sept.-20</t>
  </si>
  <si>
    <t>For Qtr. Dec.-20</t>
  </si>
  <si>
    <t>For Qtr.March.-21</t>
  </si>
  <si>
    <t>For Qtr. March-21</t>
  </si>
  <si>
    <t>For Qtr.June-21</t>
  </si>
  <si>
    <t>Upto 31 03 2021</t>
  </si>
  <si>
    <t>As at 31.03.2021</t>
  </si>
  <si>
    <t>For Qtr. June-21</t>
  </si>
  <si>
    <t>As at 01 04 2021</t>
  </si>
  <si>
    <t>For Qtr.Sept.-21</t>
  </si>
  <si>
    <t>For Qtr. Sept.-21</t>
  </si>
  <si>
    <t>Dep on 30/09/2021</t>
  </si>
  <si>
    <t>As at 30.09.2021</t>
  </si>
  <si>
    <t>For the Year End 30/09/2021</t>
  </si>
  <si>
    <t>Upto 30/09/2021</t>
  </si>
  <si>
    <t>As at 30/09/2021</t>
  </si>
  <si>
    <t xml:space="preserve">Sr. no </t>
  </si>
  <si>
    <t>Asset description</t>
  </si>
  <si>
    <t xml:space="preserve">Date of Capitalization </t>
  </si>
  <si>
    <t>Date of Valuation</t>
  </si>
  <si>
    <r>
      <t xml:space="preserve">Operational Life Consumed                    </t>
    </r>
    <r>
      <rPr>
        <i/>
        <sz val="11"/>
        <color theme="1"/>
        <rFont val="Calibri"/>
        <family val="2"/>
        <scheme val="minor"/>
      </rPr>
      <t>(yrs)</t>
    </r>
  </si>
  <si>
    <r>
      <t xml:space="preserve">Estimated Economic life of the Assets                                     </t>
    </r>
    <r>
      <rPr>
        <i/>
        <sz val="11"/>
        <color theme="1"/>
        <rFont val="Calibri"/>
        <family val="2"/>
        <scheme val="minor"/>
      </rPr>
      <t>(Years)</t>
    </r>
  </si>
  <si>
    <t xml:space="preserve">Salvage Value </t>
  </si>
  <si>
    <t xml:space="preserve">Depreciation factor </t>
  </si>
  <si>
    <t xml:space="preserve">     Cost  of Capitalization </t>
  </si>
  <si>
    <r>
      <t xml:space="preserve">Net Block as on </t>
    </r>
    <r>
      <rPr>
        <i/>
        <sz val="11"/>
        <color theme="1"/>
        <rFont val="Calibri"/>
        <family val="2"/>
        <scheme val="minor"/>
      </rPr>
      <t>(31.01.21)</t>
    </r>
  </si>
  <si>
    <t>% Inflation</t>
  </si>
  <si>
    <r>
      <t xml:space="preserve">Estimated Reproduction Cost of the Asset                                                                    </t>
    </r>
    <r>
      <rPr>
        <i/>
        <sz val="11"/>
        <color theme="1"/>
        <rFont val="Calibri"/>
        <family val="2"/>
        <scheme val="minor"/>
      </rPr>
      <t>(as per WPI)</t>
    </r>
  </si>
  <si>
    <t>Total Depreciation</t>
  </si>
  <si>
    <t>Net Depreciated Value</t>
  </si>
  <si>
    <t>Obsolescence Factor</t>
  </si>
  <si>
    <t>Current Depreciated Replacement Value</t>
  </si>
  <si>
    <t>Sr. No.</t>
  </si>
  <si>
    <t>Description of Assets</t>
  </si>
  <si>
    <t>Qty</t>
  </si>
  <si>
    <t>UOM</t>
  </si>
  <si>
    <t>Date of Capitalization</t>
  </si>
  <si>
    <r>
      <t xml:space="preserve">Life Consumed                   </t>
    </r>
    <r>
      <rPr>
        <i/>
        <sz val="11"/>
        <color theme="1"/>
        <rFont val="Calibri"/>
        <family val="2"/>
        <scheme val="minor"/>
      </rPr>
      <t xml:space="preserve"> (Years)</t>
    </r>
  </si>
  <si>
    <r>
      <t xml:space="preserve">Estimated Economic life of the Assets                                    </t>
    </r>
    <r>
      <rPr>
        <i/>
        <sz val="11"/>
        <color theme="1"/>
        <rFont val="Calibri"/>
        <family val="2"/>
        <scheme val="minor"/>
      </rPr>
      <t xml:space="preserve"> (Years)</t>
    </r>
  </si>
  <si>
    <t>Salvage Value</t>
  </si>
  <si>
    <t>Depreciation Factor</t>
  </si>
  <si>
    <t>Cost of Capitalization</t>
  </si>
  <si>
    <t>Net Block</t>
  </si>
  <si>
    <t>Depreciation</t>
  </si>
  <si>
    <t>Depreciated Value</t>
  </si>
  <si>
    <t>Obselence Factor</t>
  </si>
  <si>
    <t>Current Depreciated Market Value</t>
  </si>
  <si>
    <t>EA</t>
  </si>
  <si>
    <t>ENCLOSURE-H: VALUATION OF PLANT AND MACHINERY CAPITALIZED IN  | M/S. GOVIND SUGAR MILLS LIMITED | VILLAGE AIRA | LAKHIMPUR KHIRI | UTTAR PRADESH |</t>
  </si>
  <si>
    <t>ENCLOSURE-I: VALUATION OF COMPUTERS CAPITALIZED IN  | M/S. GOVIND SUGAR MILLS LIMITED | VILLAGE - AIRA| LAKHIMPUR KHIRI | UTTAR PRADESH |</t>
  </si>
  <si>
    <t>ENCLOSURE-J: VALUATION OF COMPUTERS CAPITALIZED IN  | M/S. GOVIND SUGAR MILLS LIMITED | VILLAGE - AIRA| LAKHIMPUR KHIRI | UTTAR PRADESH |</t>
  </si>
  <si>
    <t>FY Year of Cap</t>
  </si>
  <si>
    <t>Operational Life Consumed                    (Years)</t>
  </si>
  <si>
    <t>Estimated Economic life of the Assets                                     (Years)</t>
  </si>
  <si>
    <r>
      <t xml:space="preserve">Net Block
</t>
    </r>
    <r>
      <rPr>
        <i/>
        <sz val="11"/>
        <color theme="1"/>
        <rFont val="Calibri"/>
        <family val="2"/>
        <scheme val="minor"/>
      </rPr>
      <t>(as on 31.12.2020)</t>
    </r>
  </si>
  <si>
    <r>
      <t xml:space="preserve">Estimated Reproduction Cost of the Asset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(as per CCI)</t>
    </r>
  </si>
  <si>
    <t>ENCLOSURE-A: VALUATION OF COMPUTERS CAPITALIZED IN  | M/S. GOVIND SUGAR MILLS LIMITED | VILLAGE - AIRA| LAKHIMPUR KHIRI | UTTAR PRADESH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</si>
</sst>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(* #,##0_);_(* \(#,##0\);_(* &quot;-&quot;??_);_(@_)"/>
    <numFmt numFmtId="167" formatCode="0_);\(0\)"/>
    <numFmt numFmtId="168" formatCode="_ * #,##0_ ;_ * \-#,##0_ ;_ * &quot;-&quot;??_ ;_ @_ "/>
    <numFmt numFmtId="169" formatCode="0.0"/>
    <numFmt numFmtId="170" formatCode="_-* #,##0.00\ _F_-;\-* #,##0.00\ _F_-;_-* &quot;-&quot;??\ _F_-;_-@_-"/>
    <numFmt numFmtId="171" formatCode="_-* #,##0\ _F_-;\-* #,##0\ _F_-;_-* &quot;-&quot;??\ _F_-;_-@_-"/>
    <numFmt numFmtId="172" formatCode="_-* #,##0_-;\-* #,##0_-;_-* &quot;-&quot;??_-;_-@_-"/>
    <numFmt numFmtId="173" formatCode="_ * #,##0.0_ ;_ * \-#,##0.0_ ;_ * &quot;-&quot;??_ ;_ @_ "/>
    <numFmt numFmtId="174" formatCode="[$-F800]dddd\,\ mmmm\ dd\,\ yyyy"/>
    <numFmt numFmtId="175" formatCode="_ * #,##0_ ;_ * \-#,##0_ ;_ * &quot;-&quot;_ ;_ @_ "/>
    <numFmt numFmtId="176" formatCode="0.00_);\(0.00\)"/>
    <numFmt numFmtId="177" formatCode="_(* #,##0.0000_);_(* \(#,##0.0000\);_(* &quot;-&quot;??_);_(@_)"/>
    <numFmt numFmtId="178" formatCode="0.00_)"/>
    <numFmt numFmtId="179" formatCode="0_)"/>
    <numFmt numFmtId="180" formatCode="0.000%"/>
    <numFmt numFmtId="181" formatCode="0.000"/>
    <numFmt numFmtId="182" formatCode="#,###\—_);\(#,###\—\)"/>
    <numFmt numFmtId="183" formatCode="_(* #,##0%;_(* \(#,##0%\);_(* &quot;-&quot;;_(@\)"/>
    <numFmt numFmtId="184" formatCode="\(#,##0\);\(&quot;△&quot;#,##0\)"/>
    <numFmt numFmtId="185" formatCode="#,##0\ \ ;\(#,##0\)\ "/>
    <numFmt numFmtId="186" formatCode="\(0.0%\);\(\-0.0%\)\ "/>
    <numFmt numFmtId="187" formatCode="\(#,##0\);\(\-#,##0\)"/>
    <numFmt numFmtId="188" formatCode=";;;"/>
    <numFmt numFmtId="189" formatCode="00.000"/>
    <numFmt numFmtId="190" formatCode="_-* #,##0.00\ &quot;F&quot;_-;\-* #,##0.00\ &quot;F&quot;_-;_-* &quot;-&quot;??\ &quot;F&quot;_-;_-@_-"/>
    <numFmt numFmtId="191" formatCode="&quot;?&quot;#,##0;&quot;?&quot;\-#,##0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_-* #,##0_-;\-* #,##0_-;_-* &quot;-&quot;_-;_-@_-"/>
    <numFmt numFmtId="195" formatCode="_-* #,##0\ _F_-;\-* #,##0\ _F_-;_-* &quot;-&quot;\ _F_-;_-@_-"/>
    <numFmt numFmtId="196" formatCode="&quot;¥&quot;#,##0.00;[Red]&quot;¥&quot;\-#,##0.00"/>
    <numFmt numFmtId="197" formatCode="&quot;¥&quot;#,##0;[Red]&quot;¥&quot;\-#,##0"/>
    <numFmt numFmtId="198" formatCode="_ * #,##0_ ;_ * &quot;¥&quot;&quot;¥&quot;\-#,##0_ ;_ * &quot;-&quot;_ ;_ @_ "/>
    <numFmt numFmtId="199" formatCode="#,##0.000_);\(#,##0.000\)"/>
    <numFmt numFmtId="200" formatCode="[$JPY]\ #,##0.00_);\([$JPY]\ #,##0.00\)"/>
    <numFmt numFmtId="201" formatCode="\+#,##0.0;\-0.0"/>
    <numFmt numFmtId="202" formatCode="&quot;ß&quot;\&amp;\,\&amp;\&amp;0_);\(&quot;ß&quot;\&amp;\,\&amp;\&amp;0\)"/>
    <numFmt numFmtId="203" formatCode="#,##0.0_);\(#,##0.0\)"/>
    <numFmt numFmtId="204" formatCode="#,##0.0_);\(#,##0.0\);#,##0.0_);@_)"/>
    <numFmt numFmtId="205" formatCode="[&lt;100000]#,##0.00_);[&lt;10000000]##&quot;,&quot;##&quot;,&quot;##0.00_);##&quot;,&quot;##&quot;,&quot;##&quot;,&quot;##0.00_)"/>
    <numFmt numFmtId="206" formatCode="&quot;£&quot;_(#,##0.00_);&quot;£&quot;\(#,##0.00\)"/>
    <numFmt numFmtId="207" formatCode="&quot;£&quot;_(#,##0.00_);&quot;£&quot;\(#,##0.00\);&quot;£&quot;_(0.00_);@_)"/>
    <numFmt numFmtId="208" formatCode="&quot;$&quot;_(#,##0.00_);&quot;$&quot;\(#,##0.00\);&quot;$&quot;_(0.00_);@_)"/>
    <numFmt numFmtId="209" formatCode="&quot;$&quot;_(#,##0.00_);&quot;$&quot;\(#,##0.00\)"/>
    <numFmt numFmtId="210" formatCode="0.0%_);\(0.0%\);\ \-\-\ "/>
    <numFmt numFmtId="211" formatCode="#,##0.00_);\(#,##0.00\);0.00_);@_)"/>
    <numFmt numFmtId="212" formatCode="\€_(#,##0.00_);\€\(#,##0.00\);\€_(0.00_);@_)"/>
    <numFmt numFmtId="213" formatCode="\Ç\ \´\´\´\´\ \»\»\»\»"/>
    <numFmt numFmtId="214" formatCode="\+#,##0;\-#,##0"/>
    <numFmt numFmtId="215" formatCode="\+#,##0.00;\-#,##0.00"/>
    <numFmt numFmtId="216" formatCode="&quot;ß&quot;\&amp;\,\&amp;\&amp;0.00_);\(&quot;ß&quot;\&amp;\,\&amp;\&amp;0.00\)"/>
    <numFmt numFmtId="217" formatCode="_ &quot;SFr.&quot;* #,##0_ ;_ &quot;SFr.&quot;* \-#,##0_ ;_ &quot;SFr.&quot;* &quot;-&quot;_ ;_ @_ "/>
    <numFmt numFmtId="218" formatCode="mmm\.yy"/>
    <numFmt numFmtId="219" formatCode="_-&quot;Rs&quot;\ * #,##0_-;\-&quot;Rs&quot;\ * #,##0_-;_-&quot;Rs&quot;\ * &quot;-&quot;_-;_-@_-"/>
    <numFmt numFmtId="220" formatCode="_-* #,##0\ &quot;F&quot;_-;\-* #,##0\ &quot;F&quot;_-;_-* &quot;-&quot;\ &quot;F&quot;_-;_-@_-"/>
    <numFmt numFmtId="221" formatCode="d\.mmm"/>
    <numFmt numFmtId="222" formatCode="\ð.\ð\ð"/>
    <numFmt numFmtId="223" formatCode="#,##0.0_)\x;\(#,##0.0\)\x"/>
    <numFmt numFmtId="224" formatCode="#,##0.0_)\x;\(#,##0.0\)\x;0.0_)\x;@_)_x"/>
    <numFmt numFmtId="225" formatCode="#,##0.00_)\x;\(#,##0.00\)\x"/>
    <numFmt numFmtId="226" formatCode="#,##0.0000;\-#,##0.0000"/>
    <numFmt numFmtId="227" formatCode="\ \ _•\–\ \ \ \ @"/>
    <numFmt numFmtId="228" formatCode="_(* #,##0.000_)\ \ ;_(* \(#,##0.000\)\ \ ;_(* &quot;-&quot;??_)\ \ ;_(@_)"/>
    <numFmt numFmtId="229" formatCode="#,##0.00;\(#,##0.00\);\-"/>
    <numFmt numFmtId="230" formatCode="###0&quot;A&quot;"/>
    <numFmt numFmtId="231" formatCode="#,##0.0_)_x;\(#,##0.0\)_x"/>
    <numFmt numFmtId="232" formatCode="#,##0.0_)_x;\(#,##0.0\)_x;0.0_)_x;@_)_x"/>
    <numFmt numFmtId="233" formatCode="#,##0.00000;\-#,##0.00000"/>
    <numFmt numFmtId="234" formatCode="#,##0.0;\(#,##0.0\)"/>
    <numFmt numFmtId="235" formatCode="0.0&quot;x&quot;\ \ \ \ "/>
    <numFmt numFmtId="236" formatCode="#,##0\ _F;\(#,##0\)\ _F;\-\ _F"/>
    <numFmt numFmtId="237" formatCode="#,##0;\(###0\);\-"/>
    <numFmt numFmtId="238" formatCode="[&lt;100]#0.00_);[&lt;10000]##&quot;,&quot;#0.00_);#####&quot;,&quot;#0.00_)"/>
    <numFmt numFmtId="239" formatCode="0.0_)\%;\(0.0\)\%"/>
    <numFmt numFmtId="240" formatCode="0.0_)%;\(0.0\)%"/>
    <numFmt numFmtId="241" formatCode="0.0_)\%;\(0.0\)\%;0.0_)\%;@_)_%"/>
    <numFmt numFmtId="242" formatCode="#,##0\ &quot;F&quot;;\-#,##0\ &quot;F&quot;"/>
    <numFmt numFmtId="243" formatCode="_(* #,##0.0_)\ \ ;_(* \(#,##0.0\)\ \ ;_(* &quot;-&quot;??_)\ \ ;_(@_)"/>
    <numFmt numFmtId="244" formatCode="#,##0\ _F;\(#,##0\)\ _F"/>
    <numFmt numFmtId="245" formatCode="#,##0.0_)_%;\(#,##0.0\)_%"/>
    <numFmt numFmtId="246" formatCode="#,##0.0_)_%;\(#,##0.0\)_%;0.0_)_%;@_)_%"/>
    <numFmt numFmtId="247" formatCode="#,##0.0_);[Red]\(#,##0.0\)"/>
    <numFmt numFmtId="248" formatCode="&quot;$&quot;#,##0_);[Red]&quot;¥&quot;&quot;¥&quot;\(&quot;$&quot;#,##0&quot;¥&quot;&quot;¥&quot;\)"/>
    <numFmt numFmtId="249" formatCode="&quot;¥&quot;#,##0.0;&quot;¥&quot;\-#,##0.0"/>
    <numFmt numFmtId="250" formatCode="&quot;$&quot;#,##0_);[Red]&quot;\&quot;&quot;\&quot;\(&quot;$&quot;#,##0&quot;\&quot;&quot;\&quot;\)"/>
    <numFmt numFmtId="251" formatCode="&quot;\&quot;#,##0.0;&quot;\&quot;\-#,##0.0"/>
    <numFmt numFmtId="252" formatCode="&quot;¥&quot;#,##0.00;[Red]&quot;¥&quot;&quot;¥&quot;&quot;¥&quot;\-#,##0.00"/>
    <numFmt numFmtId="253" formatCode="&quot;¥&quot;#,##0;[Red]&quot;¥&quot;&quot;¥&quot;&quot;¥&quot;\-#,##0"/>
    <numFmt numFmtId="254" formatCode="0.0%;&quot;△&quot;0.0%\ "/>
    <numFmt numFmtId="255" formatCode="#,##0_ ;&quot;△&quot;#,##0_ "/>
    <numFmt numFmtId="256" formatCode="&quot;¥&quot;#,##0.00;[Red]\-&quot;¥&quot;#,##0.00"/>
    <numFmt numFmtId="257" formatCode="&quot;¥&quot;#,##0;[Red]\-&quot;¥&quot;#,##0"/>
    <numFmt numFmtId="258" formatCode="&quot;$&quot;#,##0.000_);\(&quot;$&quot;#,##0.000\)"/>
    <numFmt numFmtId="259" formatCode="mm/dd/yy"/>
    <numFmt numFmtId="260" formatCode="&quot;\&quot;#,##0.00;[Red]&quot;\&quot;\-#,##0.00"/>
    <numFmt numFmtId="261" formatCode="&quot;\&quot;#,##0;[Red]&quot;\&quot;\-#,##0"/>
    <numFmt numFmtId="262" formatCode="#,##0.0"/>
    <numFmt numFmtId="263" formatCode="General_)"/>
    <numFmt numFmtId="264" formatCode="&quot;$&quot;#,##0.0_);[Red]\(&quot;$&quot;#,##0.0\)"/>
    <numFmt numFmtId="265" formatCode="mm/dd/yy_)"/>
    <numFmt numFmtId="266" formatCode="_(* #,##0.0_);_(* \(#,##0.0\);_(* &quot;-&quot;?_);@_)"/>
    <numFmt numFmtId="267" formatCode="0.0%"/>
    <numFmt numFmtId="268" formatCode="\£#,##0_);\(\£#,##0\)"/>
    <numFmt numFmtId="269" formatCode="&quot;R&quot;\ #,##0.00;[Red]&quot;R&quot;\ \-#,##0.00"/>
    <numFmt numFmtId="270" formatCode="_(* #,##0.0_);_(* \(#,##0.00\);_(* &quot;-&quot;??_);_(@_)"/>
    <numFmt numFmtId="271" formatCode="&quot;$&quot;#,\);\(&quot;$&quot;#,##0\)"/>
    <numFmt numFmtId="272" formatCode="[Blue]0;[Blue]\(0\);[Blue]0"/>
    <numFmt numFmtId="273" formatCode="_(* ###0_);[Red]_(* \(###0\);_(* &quot;-&quot;_0_0_);_(@_)"/>
    <numFmt numFmtId="274" formatCode="_(* #,##0.0_);_(* \(#,##0.0\);_(* &quot;-&quot;??_);_(@_)"/>
    <numFmt numFmtId="275" formatCode="#,##0&quot; $&quot;;[Red]\-#,##0&quot; $&quot;"/>
    <numFmt numFmtId="276" formatCode="_(* #,##0.0_);[Red]_(* \(#,##0.0\);_(* &quot;-&quot;_0_0_._0_);_(@_)"/>
    <numFmt numFmtId="277" formatCode="#,##0.000_);[Red]\(#,##0.000\)"/>
    <numFmt numFmtId="278" formatCode="#,##0_%_);\(#,##0\)_%;#,##0_%_);@_%_)"/>
    <numFmt numFmtId="279" formatCode="#,##0_%_);\(#,##0\)_%;**;@_%_)"/>
    <numFmt numFmtId="280" formatCode="_(* #,##0.00_);_(* \(#,##0.00\);_(* \-??_);_(@_)"/>
    <numFmt numFmtId="281" formatCode="_-* #,##0.0_-;\-* #,##0.0_-;_-* &quot;-&quot;??_-;_-@_-"/>
    <numFmt numFmtId="282" formatCode="#,##0.00\ &quot;F&quot;;\-#,##0.00\ &quot;F&quot;"/>
    <numFmt numFmtId="283" formatCode="#,##0;\(#,##0\)"/>
    <numFmt numFmtId="284" formatCode="0.00_);\(0.00\);0.00"/>
    <numFmt numFmtId="285" formatCode="_(&quot;$&quot;* #,##0.0_);[Red]_(&quot;$&quot;* \(#,##0.0\);_(&quot;$&quot;* &quot;-&quot;_0_0_._0_);_(@_)"/>
    <numFmt numFmtId="286" formatCode="&quot;$&quot;#,##0.000_);[Red]\(&quot;$&quot;#,##0.000\)"/>
    <numFmt numFmtId="287" formatCode="&quot;$&quot;#,##0_%_);\(&quot;$&quot;#,##0\)_%;&quot;$&quot;#,##0_%_);@_%_)"/>
    <numFmt numFmtId="288" formatCode="\$#,##0\ ;\(\$#,##0\)"/>
    <numFmt numFmtId="289" formatCode="dd\-mmm\-yy_)"/>
    <numFmt numFmtId="290" formatCode="&quot;$&quot;#,##0.0_);\(&quot;$&quot;#,##0.0\)"/>
    <numFmt numFmtId="291" formatCode="\£#,##0.0_);\(\£#,##0.0\)"/>
    <numFmt numFmtId="292" formatCode="#,##0\ &quot;DM&quot;;\-#,##0\ &quot;DM&quot;"/>
    <numFmt numFmtId="293" formatCode="m/d/yy_%_)"/>
    <numFmt numFmtId="294" formatCode="ddd\ dd\-mmm\-yy"/>
    <numFmt numFmtId="295" formatCode="mmmm\ d\,\ yyyy"/>
    <numFmt numFmtId="296" formatCode="&quot;$&quot;#,##0.00"/>
    <numFmt numFmtId="297" formatCode="0_%_);\(0\)_%;0_%_);@_%_)"/>
    <numFmt numFmtId="298" formatCode="_(* #,##0_);_(* \(#,##0\);_(* &quot;-   &quot;_);_(@_)"/>
    <numFmt numFmtId="299" formatCode="_-[$€-2]* #,##0.00_-;\-[$€-2]* #,##0.00_-;_-[$€-2]* &quot;-&quot;??_-"/>
    <numFmt numFmtId="300" formatCode="#,##0.00;[Red]\(#,##0.0\)"/>
    <numFmt numFmtId="301" formatCode="0.0\%_);\(0.0\%\);0.0\%_);@_%_)"/>
    <numFmt numFmtId="302" formatCode="#."/>
    <numFmt numFmtId="303" formatCode="#,##0.00%;[Red]\(#,##0.00%\)"/>
    <numFmt numFmtId="304" formatCode="#####\ ##\ ##\ ###.00"/>
    <numFmt numFmtId="305" formatCode="#,##0.0000000;\(#,##0.0000000\)"/>
    <numFmt numFmtId="306" formatCode="##\ ##\ ##\ ##0_);\(##\ ##\ ##\ ##0\)"/>
    <numFmt numFmtId="307" formatCode="##\ ##\ ##\ ###.00"/>
    <numFmt numFmtId="308" formatCode="###\ ##\ ##\ ###.00_);\(###\ ##\ ##\ ###.00\)"/>
    <numFmt numFmtId="309" formatCode="0_);[Red]\(0\)"/>
    <numFmt numFmtId="310" formatCode="0.0000000%"/>
    <numFmt numFmtId="311" formatCode="#,##0.00000_);\(#,##0.00000\)"/>
    <numFmt numFmtId="312" formatCode="[&lt;100000]#,##0_);[&lt;10000000]##&quot;,&quot;##&quot;,&quot;##0_);##&quot;,&quot;##&quot;,&quot;##&quot;,&quot;##0_)"/>
    <numFmt numFmtId="313" formatCode="[Red][&gt;-100000]\(#,##0.00_)\);[Red][&gt;-10000000]\(##&quot;,&quot;##&quot;,&quot;##0.00_)\);[Red]\(##&quot;,&quot;##&quot;,&quot;##&quot;,&quot;##0.00_)\)"/>
    <numFmt numFmtId="314" formatCode="[Red][&gt;-100000]\(#,##0\);[Red][&gt;-10000000]\(##&quot;,&quot;##&quot;,&quot;##0\);[Red]\(##&quot;,&quot;##&quot;,&quot;##&quot;,&quot;##0\)"/>
    <numFmt numFmtId="315" formatCode="&quot;Market Segment &quot;0"/>
    <numFmt numFmtId="316" formatCode="_(* #,##0.0,_);\(#,##0.0,\);_(* &quot;-&quot;??_)"/>
    <numFmt numFmtId="317" formatCode="_-* #,##0\ _P_t_s_-;\-* #,##0\ _P_t_s_-;_-* &quot;-&quot;\ _P_t_s_-;_-@_-"/>
    <numFmt numFmtId="318" formatCode="#,##0_ ;[Red]\-#,##0\ "/>
    <numFmt numFmtId="319" formatCode="\9\1#,##0.000\2\8"/>
    <numFmt numFmtId="320" formatCode="00000"/>
    <numFmt numFmtId="321" formatCode="#,##0.0000"/>
    <numFmt numFmtId="322" formatCode="#,##0.000000"/>
    <numFmt numFmtId="323" formatCode="_(&quot;N$&quot;* #,##0_);_(&quot;N$&quot;* \(#,##0\);_(&quot;N$&quot;* &quot;-&quot;_);_(@_)"/>
    <numFmt numFmtId="324" formatCode="#,##0.00\ &quot;F&quot;;[Red]\-#,##0.00\ &quot;F&quot;"/>
    <numFmt numFmtId="325" formatCode="0.0\ \ "/>
    <numFmt numFmtId="326" formatCode="&quot;$&quot;#,##0.0_);&quot;$&quot;\(#,##0.0\)"/>
    <numFmt numFmtId="327" formatCode="0.0\x_)_);&quot;NM&quot;_x_)_);0.0\x_)_);@_%_)"/>
    <numFmt numFmtId="328" formatCode="0.0_)_x;\(0.0\)_x"/>
    <numFmt numFmtId="329" formatCode="0.0\x_);\(0.0\x\)"/>
    <numFmt numFmtId="330" formatCode="#,##0.00000_);[Red]\(#,##0.00000\)"/>
    <numFmt numFmtId="331" formatCode="0.0\x_)"/>
    <numFmt numFmtId="332" formatCode="_(* #,##0.000_);_(* \(#,##0.000\);_(* &quot;-&quot;??_);_(@_)"/>
    <numFmt numFmtId="333" formatCode="_(&quot;$&quot;* #,##0_);_(&quot;$&quot;* \(#,##0\);_(&quot;$&quot;* &quot;-   &quot;_);_(@_)"/>
    <numFmt numFmtId="334" formatCode="#,##0.00\p_);\(#,##0.00\p\)"/>
    <numFmt numFmtId="335" formatCode="#,##0.00\x;[Red]\(#,##0.00\x"/>
    <numFmt numFmtId="336" formatCode="_(&quot;$&quot;* #,##0_);_(&quot;$&quot;* \(#,##0\);_(&quot;$&quot;* &quot;-&quot;??_);_(@_)"/>
    <numFmt numFmtId="337" formatCode="0.00\ \x_);\(0.00\ \x\)"/>
    <numFmt numFmtId="338" formatCode="0%_);\(0%\)"/>
    <numFmt numFmtId="339" formatCode="\60\4\7\:"/>
    <numFmt numFmtId="340" formatCode="0.0%;[Red]\(0.0%\)"/>
    <numFmt numFmtId="341" formatCode="0.0%_);\(0.0%\)"/>
    <numFmt numFmtId="342" formatCode="0.0000%"/>
    <numFmt numFmtId="343" formatCode="0.00\%;\-0.00\%;0.00\%"/>
    <numFmt numFmtId="344" formatCode="\£0.0\ ;\(\£0.0_)"/>
    <numFmt numFmtId="345" formatCode="#,##0%_ ;[Red]\-#,##0%\ "/>
    <numFmt numFmtId="346" formatCode="#,##0.0______________________\ ;[Red]\(#,##0\)"/>
    <numFmt numFmtId="347" formatCode="_-* #,##0_-;[Red]\-* #,##0_-;_-* &quot;-&quot;_-;_-@_-"/>
    <numFmt numFmtId="348" formatCode="0.00\x;\-0.00\x;0.00\x"/>
    <numFmt numFmtId="349" formatCode="#,##0.000%;\-#,##0.000%;\-\%"/>
    <numFmt numFmtId="350" formatCode="#,##0.000;\-#,##0.000;\-\ "/>
    <numFmt numFmtId="351" formatCode="#######0_);\(#######0\)"/>
    <numFmt numFmtId="352" formatCode="####\ ##\ ##\ ###.00"/>
    <numFmt numFmtId="353" formatCode="####\ ##.00_);\(####\ ##.00\)"/>
    <numFmt numFmtId="354" formatCode="[&lt;100000]&quot;Rs.&quot;\ #,##0.00_);[&lt;10000000]&quot;Rs.&quot;\ ##&quot;,&quot;##&quot;,&quot;##0.00_);&quot;Rs.&quot;\ ##&quot;,&quot;##&quot;,&quot;##&quot;,&quot;##0.00_)"/>
    <numFmt numFmtId="355" formatCode="[&lt;100000]&quot;Rs.&quot;\ #,##0_);[&lt;10000000]&quot;Rs.&quot;\ ##&quot;,&quot;##&quot;,&quot;##0_);&quot;Rs.&quot;\ ##&quot;,&quot;##&quot;,&quot;##&quot;,&quot;##0_)"/>
    <numFmt numFmtId="356" formatCode="[&lt;100]&quot;Rs. &quot;#0.00_);[&lt;10000]&quot;Rs. &quot;##&quot;,&quot;#0.00_);&quot;Rs. &quot;#####&quot;,&quot;#0.00_0"/>
    <numFmt numFmtId="357" formatCode="[Red][&gt;-100000]\(&quot;Rs.&quot;\ #,##0.00\);[Red][&gt;-10000000]\(&quot;Rs.&quot;\ ##&quot;,&quot;##&quot;,&quot;##0.00\);[Red]\(&quot;Rs.&quot;\ ##&quot;,&quot;##&quot;,&quot;##&quot;,&quot;##0.00\)"/>
    <numFmt numFmtId="358" formatCode="&quot;$&quot;#,\);\(&quot;$&quot;#,\)"/>
    <numFmt numFmtId="359" formatCode="&quot;$&quot;#,;\(&quot;$&quot;#,\)"/>
    <numFmt numFmtId="360" formatCode="_-&quot;$&quot;* #,##0_-;\-&quot;$&quot;* #,##0_-;_-&quot;$&quot;* &quot;-&quot;_-;_-@_-"/>
    <numFmt numFmtId="361" formatCode="_-&quot;$&quot;* #,##0.00_-;\-&quot;$&quot;* #,##0.00_-;_-&quot;$&quot;* &quot;-&quot;??_-;_-@_-"/>
    <numFmt numFmtId="362" formatCode="_ [$₹-4009]\ * #,##0_ ;_ [$₹-4009]\ * \-#,##0_ ;_ [$₹-4009]\ * &quot;-&quot;??_ ;_ @_ "/>
    <numFmt numFmtId="363" formatCode="_ [$₹-4009]\ * #,##0.00_ ;_ [$₹-4009]\ * \-#,##0.00_ ;_ [$₹-4009]\ * &quot;-&quot;??_ ;_ @_ "/>
    <numFmt numFmtId="364" formatCode="_ &quot;₹&quot;\ * #,##0_ ;_ &quot;₹&quot;\ * \-#,##0_ ;_ &quot;₹&quot;\ * &quot;-&quot;??_ ;_ @_ "/>
    <numFmt numFmtId="368" formatCode="[$-409]d\-mmm\-yy;@"/>
  </numFmts>
  <fonts count="3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0"/>
      <name val="Times New Roman"/>
      <family val="1"/>
    </font>
    <font>
      <sz val="11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b/>
      <sz val="11"/>
      <color theme="1"/>
      <name val="Garamond"/>
      <family val="1"/>
    </font>
    <font>
      <b/>
      <u/>
      <sz val="10"/>
      <name val="Garamond"/>
      <family val="1"/>
    </font>
    <font>
      <sz val="10"/>
      <name val="Garamond"/>
      <family val="1"/>
    </font>
    <font>
      <sz val="10"/>
      <name val="Book Antiqua"/>
      <family val="1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Book Antiqua"/>
      <family val="1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sz val="10"/>
      <name val="Arial Narrow"/>
      <family val="2"/>
    </font>
    <font>
      <b/>
      <sz val="11"/>
      <name val="明朝"/>
      <family val="1"/>
      <charset val="128"/>
    </font>
    <font>
      <sz val="10"/>
      <name val="Helvetica"/>
      <family val="2"/>
    </font>
    <font>
      <sz val="12"/>
      <name val=".VnTime"/>
      <family val="2"/>
    </font>
    <font>
      <sz val="11"/>
      <name val="gfSVbNM"/>
      <family val="3"/>
      <charset val="128"/>
    </font>
    <font>
      <sz val="10"/>
      <color indexed="8"/>
      <name val="MS Sans Serif"/>
      <family val="2"/>
    </font>
    <font>
      <sz val="10"/>
      <name val="Geneva"/>
      <family val="2"/>
    </font>
    <font>
      <sz val="8"/>
      <name val="MS Serif"/>
      <family val="1"/>
    </font>
    <font>
      <sz val="8"/>
      <name val="Times New Roman"/>
      <family val="1"/>
    </font>
    <font>
      <sz val="8"/>
      <name val="Univers 45 Light"/>
      <family val="2"/>
    </font>
    <font>
      <sz val="10"/>
      <name val="Geneva"/>
      <family val="2"/>
    </font>
    <font>
      <sz val="12"/>
      <color indexed="12"/>
      <name val="Times New Roman"/>
      <family val="1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9"/>
      <name val="ﾀﾞｯﾁ"/>
      <family val="3"/>
      <charset val="128"/>
    </font>
    <font>
      <sz val="12"/>
      <name val="VNtimes new roman"/>
    </font>
    <font>
      <sz val="11"/>
      <color indexed="8"/>
      <name val="Times New Roman"/>
      <family val="1"/>
    </font>
    <font>
      <sz val="11"/>
      <name val="??"/>
      <family val="3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sz val="14"/>
      <name val="Cordia New"/>
      <family val="2"/>
    </font>
    <font>
      <u/>
      <sz val="8.25"/>
      <color indexed="36"/>
      <name val="?l?r ?o?S?V?b?N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1"/>
    </font>
    <font>
      <u/>
      <sz val="8.25"/>
      <color indexed="12"/>
      <name val="?l?r ?o?S?V?b?N"/>
      <family val="3"/>
    </font>
    <font>
      <u/>
      <sz val="8.25"/>
      <color indexed="12"/>
      <name val="MS P????"/>
      <family val="1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u/>
      <sz val="8.4"/>
      <color indexed="12"/>
      <name val="Arial"/>
      <family val="2"/>
    </font>
    <font>
      <sz val="12"/>
      <name val="????"/>
      <family val="1"/>
      <charset val="136"/>
    </font>
    <font>
      <sz val="11"/>
      <name val="??"/>
      <family val="3"/>
      <charset val="129"/>
    </font>
    <font>
      <sz val="11"/>
      <name val="?l?r ?o?S?V?b?N"/>
      <family val="3"/>
    </font>
    <font>
      <sz val="11"/>
      <name val="?l?r ???"/>
      <family val="1"/>
    </font>
    <font>
      <sz val="11"/>
      <name val="?? ?????"/>
      <family val="1"/>
    </font>
    <font>
      <sz val="11"/>
      <name val="?l?r ??団"/>
      <family val="1"/>
      <charset val="128"/>
    </font>
    <font>
      <sz val="10"/>
      <name val="?W準??’c"/>
      <family val="3"/>
      <charset val="128"/>
    </font>
    <font>
      <sz val="11"/>
      <name val=" "/>
      <family val="3"/>
    </font>
    <font>
      <sz val="10"/>
      <name val="Helv"/>
      <charset val="204"/>
    </font>
    <font>
      <sz val="10"/>
      <name val="PragmaticaCTT"/>
      <charset val="204"/>
    </font>
    <font>
      <sz val="10"/>
      <name val="Helv"/>
      <family val="2"/>
    </font>
    <font>
      <sz val="12"/>
      <name val="바탕체"/>
      <family val="1"/>
      <charset val="255"/>
    </font>
    <font>
      <sz val="10"/>
      <name val="Helv"/>
    </font>
    <font>
      <sz val="11"/>
      <name val="돋움"/>
      <family val="3"/>
      <charset val="129"/>
    </font>
    <font>
      <sz val="10"/>
      <name val="Arial"/>
      <family val="2"/>
      <charset val="238"/>
    </font>
    <font>
      <sz val="12"/>
      <name val="Century Schoolbook"/>
      <family val="1"/>
    </font>
    <font>
      <sz val="9"/>
      <color indexed="10"/>
      <name val="Geneva"/>
      <family val="2"/>
    </font>
    <font>
      <sz val="10"/>
      <name val="Helv"/>
      <charset val="238"/>
    </font>
    <font>
      <sz val="12"/>
      <name val="Helv"/>
    </font>
    <font>
      <b/>
      <sz val="22"/>
      <color indexed="18"/>
      <name val="Arial"/>
      <family val="2"/>
    </font>
    <font>
      <sz val="10"/>
      <name val="MS Sans Serif"/>
      <family val="2"/>
    </font>
    <font>
      <sz val="14"/>
      <name val="System"/>
      <family val="2"/>
    </font>
    <font>
      <sz val="10"/>
      <name val=".VnTime"/>
      <family val="2"/>
    </font>
    <font>
      <sz val="10"/>
      <name val="Century School`ook"/>
      <family val="1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??’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charset val="128"/>
    </font>
    <font>
      <sz val="11"/>
      <name val="lr oSVbN"/>
      <family val="3"/>
    </font>
    <font>
      <sz val="10"/>
      <name val="Arial"/>
      <family val="2"/>
      <charset val="163"/>
    </font>
    <font>
      <sz val="12"/>
      <name val="DTMLetterRegular"/>
    </font>
    <font>
      <u/>
      <sz val="10"/>
      <color indexed="36"/>
      <name val="Arial"/>
      <family val="2"/>
    </font>
    <font>
      <u/>
      <sz val="10"/>
      <color indexed="14"/>
      <name val="lr oSVbN"/>
      <family val="3"/>
    </font>
    <font>
      <sz val="11"/>
      <name val="¾©"/>
      <family val="1"/>
    </font>
    <font>
      <sz val="11"/>
      <name val="??fc"/>
      <family val="3"/>
    </font>
    <font>
      <u/>
      <sz val="10"/>
      <color indexed="12"/>
      <name val="lr oSVbN"/>
      <family val="3"/>
    </font>
    <font>
      <sz val="11"/>
      <name val="lr ¾©"/>
      <family val="1"/>
    </font>
    <font>
      <b/>
      <u/>
      <sz val="14"/>
      <color indexed="8"/>
      <name val=".VnBook-AntiquaH"/>
      <family val="2"/>
    </font>
    <font>
      <sz val="10"/>
      <name val="ＭＳ Ｐゴシック"/>
      <family val="3"/>
      <charset val="128"/>
    </font>
    <font>
      <sz val="6"/>
      <name val="Arial Narrow"/>
      <family val="2"/>
    </font>
    <font>
      <sz val="10"/>
      <name val="VnTimes"/>
      <family val="2"/>
    </font>
    <font>
      <b/>
      <sz val="18"/>
      <name val="Arial"/>
      <family val="2"/>
    </font>
    <font>
      <sz val="12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b/>
      <u/>
      <sz val="24"/>
      <name val="Arial"/>
      <family val="2"/>
    </font>
    <font>
      <b/>
      <sz val="12"/>
      <color indexed="8"/>
      <name val=".VnBook-Antiqua"/>
      <family val="2"/>
    </font>
    <font>
      <sz val="7"/>
      <color indexed="12"/>
      <name val="Times New Roman"/>
      <family val="1"/>
    </font>
    <font>
      <i/>
      <sz val="12"/>
      <color indexed="8"/>
      <name val=".VnBook-Antiqua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4"/>
      <name val="AngsanaUPC"/>
      <family val="1"/>
    </font>
    <font>
      <i/>
      <sz val="8"/>
      <name val="Arial"/>
      <family val="2"/>
    </font>
    <font>
      <b/>
      <sz val="11"/>
      <color indexed="8"/>
      <name val="Times New Roman"/>
      <family val="1"/>
    </font>
    <font>
      <sz val="8"/>
      <name val="Book Antiqua"/>
      <family val="1"/>
    </font>
    <font>
      <sz val="12"/>
      <name val="¹ÙÅÁÃ¼"/>
      <charset val="129"/>
    </font>
    <font>
      <sz val="12"/>
      <name val="¹UAAA¼"/>
      <family val="3"/>
      <charset val="129"/>
    </font>
    <font>
      <sz val="10"/>
      <color indexed="9"/>
      <name val="Arial"/>
      <family val="2"/>
    </font>
    <font>
      <b/>
      <sz val="12"/>
      <name val="Tms Rmn"/>
    </font>
    <font>
      <sz val="10"/>
      <color indexed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8"/>
      <color indexed="12"/>
      <name val="Tms Rmn"/>
    </font>
    <font>
      <sz val="10"/>
      <color indexed="12"/>
      <name val="Times New Roman"/>
      <family val="1"/>
    </font>
    <font>
      <sz val="12"/>
      <name val="Tms Rmn"/>
    </font>
    <font>
      <b/>
      <sz val="12"/>
      <name val="Palatino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b/>
      <sz val="10"/>
      <name val="Helv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u val="singleAccounting"/>
      <sz val="10"/>
      <name val="Arial"/>
      <family val="2"/>
    </font>
    <font>
      <sz val="8"/>
      <color indexed="20"/>
      <name val="Tahoma"/>
      <family val="2"/>
    </font>
    <font>
      <b/>
      <sz val="6"/>
      <color indexed="21"/>
      <name val="Wingdings"/>
      <charset val="2"/>
    </font>
    <font>
      <b/>
      <i/>
      <sz val="9"/>
      <name val="Arial"/>
      <family val="2"/>
    </font>
    <font>
      <sz val="12"/>
      <name val="µ¸¿òÃ¼"/>
      <family val="3"/>
      <charset val="129"/>
    </font>
    <font>
      <sz val="10"/>
      <name val="Courier"/>
      <family val="3"/>
    </font>
    <font>
      <sz val="10"/>
      <color indexed="10"/>
      <name val="Times New Roman"/>
      <family val="1"/>
    </font>
    <font>
      <b/>
      <sz val="10"/>
      <name val="Helv"/>
    </font>
    <font>
      <sz val="12"/>
      <name val="Humanst521 BT"/>
      <family val="2"/>
    </font>
    <font>
      <sz val="6"/>
      <color indexed="10"/>
      <name val="Times New Roman"/>
      <family val="1"/>
    </font>
    <font>
      <sz val="10"/>
      <name val="VNI-Aptima"/>
    </font>
    <font>
      <b/>
      <i/>
      <sz val="8"/>
      <name val="Arial"/>
      <family val="2"/>
    </font>
    <font>
      <b/>
      <sz val="8"/>
      <name val="Book Antiqua"/>
      <family val="1"/>
    </font>
    <font>
      <u/>
      <sz val="7.5"/>
      <color indexed="12"/>
      <name val="Arial"/>
      <family val="2"/>
    </font>
    <font>
      <u val="singleAccounting"/>
      <sz val="12"/>
      <name val="Humanst521 BT"/>
      <family val="2"/>
    </font>
    <font>
      <b/>
      <sz val="8"/>
      <color indexed="8"/>
      <name val="Times New Roman"/>
      <family val="1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i/>
      <sz val="8"/>
      <color indexed="10"/>
      <name val="Tahoma"/>
      <family val="2"/>
    </font>
    <font>
      <b/>
      <sz val="8"/>
      <name val="Times New Roman"/>
      <family val="1"/>
    </font>
    <font>
      <sz val="8"/>
      <name val="Palatino"/>
      <family val="1"/>
    </font>
    <font>
      <sz val="12"/>
      <color indexed="8"/>
      <name val="Gill Sans MT Condensed"/>
      <family val="2"/>
    </font>
    <font>
      <sz val="9"/>
      <color theme="1"/>
      <name val="Times New Roman"/>
      <family val="2"/>
    </font>
    <font>
      <i/>
      <sz val="8"/>
      <color indexed="8"/>
      <name val="Microsoft Sans Serif"/>
      <family val="2"/>
    </font>
    <font>
      <b/>
      <sz val="12"/>
      <color indexed="8"/>
      <name val="Tahoma"/>
      <family val="2"/>
    </font>
    <font>
      <sz val="10"/>
      <name val="Verdana"/>
      <family val="2"/>
    </font>
    <font>
      <sz val="8"/>
      <name val="Tahoma"/>
      <family val="2"/>
    </font>
    <font>
      <sz val="14"/>
      <name val="AngsanaUPC"/>
      <family val="1"/>
      <charset val="222"/>
    </font>
    <font>
      <sz val="10"/>
      <name val="BERNHARD"/>
    </font>
    <font>
      <sz val="24"/>
      <name val="MS Sans Serif"/>
      <family val="2"/>
    </font>
    <font>
      <sz val="8"/>
      <name val="Univers (E1)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8"/>
      <color indexed="12"/>
      <name val="Times New Roman"/>
      <family val="1"/>
    </font>
    <font>
      <sz val="8"/>
      <name val="Helv"/>
      <family val="2"/>
    </font>
    <font>
      <b/>
      <sz val="12"/>
      <color indexed="9"/>
      <name val="Arial"/>
      <family val="2"/>
    </font>
    <font>
      <b/>
      <sz val="16"/>
      <color indexed="16"/>
      <name val="Arial"/>
      <family val="2"/>
    </font>
    <font>
      <sz val="8"/>
      <color indexed="18"/>
      <name val="Times New Roman"/>
      <family val="1"/>
    </font>
    <font>
      <sz val="11"/>
      <color indexed="12"/>
      <name val="Garamond"/>
      <family val="1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8"/>
      <color indexed="14"/>
      <name val="Times New Roman"/>
      <family val="1"/>
    </font>
    <font>
      <u val="doubleAccounting"/>
      <sz val="10"/>
      <name val="Arial"/>
      <family val="2"/>
    </font>
    <font>
      <u val="doubleAccounting"/>
      <sz val="12"/>
      <name val="Humanst521 BT"/>
      <family val="2"/>
    </font>
    <font>
      <b/>
      <sz val="10"/>
      <color indexed="10"/>
      <name val="Arial"/>
      <family val="2"/>
    </font>
    <font>
      <sz val="10"/>
      <color indexed="19"/>
      <name val="Arial"/>
      <family val="2"/>
    </font>
    <font>
      <b/>
      <sz val="1"/>
      <color indexed="8"/>
      <name val="Courier"/>
      <family val="3"/>
    </font>
    <font>
      <sz val="24"/>
      <color indexed="13"/>
      <name val="SWISS"/>
      <family val="2"/>
    </font>
    <font>
      <sz val="10"/>
      <color indexed="16"/>
      <name val="MS Serif"/>
      <family val="1"/>
    </font>
    <font>
      <i/>
      <sz val="10"/>
      <color indexed="11"/>
      <name val="Arial"/>
      <family val="2"/>
    </font>
    <font>
      <b/>
      <sz val="7"/>
      <color indexed="12"/>
      <name val="Arial"/>
      <family val="2"/>
    </font>
    <font>
      <b/>
      <i/>
      <sz val="14"/>
      <name val="Tms Rmn"/>
    </font>
    <font>
      <sz val="7"/>
      <name val="Palatino"/>
      <family val="1"/>
    </font>
    <font>
      <sz val="7"/>
      <name val="Arial"/>
      <family val="2"/>
    </font>
    <font>
      <i/>
      <sz val="10"/>
      <color indexed="12"/>
      <name val="Arial"/>
      <family val="2"/>
    </font>
    <font>
      <b/>
      <sz val="14"/>
      <name val="SWISS"/>
      <family val="2"/>
    </font>
    <font>
      <sz val="14"/>
      <name val="MS ｷ?"/>
      <family val="1"/>
      <charset val="128"/>
    </font>
    <font>
      <sz val="9"/>
      <name val="Bembo (DFS)"/>
      <family val="2"/>
    </font>
    <font>
      <sz val="10"/>
      <color indexed="17"/>
      <name val="Times New Roman"/>
      <family val="1"/>
    </font>
    <font>
      <b/>
      <sz val="12"/>
      <name val=".VnBook-AntiquaH"/>
      <family val="2"/>
    </font>
    <font>
      <sz val="9"/>
      <name val="ＭＳ ゴシック"/>
      <family val="3"/>
      <charset val="128"/>
    </font>
    <font>
      <b/>
      <sz val="12"/>
      <name val="Helv"/>
    </font>
    <font>
      <b/>
      <sz val="11"/>
      <color indexed="41"/>
      <name val="Times New Roman"/>
      <family val="1"/>
    </font>
    <font>
      <b/>
      <sz val="1"/>
      <color indexed="16"/>
      <name val="Courier"/>
      <family val="3"/>
    </font>
    <font>
      <b/>
      <sz val="16"/>
      <name val="Times New Roman"/>
      <family val="1"/>
    </font>
    <font>
      <b/>
      <i/>
      <sz val="22"/>
      <name val="Times New Roman"/>
      <family val="1"/>
    </font>
    <font>
      <b/>
      <sz val="10"/>
      <name val=".VnTime"/>
      <family val="2"/>
    </font>
    <font>
      <sz val="11"/>
      <name val="明朝"/>
      <family val="1"/>
      <charset val="128"/>
    </font>
    <font>
      <sz val="7"/>
      <color indexed="12"/>
      <name val="Helv"/>
    </font>
    <font>
      <sz val="10"/>
      <color indexed="12"/>
      <name val="Arial"/>
      <family val="2"/>
    </font>
    <font>
      <b/>
      <sz val="14"/>
      <name val=".VnTimeH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sz val="10"/>
      <name val="ＭＳ ゴシック"/>
      <family val="3"/>
      <charset val="128"/>
    </font>
    <font>
      <sz val="7"/>
      <name val="Helvetica-Narrow"/>
      <family val="2"/>
    </font>
    <font>
      <sz val="1"/>
      <color indexed="9"/>
      <name val="Symbol"/>
      <family val="1"/>
      <charset val="2"/>
    </font>
    <font>
      <sz val="8"/>
      <color indexed="10"/>
      <name val="Helv"/>
    </font>
    <font>
      <b/>
      <sz val="14"/>
      <name val="Helv"/>
    </font>
    <font>
      <u/>
      <sz val="5"/>
      <color indexed="12"/>
      <name val="Arial"/>
      <family val="2"/>
    </font>
    <font>
      <u/>
      <sz val="5"/>
      <color indexed="36"/>
      <name val="Arial"/>
      <family val="2"/>
    </font>
    <font>
      <b/>
      <sz val="10"/>
      <name val="Palatino"/>
      <family val="1"/>
    </font>
    <font>
      <sz val="11"/>
      <name val="VNI-Times"/>
      <family val="2"/>
    </font>
    <font>
      <sz val="10"/>
      <color indexed="16"/>
      <name val="MS Sans Serif"/>
      <family val="2"/>
    </font>
    <font>
      <sz val="8"/>
      <color indexed="8"/>
      <name val="TIMES NEW ROMAN"/>
      <family val="1"/>
    </font>
    <font>
      <sz val="8"/>
      <name val="Microsoft Sans Serif"/>
      <family val="2"/>
    </font>
    <font>
      <b/>
      <sz val="12"/>
      <color indexed="8"/>
      <name val="Arial"/>
      <family val="2"/>
    </font>
    <font>
      <sz val="11"/>
      <name val="MS P????"/>
      <family val="1"/>
    </font>
    <font>
      <b/>
      <sz val="11"/>
      <name val="Helv"/>
    </font>
    <font>
      <sz val="10"/>
      <name val="Palatino"/>
      <family val="1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sz val="12"/>
      <name val="VN-NTime"/>
    </font>
    <font>
      <sz val="12"/>
      <name val="바탕체"/>
      <family val="1"/>
      <charset val="129"/>
    </font>
    <font>
      <sz val="11"/>
      <color indexed="8"/>
      <name val="Book Antiqua"/>
      <family val="2"/>
    </font>
    <font>
      <b/>
      <i/>
      <sz val="8"/>
      <name val="Book Antiqua"/>
      <family val="1"/>
    </font>
    <font>
      <strike/>
      <sz val="9"/>
      <name val="Helv"/>
    </font>
    <font>
      <sz val="7"/>
      <color indexed="12"/>
      <name val="Arial"/>
      <family val="2"/>
    </font>
    <font>
      <b/>
      <u val="doubleAccounting"/>
      <sz val="12"/>
      <name val="Humanst521 BT"/>
      <family val="2"/>
    </font>
    <font>
      <sz val="8"/>
      <name val="Tms Rmn"/>
    </font>
    <font>
      <sz val="11"/>
      <name val="‚l‚r –3’©"/>
      <charset val="128"/>
    </font>
    <font>
      <b/>
      <sz val="11"/>
      <color indexed="9"/>
      <name val="Helv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u/>
      <sz val="10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color indexed="9"/>
      <name val="Times New Roman"/>
      <family val="1"/>
    </font>
    <font>
      <sz val="10"/>
      <name val="Swiss"/>
      <family val="2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E"/>
      <family val="2"/>
      <charset val="238"/>
    </font>
    <font>
      <i/>
      <sz val="10"/>
      <color indexed="23"/>
      <name val="Arial"/>
      <family val="2"/>
    </font>
    <font>
      <sz val="12"/>
      <name val="Helv"/>
      <family val="2"/>
    </font>
    <font>
      <b/>
      <sz val="10"/>
      <color indexed="8"/>
      <name val="MS Sans Serif"/>
      <family val="2"/>
    </font>
    <font>
      <b/>
      <sz val="9"/>
      <color indexed="12"/>
      <name val="Arial"/>
      <family val="2"/>
    </font>
    <font>
      <sz val="8"/>
      <name val="Helv"/>
    </font>
    <font>
      <sz val="8"/>
      <color indexed="14"/>
      <name val="Helv"/>
      <family val="2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0"/>
      <name val="Century Schoolbook"/>
      <family val="1"/>
    </font>
    <font>
      <sz val="10"/>
      <color indexed="39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9"/>
      <color indexed="5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Helv"/>
    </font>
    <font>
      <sz val="12"/>
      <name val="VNTime"/>
    </font>
    <font>
      <sz val="10"/>
      <name val="VNtimes new roman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Arial Cyr"/>
      <charset val="204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sz val="12"/>
      <name val="Courier"/>
      <family val="3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name val="Garamond"/>
      <family val="1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8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lightGray">
        <fgColor indexed="15"/>
      </patternFill>
    </fill>
    <fill>
      <patternFill patternType="gray0625"/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solid">
        <fgColor indexed="8"/>
        <bgColor indexed="64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12"/>
        <bgColor indexed="12"/>
      </patternFill>
    </fill>
    <fill>
      <patternFill patternType="solid">
        <fgColor indexed="10"/>
        <bgColor indexed="8"/>
      </patternFill>
    </fill>
    <fill>
      <patternFill patternType="solid">
        <fgColor indexed="13"/>
        <bgColor indexed="13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3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8"/>
      </patternFill>
    </fill>
    <fill>
      <patternFill patternType="lightGray">
        <fgColor indexed="38"/>
        <bgColor indexed="23"/>
      </patternFill>
    </fill>
    <fill>
      <patternFill patternType="solid">
        <fgColor indexed="10"/>
        <bgColor indexed="9"/>
      </patternFill>
    </fill>
    <fill>
      <patternFill patternType="solid">
        <fgColor indexed="10"/>
        <bgColor indexed="16"/>
      </patternFill>
    </fill>
    <fill>
      <patternFill patternType="mediumGray">
        <fgColor indexed="10"/>
        <bgColor indexed="1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gray125">
        <fgColor indexed="11"/>
        <b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medium">
        <color indexed="2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3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3" fillId="0" borderId="0"/>
    <xf numFmtId="43" fontId="40" fillId="0" borderId="0" applyFont="0" applyFill="0" applyBorder="0" applyAlignment="0" applyProtection="0"/>
    <xf numFmtId="0" fontId="40" fillId="0" borderId="0" applyBorder="0">
      <alignment vertical="center"/>
    </xf>
    <xf numFmtId="0" fontId="53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3" fillId="0" borderId="0"/>
    <xf numFmtId="43" fontId="40" fillId="0" borderId="0" applyFont="0" applyFill="0" applyBorder="0" applyAlignment="0" applyProtection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0" fillId="0" borderId="0"/>
    <xf numFmtId="0" fontId="40" fillId="0" borderId="0" applyBorder="0">
      <alignment vertical="center"/>
    </xf>
    <xf numFmtId="0" fontId="53" fillId="0" borderId="0"/>
    <xf numFmtId="0" fontId="40" fillId="0" borderId="0"/>
    <xf numFmtId="9" fontId="54" fillId="0" borderId="0" applyFont="0" applyFill="0" applyBorder="0" applyAlignment="0" applyProtection="0"/>
    <xf numFmtId="0" fontId="40" fillId="0" borderId="0"/>
    <xf numFmtId="0" fontId="53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54" fillId="0" borderId="0" applyFont="0" applyFill="0" applyBorder="0" applyAlignment="0" applyProtection="0"/>
    <xf numFmtId="0" fontId="53" fillId="0" borderId="0"/>
    <xf numFmtId="0" fontId="40" fillId="0" borderId="0"/>
    <xf numFmtId="0" fontId="40" fillId="0" borderId="0"/>
    <xf numFmtId="43" fontId="54" fillId="0" borderId="0" applyFont="0" applyFill="0" applyBorder="0" applyAlignment="0" applyProtection="0"/>
    <xf numFmtId="0" fontId="53" fillId="0" borderId="0"/>
    <xf numFmtId="43" fontId="54" fillId="0" borderId="0" applyFont="0" applyFill="0" applyBorder="0" applyAlignment="0" applyProtection="0"/>
    <xf numFmtId="0" fontId="53" fillId="0" borderId="0"/>
    <xf numFmtId="0" fontId="40" fillId="0" borderId="0"/>
    <xf numFmtId="0" fontId="59" fillId="0" borderId="0" applyNumberFormat="0" applyFill="0" applyBorder="0" applyAlignment="0" applyProtection="0"/>
    <xf numFmtId="182" fontId="60" fillId="0" borderId="0"/>
    <xf numFmtId="0" fontId="61" fillId="0" borderId="0" applyNumberFormat="0" applyFill="0" applyBorder="0" applyAlignment="0" applyProtection="0"/>
    <xf numFmtId="0" fontId="42" fillId="0" borderId="0"/>
    <xf numFmtId="0" fontId="2" fillId="0" borderId="0"/>
    <xf numFmtId="0" fontId="2" fillId="0" borderId="0"/>
    <xf numFmtId="40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/>
    <xf numFmtId="5" fontId="64" fillId="0" borderId="0" applyFont="0" applyFill="0" applyBorder="0" applyAlignment="0" applyProtection="0"/>
    <xf numFmtId="8" fontId="6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5" fillId="31" borderId="28">
      <alignment horizontal="right" vertical="center"/>
    </xf>
    <xf numFmtId="0" fontId="66" fillId="0" borderId="0" applyBorder="0"/>
    <xf numFmtId="10" fontId="64" fillId="0" borderId="0" applyFont="0" applyFill="0" applyBorder="0" applyAlignment="0" applyProtection="0"/>
    <xf numFmtId="183" fontId="67" fillId="0" borderId="0" applyFill="0" applyBorder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68" fillId="0" borderId="0" applyFont="0" applyFill="0" applyBorder="0" applyAlignment="0" applyProtection="0"/>
    <xf numFmtId="10" fontId="69" fillId="0" borderId="0"/>
    <xf numFmtId="10" fontId="69" fillId="0" borderId="0"/>
    <xf numFmtId="183" fontId="67" fillId="0" borderId="0" applyFill="0" applyBorder="0" applyProtection="0"/>
    <xf numFmtId="183" fontId="67" fillId="0" borderId="0" applyFill="0" applyBorder="0" applyProtection="0"/>
    <xf numFmtId="0" fontId="2" fillId="0" borderId="0"/>
    <xf numFmtId="0" fontId="2" fillId="0" borderId="0"/>
    <xf numFmtId="10" fontId="69" fillId="0" borderId="0"/>
    <xf numFmtId="183" fontId="67" fillId="0" borderId="0" applyFill="0" applyBorder="0" applyProtection="0"/>
    <xf numFmtId="10" fontId="69" fillId="0" borderId="0"/>
    <xf numFmtId="9" fontId="42" fillId="0" borderId="0"/>
    <xf numFmtId="0" fontId="42" fillId="0" borderId="0"/>
    <xf numFmtId="10" fontId="42" fillId="0" borderId="0"/>
    <xf numFmtId="0" fontId="40" fillId="0" borderId="0">
      <alignment vertical="center"/>
    </xf>
    <xf numFmtId="184" fontId="70" fillId="0" borderId="0">
      <alignment vertical="center"/>
    </xf>
    <xf numFmtId="37" fontId="60" fillId="0" borderId="0"/>
    <xf numFmtId="185" fontId="60" fillId="0" borderId="0"/>
    <xf numFmtId="186" fontId="71" fillId="0" borderId="0">
      <alignment vertical="center"/>
    </xf>
    <xf numFmtId="187" fontId="70" fillId="0" borderId="0">
      <alignment vertical="center"/>
    </xf>
    <xf numFmtId="0" fontId="63" fillId="0" borderId="0" applyNumberFormat="0" applyFont="0" applyFill="0" applyBorder="0" applyAlignment="0" applyProtection="0"/>
    <xf numFmtId="38" fontId="72" fillId="0" borderId="0" applyFont="0" applyFill="0" applyBorder="0" applyAlignment="0" applyProtection="0"/>
    <xf numFmtId="166" fontId="73" fillId="0" borderId="32" applyFont="0" applyBorder="0"/>
    <xf numFmtId="39" fontId="74" fillId="0" borderId="0" applyFill="0" applyBorder="0" applyAlignment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8" fontId="4" fillId="0" borderId="0" applyFont="0" applyFill="0" applyBorder="0" applyAlignment="0"/>
    <xf numFmtId="189" fontId="75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75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75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41" fontId="42" fillId="0" borderId="0" applyFont="0" applyFill="0" applyBorder="0" applyAlignment="0" applyProtection="0"/>
    <xf numFmtId="194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17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9" fillId="0" borderId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38" fontId="91" fillId="0" borderId="0" applyFont="0" applyFill="0" applyBorder="0" applyAlignment="0" applyProtection="0"/>
    <xf numFmtId="196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90" fillId="0" borderId="0"/>
    <xf numFmtId="0" fontId="89" fillId="0" borderId="0"/>
    <xf numFmtId="0" fontId="92" fillId="0" borderId="0"/>
    <xf numFmtId="0" fontId="93" fillId="0" borderId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38" fontId="94" fillId="0" borderId="0" applyFont="0" applyFill="0" applyBorder="0" applyAlignment="0" applyProtection="0"/>
    <xf numFmtId="0" fontId="49" fillId="0" borderId="0" applyFont="0" applyAlignment="0">
      <alignment horizontal="center" vertical="center"/>
    </xf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Fill="0" applyBorder="0" applyProtection="0"/>
    <xf numFmtId="0" fontId="98" fillId="0" borderId="0"/>
    <xf numFmtId="0" fontId="2" fillId="0" borderId="0" applyFill="0" applyBorder="0" applyProtection="0"/>
    <xf numFmtId="0" fontId="2" fillId="0" borderId="0" applyFill="0" applyBorder="0" applyProtection="0"/>
    <xf numFmtId="0" fontId="2" fillId="0" borderId="0" applyFill="0" applyBorder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9" fontId="2" fillId="0" borderId="0" applyFont="0" applyFill="0" applyBorder="0" applyAlignment="0" applyProtection="0"/>
    <xf numFmtId="0" fontId="97" fillId="0" borderId="0"/>
    <xf numFmtId="0" fontId="97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42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2" fillId="0" borderId="0"/>
    <xf numFmtId="0" fontId="100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97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/>
    <xf numFmtId="0" fontId="95" fillId="0" borderId="0"/>
    <xf numFmtId="0" fontId="2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0" fillId="0" borderId="0"/>
    <xf numFmtId="0" fontId="101" fillId="0" borderId="0"/>
    <xf numFmtId="0" fontId="95" fillId="0" borderId="0"/>
    <xf numFmtId="0" fontId="100" fillId="0" borderId="0"/>
    <xf numFmtId="0" fontId="2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98" fillId="0" borderId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95" fillId="0" borderId="0"/>
    <xf numFmtId="0" fontId="66" fillId="0" borderId="0" applyNumberFormat="0" applyFill="0" applyBorder="0" applyAlignment="0" applyProtection="0"/>
    <xf numFmtId="0" fontId="4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42" fillId="0" borderId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201" fontId="60" fillId="0" borderId="0"/>
    <xf numFmtId="0" fontId="95" fillId="0" borderId="0"/>
    <xf numFmtId="0" fontId="98" fillId="0" borderId="0"/>
    <xf numFmtId="0" fontId="95" fillId="0" borderId="0"/>
    <xf numFmtId="201" fontId="60" fillId="0" borderId="0"/>
    <xf numFmtId="201" fontId="60" fillId="0" borderId="0"/>
    <xf numFmtId="201" fontId="60" fillId="0" borderId="0"/>
    <xf numFmtId="202" fontId="2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42" fillId="0" borderId="0"/>
    <xf numFmtId="0" fontId="97" fillId="0" borderId="0"/>
    <xf numFmtId="0" fontId="42" fillId="0" borderId="0"/>
    <xf numFmtId="0" fontId="42" fillId="0" borderId="0"/>
    <xf numFmtId="0" fontId="97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20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/>
    <xf numFmtId="0" fontId="101" fillId="0" borderId="0"/>
    <xf numFmtId="0" fontId="54" fillId="0" borderId="0">
      <alignment vertical="top"/>
    </xf>
    <xf numFmtId="0" fontId="50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/>
    <xf numFmtId="0" fontId="50" fillId="0" borderId="0"/>
    <xf numFmtId="0" fontId="54" fillId="0" borderId="0">
      <alignment vertical="top"/>
    </xf>
    <xf numFmtId="0" fontId="2" fillId="27" borderId="0"/>
    <xf numFmtId="0" fontId="2" fillId="27" borderId="0"/>
    <xf numFmtId="0" fontId="2" fillId="27" borderId="0"/>
    <xf numFmtId="0" fontId="2" fillId="27" borderId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2" fillId="0" borderId="0"/>
    <xf numFmtId="0" fontId="64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5" fontId="10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47" fillId="0" borderId="0" applyFont="0" applyFill="0" applyBorder="0" applyAlignment="0" applyProtection="0"/>
    <xf numFmtId="14" fontId="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25" borderId="0" applyFont="0" applyBorder="0" applyAlignment="0" applyProtection="0"/>
    <xf numFmtId="14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206" fontId="10" fillId="0" borderId="0" applyFont="0" applyFill="0" applyBorder="0" applyAlignment="0" applyProtection="0"/>
    <xf numFmtId="210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203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42" fillId="0" borderId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50" fillId="0" borderId="0"/>
    <xf numFmtId="0" fontId="2" fillId="0" borderId="0" applyFont="0" applyFill="0" applyBorder="0" applyAlignment="0" applyProtection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200" fontId="97" fillId="0" borderId="0"/>
    <xf numFmtId="0" fontId="2" fillId="0" borderId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0" fillId="0" borderId="0"/>
    <xf numFmtId="212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104" fillId="0" borderId="0"/>
    <xf numFmtId="0" fontId="95" fillId="0" borderId="0"/>
    <xf numFmtId="0" fontId="95" fillId="0" borderId="0"/>
    <xf numFmtId="0" fontId="95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4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54" fillId="0" borderId="0">
      <alignment vertical="top"/>
    </xf>
    <xf numFmtId="0" fontId="2" fillId="0" borderId="0"/>
    <xf numFmtId="0" fontId="2" fillId="0" borderId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9" fillId="0" borderId="0"/>
    <xf numFmtId="0" fontId="2" fillId="0" borderId="0"/>
    <xf numFmtId="0" fontId="50" fillId="0" borderId="0"/>
    <xf numFmtId="0" fontId="50" fillId="0" borderId="0"/>
    <xf numFmtId="0" fontId="54" fillId="0" borderId="0">
      <alignment vertical="top"/>
    </xf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0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7" fontId="40" fillId="0" borderId="0" applyProtection="0"/>
    <xf numFmtId="7" fontId="40" fillId="0" borderId="0" applyProtection="0"/>
    <xf numFmtId="7" fontId="40" fillId="0" borderId="0" applyProtection="0"/>
    <xf numFmtId="178" fontId="105" fillId="0" borderId="0"/>
    <xf numFmtId="0" fontId="4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2" fillId="0" borderId="0"/>
    <xf numFmtId="0" fontId="2" fillId="0" borderId="0"/>
    <xf numFmtId="0" fontId="97" fillId="0" borderId="0"/>
    <xf numFmtId="0" fontId="95" fillId="0" borderId="0"/>
    <xf numFmtId="0" fontId="2" fillId="0" borderId="0"/>
    <xf numFmtId="0" fontId="2" fillId="0" borderId="0"/>
    <xf numFmtId="0" fontId="54" fillId="0" borderId="0">
      <alignment vertical="top"/>
    </xf>
    <xf numFmtId="0" fontId="95" fillId="0" borderId="0"/>
    <xf numFmtId="0" fontId="95" fillId="0" borderId="0"/>
    <xf numFmtId="0" fontId="54" fillId="0" borderId="0">
      <alignment vertical="top"/>
    </xf>
    <xf numFmtId="0" fontId="95" fillId="0" borderId="0"/>
    <xf numFmtId="0" fontId="68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99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01" fillId="0" borderId="0"/>
    <xf numFmtId="0" fontId="50" fillId="0" borderId="0"/>
    <xf numFmtId="0" fontId="5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95" fillId="0" borderId="0"/>
    <xf numFmtId="0" fontId="50" fillId="0" borderId="0"/>
    <xf numFmtId="0" fontId="95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106" fillId="0" borderId="0" applyNumberFormat="0" applyFill="0" applyBorder="0" applyAlignment="0" applyProtection="0"/>
    <xf numFmtId="0" fontId="95" fillId="0" borderId="0"/>
    <xf numFmtId="0" fontId="2" fillId="23" borderId="0" applyNumberFormat="0" applyFon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14" fontId="60" fillId="0" borderId="0"/>
    <xf numFmtId="215" fontId="2" fillId="0" borderId="0"/>
    <xf numFmtId="199" fontId="2" fillId="0" borderId="0"/>
    <xf numFmtId="214" fontId="60" fillId="0" borderId="0"/>
    <xf numFmtId="214" fontId="60" fillId="0" borderId="0"/>
    <xf numFmtId="214" fontId="60" fillId="0" borderId="0"/>
    <xf numFmtId="216" fontId="2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9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42" fillId="0" borderId="0"/>
    <xf numFmtId="42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6" fontId="107" fillId="0" borderId="0" applyFont="0" applyFill="0" applyBorder="0" applyAlignment="0" applyProtection="0"/>
    <xf numFmtId="22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0" fontId="2" fillId="0" borderId="0"/>
    <xf numFmtId="0" fontId="10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205" fontId="102" fillId="0" borderId="0" applyFont="0" applyFill="0" applyBorder="0" applyAlignment="0" applyProtection="0"/>
    <xf numFmtId="0" fontId="2" fillId="0" borderId="0"/>
    <xf numFmtId="0" fontId="2" fillId="0" borderId="0"/>
    <xf numFmtId="0" fontId="10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Font="0" applyFill="0" applyBorder="0" applyAlignment="0" applyProtection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50" fillId="0" borderId="0"/>
    <xf numFmtId="0" fontId="42" fillId="0" borderId="0" applyNumberFormat="0" applyFill="0" applyBorder="0" applyAlignment="0" applyProtection="0"/>
    <xf numFmtId="0" fontId="4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 applyFont="0" applyFill="0" applyBorder="0" applyAlignment="0" applyProtection="0"/>
    <xf numFmtId="0" fontId="50" fillId="0" borderId="0"/>
    <xf numFmtId="0" fontId="97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97" fillId="0" borderId="0"/>
    <xf numFmtId="0" fontId="66" fillId="0" borderId="0" applyNumberFormat="0" applyFill="0" applyBorder="0" applyAlignment="0" applyProtection="0"/>
    <xf numFmtId="0" fontId="2" fillId="0" borderId="0"/>
    <xf numFmtId="0" fontId="2" fillId="0" borderId="0"/>
    <xf numFmtId="200" fontId="10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200" fontId="10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42" fillId="0" borderId="0" applyNumberFormat="0" applyFill="0" applyBorder="0" applyAlignment="0" applyProtection="0"/>
    <xf numFmtId="0" fontId="97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22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10" fillId="0" borderId="0" applyFont="0" applyFill="0" applyBorder="0" applyAlignment="0" applyProtection="0"/>
    <xf numFmtId="226" fontId="4" fillId="0" borderId="0" applyFont="0" applyFill="0" applyBorder="0" applyAlignment="0" applyProtection="0"/>
    <xf numFmtId="223" fontId="2" fillId="0" borderId="0" applyFont="0" applyFill="0" applyBorder="0" applyAlignment="0" applyProtection="0"/>
    <xf numFmtId="226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26" fontId="4" fillId="0" borderId="0" applyFont="0" applyFill="0" applyBorder="0" applyAlignment="0" applyProtection="0"/>
    <xf numFmtId="227" fontId="40" fillId="0" borderId="0" applyFont="0" applyFill="0" applyBorder="0" applyAlignment="0" applyProtection="0"/>
    <xf numFmtId="228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3" fontId="10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0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2" fillId="0" borderId="0"/>
    <xf numFmtId="42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6" fontId="107" fillId="0" borderId="0" applyFont="0" applyFill="0" applyBorder="0" applyAlignment="0" applyProtection="0"/>
    <xf numFmtId="22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9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2" fillId="0" borderId="0"/>
    <xf numFmtId="0" fontId="50" fillId="0" borderId="0"/>
    <xf numFmtId="0" fontId="2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7" fillId="0" borderId="0"/>
    <xf numFmtId="0" fontId="99" fillId="0" borderId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205" fontId="102" fillId="0" borderId="0" applyFont="0" applyFill="0" applyBorder="0" applyAlignment="0" applyProtection="0"/>
    <xf numFmtId="238" fontId="110" fillId="0" borderId="0" applyFont="0" applyFill="0" applyBorder="0" applyAlignment="0" applyProtection="0"/>
    <xf numFmtId="205" fontId="102" fillId="0" borderId="0" applyFont="0" applyFill="0" applyBorder="0" applyAlignment="0" applyProtection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238" fontId="110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205" fontId="102" fillId="0" borderId="0" applyFont="0" applyFill="0" applyBorder="0" applyAlignment="0" applyProtection="0"/>
    <xf numFmtId="238" fontId="110" fillId="0" borderId="0" applyFont="0" applyFill="0" applyBorder="0" applyAlignment="0" applyProtection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103" fillId="0" borderId="0"/>
    <xf numFmtId="239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25" borderId="0" applyFont="0" applyBorder="0" applyAlignment="0" applyProtection="0"/>
    <xf numFmtId="240" fontId="2" fillId="0" borderId="33" applyFont="0" applyFill="0" applyAlignment="0" applyProtection="0"/>
    <xf numFmtId="241" fontId="2" fillId="0" borderId="0" applyFont="0" applyFill="0" applyBorder="0" applyAlignment="0" applyProtection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42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2" fillId="0" borderId="0" applyFont="0" applyFill="0" applyBorder="0" applyAlignment="0" applyProtection="0"/>
    <xf numFmtId="246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0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2" fillId="0" borderId="0"/>
    <xf numFmtId="0" fontId="95" fillId="0" borderId="0"/>
    <xf numFmtId="0" fontId="50" fillId="0" borderId="0"/>
    <xf numFmtId="0" fontId="97" fillId="0" borderId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66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95" fillId="0" borderId="0"/>
    <xf numFmtId="0" fontId="50" fillId="0" borderId="0"/>
    <xf numFmtId="0" fontId="95" fillId="0" borderId="0"/>
    <xf numFmtId="0" fontId="97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/>
    <xf numFmtId="0" fontId="2" fillId="0" borderId="0"/>
    <xf numFmtId="0" fontId="97" fillId="0" borderId="0"/>
    <xf numFmtId="0" fontId="50" fillId="0" borderId="0"/>
    <xf numFmtId="0" fontId="50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0" applyNumberFormat="0" applyFill="0" applyBorder="0" applyAlignment="0" applyProtection="0"/>
    <xf numFmtId="0" fontId="112" fillId="0" borderId="34" applyNumberFormat="0" applyFill="0" applyAlignment="0" applyProtection="0"/>
    <xf numFmtId="0" fontId="113" fillId="0" borderId="33" applyNumberFormat="0" applyFill="0" applyProtection="0">
      <alignment horizontal="center"/>
    </xf>
    <xf numFmtId="0" fontId="113" fillId="0" borderId="33" applyNumberFormat="0" applyFill="0" applyProtection="0">
      <alignment horizontal="centerContinuous"/>
    </xf>
    <xf numFmtId="0" fontId="113" fillId="0" borderId="33" applyNumberFormat="0" applyFill="0" applyBorder="0" applyProtection="0">
      <alignment horizontal="center"/>
    </xf>
    <xf numFmtId="0" fontId="2" fillId="0" borderId="35" applyNumberFormat="0" applyFont="0" applyFill="0" applyAlignment="0" applyProtection="0"/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4" fillId="0" borderId="0" applyNumberFormat="0" applyFill="0" applyProtection="0">
      <alignment horizontal="centerContinuous"/>
    </xf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95" fillId="0" borderId="0"/>
    <xf numFmtId="0" fontId="95" fillId="0" borderId="0"/>
    <xf numFmtId="0" fontId="97" fillId="0" borderId="0"/>
    <xf numFmtId="0" fontId="97" fillId="0" borderId="0"/>
    <xf numFmtId="0" fontId="2" fillId="0" borderId="0" applyNumberFormat="0" applyFill="0" applyBorder="0" applyAlignment="0" applyProtection="0"/>
    <xf numFmtId="0" fontId="2" fillId="0" borderId="0"/>
    <xf numFmtId="0" fontId="54" fillId="0" borderId="0">
      <alignment vertical="top"/>
    </xf>
    <xf numFmtId="0" fontId="50" fillId="0" borderId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9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4" fillId="0" borderId="0">
      <alignment vertical="top"/>
    </xf>
    <xf numFmtId="0" fontId="2" fillId="0" borderId="0"/>
    <xf numFmtId="0" fontId="97" fillId="0" borderId="0"/>
    <xf numFmtId="0" fontId="95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0" fontId="54" fillId="0" borderId="0">
      <alignment vertical="top"/>
    </xf>
    <xf numFmtId="0" fontId="4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97" fillId="0" borderId="0"/>
    <xf numFmtId="0" fontId="2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15" fillId="0" borderId="0" applyFont="0" applyFill="0" applyBorder="0" applyAlignment="0" applyProtection="0"/>
    <xf numFmtId="247" fontId="116" fillId="0" borderId="0" applyFont="0" applyFill="0" applyBorder="0" applyAlignment="0" applyProtection="0"/>
    <xf numFmtId="248" fontId="115" fillId="0" borderId="0" applyFont="0" applyFill="0" applyBorder="0" applyAlignment="0" applyProtection="0"/>
    <xf numFmtId="249" fontId="116" fillId="0" borderId="0" applyFont="0" applyFill="0" applyBorder="0" applyAlignment="0" applyProtection="0"/>
    <xf numFmtId="250" fontId="115" fillId="0" borderId="0" applyFont="0" applyFill="0" applyBorder="0" applyAlignment="0" applyProtection="0"/>
    <xf numFmtId="251" fontId="117" fillId="0" borderId="0" applyFont="0" applyFill="0" applyBorder="0" applyAlignment="0" applyProtection="0"/>
    <xf numFmtId="250" fontId="115" fillId="0" borderId="0" applyFont="0" applyFill="0" applyBorder="0" applyAlignment="0" applyProtection="0"/>
    <xf numFmtId="251" fontId="117" fillId="0" borderId="0" applyFont="0" applyFill="0" applyBorder="0" applyAlignment="0" applyProtection="0"/>
    <xf numFmtId="252" fontId="118" fillId="0" borderId="0" applyFont="0" applyFill="0" applyBorder="0" applyAlignment="0" applyProtection="0"/>
    <xf numFmtId="253" fontId="118" fillId="0" borderId="0" applyFont="0" applyFill="0" applyBorder="0" applyAlignment="0" applyProtection="0"/>
    <xf numFmtId="0" fontId="116" fillId="0" borderId="0"/>
    <xf numFmtId="0" fontId="116" fillId="0" borderId="0"/>
    <xf numFmtId="166" fontId="119" fillId="0" borderId="11"/>
    <xf numFmtId="9" fontId="2" fillId="26" borderId="0"/>
    <xf numFmtId="0" fontId="4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0" fillId="0" borderId="0"/>
    <xf numFmtId="0" fontId="2" fillId="0" borderId="0" applyNumberFormat="0" applyFill="0" applyBorder="0" applyAlignment="0" applyProtection="0"/>
    <xf numFmtId="254" fontId="70" fillId="0" borderId="0">
      <alignment vertical="center"/>
    </xf>
    <xf numFmtId="255" fontId="70" fillId="0" borderId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8" fillId="0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40" fontId="118" fillId="0" borderId="0" applyFont="0" applyFill="0" applyBorder="0" applyAlignment="0" applyProtection="0"/>
    <xf numFmtId="38" fontId="118" fillId="0" borderId="0" applyFont="0" applyFill="0" applyBorder="0" applyAlignment="0" applyProtection="0"/>
    <xf numFmtId="196" fontId="123" fillId="0" borderId="0" applyFont="0" applyFill="0" applyBorder="0" applyAlignment="0" applyProtection="0"/>
    <xf numFmtId="197" fontId="123" fillId="0" borderId="0" applyFont="0" applyFill="0" applyBorder="0" applyAlignment="0" applyProtection="0"/>
    <xf numFmtId="256" fontId="124" fillId="0" borderId="0" applyFont="0" applyFill="0" applyBorder="0" applyAlignment="0" applyProtection="0"/>
    <xf numFmtId="257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/>
    <xf numFmtId="0" fontId="42" fillId="0" borderId="0"/>
    <xf numFmtId="0" fontId="2" fillId="0" borderId="0">
      <alignment horizontal="right"/>
    </xf>
    <xf numFmtId="38" fontId="4" fillId="0" borderId="36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27" fillId="27" borderId="0"/>
    <xf numFmtId="0" fontId="127" fillId="27" borderId="0"/>
    <xf numFmtId="0" fontId="127" fillId="27" borderId="0"/>
    <xf numFmtId="0" fontId="127" fillId="27" borderId="0"/>
    <xf numFmtId="0" fontId="128" fillId="0" borderId="0" applyNumberFormat="0" applyBorder="0">
      <alignment vertical="center"/>
    </xf>
    <xf numFmtId="0" fontId="128" fillId="0" borderId="0" applyNumberFormat="0" applyBorder="0">
      <alignment vertical="center"/>
    </xf>
    <xf numFmtId="3" fontId="129" fillId="0" borderId="19">
      <alignment vertical="center"/>
    </xf>
    <xf numFmtId="15" fontId="2" fillId="0" borderId="0"/>
    <xf numFmtId="15" fontId="2" fillId="0" borderId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15" fontId="7" fillId="32" borderId="5">
      <alignment horizontal="center"/>
    </xf>
    <xf numFmtId="0" fontId="52" fillId="0" borderId="0" applyNumberFormat="0" applyFill="0" applyBorder="0" applyAlignment="0" applyProtection="0"/>
    <xf numFmtId="0" fontId="130" fillId="0" borderId="0"/>
    <xf numFmtId="15" fontId="2" fillId="0" borderId="0"/>
    <xf numFmtId="15" fontId="2" fillId="0" borderId="0"/>
    <xf numFmtId="0" fontId="131" fillId="0" borderId="0" applyNumberFormat="0" applyFill="0" applyBorder="0" applyAlignment="0" applyProtection="0"/>
    <xf numFmtId="9" fontId="132" fillId="0" borderId="0" applyFont="0" applyFill="0" applyBorder="0" applyAlignment="0" applyProtection="0"/>
    <xf numFmtId="15" fontId="2" fillId="0" borderId="0"/>
    <xf numFmtId="0" fontId="133" fillId="27" borderId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34" fillId="3" borderId="0" applyNumberFormat="0" applyBorder="0" applyAlignment="0" applyProtection="0"/>
    <xf numFmtId="0" fontId="134" fillId="4" borderId="0" applyNumberFormat="0" applyBorder="0" applyAlignment="0" applyProtection="0"/>
    <xf numFmtId="0" fontId="134" fillId="5" borderId="0" applyNumberFormat="0" applyBorder="0" applyAlignment="0" applyProtection="0"/>
    <xf numFmtId="0" fontId="134" fillId="6" borderId="0" applyNumberFormat="0" applyBorder="0" applyAlignment="0" applyProtection="0"/>
    <xf numFmtId="0" fontId="134" fillId="7" borderId="0" applyNumberFormat="0" applyBorder="0" applyAlignment="0" applyProtection="0"/>
    <xf numFmtId="0" fontId="134" fillId="8" borderId="0" applyNumberFormat="0" applyBorder="0" applyAlignment="0" applyProtection="0"/>
    <xf numFmtId="0" fontId="135" fillId="3" borderId="0" applyNumberFormat="0" applyBorder="0" applyAlignment="0" applyProtection="0">
      <alignment vertical="center"/>
    </xf>
    <xf numFmtId="0" fontId="135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/>
    <xf numFmtId="0" fontId="135" fillId="5" borderId="0" applyNumberFormat="0" applyBorder="0" applyAlignment="0" applyProtection="0">
      <alignment vertical="center"/>
    </xf>
    <xf numFmtId="0" fontId="13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/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135" fillId="8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7" fillId="25" borderId="5" applyNumberFormat="0">
      <alignment horizontal="center" wrapText="1"/>
    </xf>
    <xf numFmtId="0" fontId="136" fillId="0" borderId="0" applyNumberFormat="0" applyFill="0" applyBorder="0" applyAlignment="0" applyProtection="0"/>
    <xf numFmtId="15" fontId="2" fillId="0" borderId="0"/>
    <xf numFmtId="0" fontId="137" fillId="27" borderId="0"/>
    <xf numFmtId="258" fontId="138" fillId="0" borderId="0">
      <protection locked="0"/>
    </xf>
    <xf numFmtId="0" fontId="139" fillId="0" borderId="0">
      <alignment wrapText="1"/>
    </xf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34" fillId="9" borderId="0" applyNumberFormat="0" applyBorder="0" applyAlignment="0" applyProtection="0"/>
    <xf numFmtId="0" fontId="134" fillId="10" borderId="0" applyNumberFormat="0" applyBorder="0" applyAlignment="0" applyProtection="0"/>
    <xf numFmtId="0" fontId="134" fillId="11" borderId="0" applyNumberFormat="0" applyBorder="0" applyAlignment="0" applyProtection="0"/>
    <xf numFmtId="0" fontId="134" fillId="6" borderId="0" applyNumberFormat="0" applyBorder="0" applyAlignment="0" applyProtection="0"/>
    <xf numFmtId="0" fontId="134" fillId="9" borderId="0" applyNumberFormat="0" applyBorder="0" applyAlignment="0" applyProtection="0"/>
    <xf numFmtId="0" fontId="134" fillId="12" borderId="0" applyNumberFormat="0" applyBorder="0" applyAlignment="0" applyProtection="0"/>
    <xf numFmtId="0" fontId="135" fillId="9" borderId="0" applyNumberFormat="0" applyBorder="0" applyAlignment="0" applyProtection="0">
      <alignment vertical="center"/>
    </xf>
    <xf numFmtId="0" fontId="135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/>
    <xf numFmtId="0" fontId="135" fillId="10" borderId="0" applyNumberFormat="0" applyBorder="0" applyAlignment="0" applyProtection="0">
      <alignment vertical="center"/>
    </xf>
    <xf numFmtId="0" fontId="1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135" fillId="11" borderId="0" applyNumberFormat="0" applyBorder="0" applyAlignment="0" applyProtection="0">
      <alignment vertical="center"/>
    </xf>
    <xf numFmtId="0" fontId="135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/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/>
    <xf numFmtId="0" fontId="135" fillId="9" borderId="0" applyNumberFormat="0" applyBorder="0" applyAlignment="0" applyProtection="0">
      <alignment vertical="center"/>
    </xf>
    <xf numFmtId="0" fontId="135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/>
    <xf numFmtId="0" fontId="135" fillId="12" borderId="0" applyNumberFormat="0" applyBorder="0" applyAlignment="0" applyProtection="0">
      <alignment vertical="center"/>
    </xf>
    <xf numFmtId="0" fontId="13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15" fontId="2" fillId="0" borderId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40" fillId="13" borderId="0" applyNumberFormat="0" applyBorder="0" applyAlignment="0" applyProtection="0"/>
    <xf numFmtId="0" fontId="140" fillId="10" borderId="0" applyNumberFormat="0" applyBorder="0" applyAlignment="0" applyProtection="0"/>
    <xf numFmtId="0" fontId="140" fillId="11" borderId="0" applyNumberFormat="0" applyBorder="0" applyAlignment="0" applyProtection="0"/>
    <xf numFmtId="0" fontId="140" fillId="14" borderId="0" applyNumberFormat="0" applyBorder="0" applyAlignment="0" applyProtection="0"/>
    <xf numFmtId="0" fontId="140" fillId="15" borderId="0" applyNumberFormat="0" applyBorder="0" applyAlignment="0" applyProtection="0"/>
    <xf numFmtId="0" fontId="140" fillId="16" borderId="0" applyNumberFormat="0" applyBorder="0" applyAlignment="0" applyProtection="0"/>
    <xf numFmtId="0" fontId="141" fillId="13" borderId="0" applyNumberFormat="0" applyBorder="0" applyAlignment="0" applyProtection="0">
      <alignment vertical="center"/>
    </xf>
    <xf numFmtId="0" fontId="141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/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/>
    <xf numFmtId="0" fontId="141" fillId="14" borderId="0" applyNumberFormat="0" applyBorder="0" applyAlignment="0" applyProtection="0">
      <alignment vertical="center"/>
    </xf>
    <xf numFmtId="0" fontId="141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/>
    <xf numFmtId="0" fontId="141" fillId="15" borderId="0" applyNumberFormat="0" applyBorder="0" applyAlignment="0" applyProtection="0">
      <alignment vertical="center"/>
    </xf>
    <xf numFmtId="0" fontId="141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/>
    <xf numFmtId="0" fontId="141" fillId="16" borderId="0" applyNumberFormat="0" applyBorder="0" applyAlignment="0" applyProtection="0">
      <alignment vertical="center"/>
    </xf>
    <xf numFmtId="0" fontId="141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/>
    <xf numFmtId="15" fontId="7" fillId="32" borderId="5" applyFont="0" applyFill="0" applyBorder="0" applyAlignment="0">
      <alignment horizontal="center"/>
    </xf>
    <xf numFmtId="9" fontId="142" fillId="0" borderId="0"/>
    <xf numFmtId="0" fontId="143" fillId="0" borderId="0" applyNumberFormat="0" applyFill="0" applyBorder="0" applyAlignment="0" applyProtection="0"/>
    <xf numFmtId="0" fontId="64" fillId="0" borderId="0"/>
    <xf numFmtId="0" fontId="68" fillId="0" borderId="0"/>
    <xf numFmtId="259" fontId="128" fillId="0" borderId="5" applyFont="0" applyFill="0" applyBorder="0" applyAlignment="0" applyProtection="0"/>
    <xf numFmtId="0" fontId="49" fillId="0" borderId="5">
      <alignment vertical="top"/>
    </xf>
    <xf numFmtId="0" fontId="2" fillId="0" borderId="0"/>
    <xf numFmtId="179" fontId="144" fillId="0" borderId="37">
      <alignment horizontal="center"/>
    </xf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35" borderId="0" applyNumberFormat="0" applyBorder="0" applyAlignment="0" applyProtection="0"/>
    <xf numFmtId="0" fontId="38" fillId="31" borderId="0" applyNumberFormat="0" applyBorder="0" applyAlignment="0" applyProtection="0"/>
    <xf numFmtId="0" fontId="37" fillId="3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35" borderId="0" applyNumberFormat="0" applyBorder="0" applyAlignment="0" applyProtection="0"/>
    <xf numFmtId="0" fontId="38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8" fillId="33" borderId="0" applyNumberFormat="0" applyBorder="0" applyAlignment="0" applyProtection="0"/>
    <xf numFmtId="0" fontId="38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38" borderId="0" applyNumberFormat="0" applyBorder="0" applyAlignment="0" applyProtection="0"/>
    <xf numFmtId="0" fontId="38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8" fillId="35" borderId="0" applyNumberFormat="0" applyBorder="0" applyAlignment="0" applyProtection="0"/>
    <xf numFmtId="0" fontId="38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3" fontId="97" fillId="0" borderId="4" applyBorder="0"/>
    <xf numFmtId="166" fontId="4" fillId="0" borderId="9"/>
    <xf numFmtId="0" fontId="145" fillId="0" borderId="11">
      <alignment vertical="top" wrapText="1"/>
    </xf>
    <xf numFmtId="260" fontId="146" fillId="0" borderId="0" applyFont="0" applyFill="0" applyBorder="0" applyAlignment="0" applyProtection="0"/>
    <xf numFmtId="0" fontId="147" fillId="0" borderId="0" applyFont="0" applyFill="0" applyBorder="0" applyAlignment="0" applyProtection="0"/>
    <xf numFmtId="261" fontId="146" fillId="0" borderId="0" applyFont="0" applyFill="0" applyBorder="0" applyAlignment="0" applyProtection="0"/>
    <xf numFmtId="0" fontId="147" fillId="0" borderId="0" applyFont="0" applyFill="0" applyBorder="0" applyAlignment="0" applyProtection="0"/>
    <xf numFmtId="0" fontId="50" fillId="0" borderId="0"/>
    <xf numFmtId="0" fontId="148" fillId="28" borderId="38">
      <alignment horizontal="center" vertical="center"/>
    </xf>
    <xf numFmtId="262" fontId="149" fillId="0" borderId="0"/>
    <xf numFmtId="0" fontId="66" fillId="0" borderId="0">
      <alignment horizontal="center" wrapText="1"/>
      <protection locked="0"/>
    </xf>
    <xf numFmtId="17" fontId="2" fillId="0" borderId="0" applyNumberFormat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" fontId="2" fillId="0" borderId="0" applyNumberFormat="0" applyBorder="0" applyAlignment="0" applyProtection="0"/>
    <xf numFmtId="175" fontId="132" fillId="0" borderId="0" applyFont="0" applyFill="0" applyBorder="0" applyAlignment="0" applyProtection="0"/>
    <xf numFmtId="0" fontId="147" fillId="0" borderId="0" applyFont="0" applyFill="0" applyBorder="0" applyAlignment="0" applyProtection="0"/>
    <xf numFmtId="165" fontId="132" fillId="0" borderId="0" applyFont="0" applyFill="0" applyBorder="0" applyAlignment="0" applyProtection="0"/>
    <xf numFmtId="0" fontId="147" fillId="0" borderId="0" applyFont="0" applyFill="0" applyBorder="0" applyAlignment="0" applyProtection="0"/>
    <xf numFmtId="263" fontId="2" fillId="0" borderId="39" applyFont="0" applyFill="0" applyBorder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29" borderId="0" applyNumberFormat="0" applyFill="0" applyBorder="0" applyAlignment="0" applyProtection="0">
      <protection locked="0"/>
    </xf>
    <xf numFmtId="0" fontId="54" fillId="0" borderId="40">
      <protection hidden="1"/>
    </xf>
    <xf numFmtId="0" fontId="2" fillId="0" borderId="40">
      <protection hidden="1"/>
    </xf>
    <xf numFmtId="0" fontId="153" fillId="40" borderId="0">
      <alignment horizontal="center" vertical="center" wrapText="1"/>
    </xf>
    <xf numFmtId="0" fontId="154" fillId="0" borderId="0" applyNumberFormat="0" applyFill="0" applyBorder="0" applyAlignment="0" applyProtection="0"/>
    <xf numFmtId="264" fontId="138" fillId="0" borderId="0">
      <protection locked="0"/>
    </xf>
    <xf numFmtId="265" fontId="138" fillId="0" borderId="0">
      <alignment horizontal="right"/>
      <protection locked="0"/>
    </xf>
    <xf numFmtId="7" fontId="155" fillId="0" borderId="0">
      <alignment horizontal="right"/>
      <protection locked="0"/>
    </xf>
    <xf numFmtId="0" fontId="138" fillId="0" borderId="0">
      <alignment horizontal="right"/>
      <protection locked="0"/>
    </xf>
    <xf numFmtId="0" fontId="156" fillId="0" borderId="0" applyNumberFormat="0" applyFill="0" applyBorder="0" applyAlignment="0" applyProtection="0"/>
    <xf numFmtId="0" fontId="157" fillId="0" borderId="0" applyNumberFormat="0"/>
    <xf numFmtId="0" fontId="158" fillId="29" borderId="21" applyNumberFormat="0" applyFill="0" applyBorder="0" applyAlignment="0" applyProtection="0">
      <protection locked="0"/>
    </xf>
    <xf numFmtId="5" fontId="159" fillId="0" borderId="1" applyAlignment="0" applyProtection="0"/>
    <xf numFmtId="0" fontId="66" fillId="0" borderId="18" applyNumberFormat="0" applyFont="0" applyFill="0" applyAlignment="0" applyProtection="0"/>
    <xf numFmtId="0" fontId="66" fillId="0" borderId="41" applyNumberFormat="0" applyFont="0" applyFill="0" applyAlignment="0" applyProtection="0"/>
    <xf numFmtId="0" fontId="64" fillId="0" borderId="9" applyNumberFormat="0" applyFont="0" applyFill="0" applyAlignment="0" applyProtection="0"/>
    <xf numFmtId="0" fontId="64" fillId="0" borderId="19" applyNumberFormat="0" applyFont="0" applyFill="0" applyAlignment="0" applyProtection="0"/>
    <xf numFmtId="0" fontId="64" fillId="0" borderId="21" applyNumberFormat="0" applyFont="0" applyFill="0" applyAlignment="0" applyProtection="0"/>
    <xf numFmtId="0" fontId="64" fillId="0" borderId="1" applyNumberFormat="0" applyFont="0" applyFill="0" applyAlignment="0" applyProtection="0"/>
    <xf numFmtId="0" fontId="97" fillId="0" borderId="42"/>
    <xf numFmtId="0" fontId="160" fillId="41" borderId="42"/>
    <xf numFmtId="0" fontId="160" fillId="42" borderId="42"/>
    <xf numFmtId="0" fontId="58" fillId="0" borderId="43"/>
    <xf numFmtId="49" fontId="161" fillId="0" borderId="0" applyFont="0" applyFill="0" applyBorder="0" applyAlignment="0" applyProtection="0">
      <alignment horizontal="left"/>
    </xf>
    <xf numFmtId="266" fontId="47" fillId="0" borderId="0" applyAlignment="0" applyProtection="0"/>
    <xf numFmtId="267" fontId="50" fillId="0" borderId="0" applyFill="0" applyBorder="0" applyAlignment="0" applyProtection="0"/>
    <xf numFmtId="49" fontId="50" fillId="0" borderId="0" applyNumberFormat="0" applyAlignment="0" applyProtection="0">
      <alignment horizontal="left"/>
    </xf>
    <xf numFmtId="49" fontId="162" fillId="0" borderId="44" applyNumberFormat="0" applyAlignment="0" applyProtection="0">
      <alignment horizontal="left" wrapText="1"/>
    </xf>
    <xf numFmtId="49" fontId="162" fillId="0" borderId="0" applyNumberFormat="0" applyAlignment="0" applyProtection="0">
      <alignment horizontal="left" wrapText="1"/>
    </xf>
    <xf numFmtId="49" fontId="163" fillId="0" borderId="0" applyAlignment="0" applyProtection="0">
      <alignment horizontal="left"/>
    </xf>
    <xf numFmtId="15" fontId="2" fillId="0" borderId="45" applyNumberFormat="0" applyFont="0" applyFill="0" applyAlignment="0"/>
    <xf numFmtId="268" fontId="164" fillId="0" borderId="0" applyFon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166" fillId="0" borderId="0">
      <alignment horizontal="right"/>
    </xf>
    <xf numFmtId="0" fontId="167" fillId="0" borderId="0" applyNumberFormat="0" applyFill="0" applyBorder="0" applyAlignment="0" applyProtection="0"/>
    <xf numFmtId="38" fontId="107" fillId="0" borderId="0" applyFont="0" applyFill="0" applyBorder="0" applyAlignment="0" applyProtection="0"/>
    <xf numFmtId="0" fontId="147" fillId="0" borderId="0"/>
    <xf numFmtId="0" fontId="168" fillId="0" borderId="0"/>
    <xf numFmtId="0" fontId="147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5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69" fontId="2" fillId="0" borderId="0" applyFill="0" applyBorder="0" applyAlignment="0"/>
    <xf numFmtId="263" fontId="43" fillId="0" borderId="0" applyFill="0" applyBorder="0" applyAlignment="0"/>
    <xf numFmtId="181" fontId="43" fillId="0" borderId="0" applyFill="0" applyBorder="0" applyAlignment="0"/>
    <xf numFmtId="203" fontId="169" fillId="0" borderId="0" applyFill="0" applyBorder="0" applyAlignment="0"/>
    <xf numFmtId="199" fontId="169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0" fontId="170" fillId="0" borderId="0"/>
    <xf numFmtId="0" fontId="32" fillId="21" borderId="12" applyNumberFormat="0" applyAlignment="0" applyProtection="0"/>
    <xf numFmtId="0" fontId="32" fillId="21" borderId="12" applyNumberFormat="0" applyAlignment="0" applyProtection="0"/>
    <xf numFmtId="0" fontId="32" fillId="21" borderId="12" applyNumberFormat="0" applyAlignment="0" applyProtection="0"/>
    <xf numFmtId="39" fontId="66" fillId="43" borderId="0" applyNumberFormat="0" applyFont="0" applyBorder="0" applyAlignment="0"/>
    <xf numFmtId="0" fontId="171" fillId="0" borderId="0"/>
    <xf numFmtId="0" fontId="41" fillId="0" borderId="9" applyNumberFormat="0" applyFont="0" applyFill="0" applyProtection="0">
      <alignment horizontal="centerContinuous" vertical="center"/>
    </xf>
    <xf numFmtId="49" fontId="172" fillId="0" borderId="0" applyFont="0">
      <alignment horizontal="centerContinuous" wrapText="1"/>
    </xf>
    <xf numFmtId="49" fontId="44" fillId="0" borderId="0">
      <alignment horizontal="centerContinuous" wrapText="1"/>
    </xf>
    <xf numFmtId="0" fontId="45" fillId="0" borderId="0" applyFill="0" applyBorder="0" applyProtection="0">
      <alignment horizontal="center" vertical="center"/>
    </xf>
    <xf numFmtId="272" fontId="107" fillId="44" borderId="0" applyFont="0" applyFill="0" applyBorder="0"/>
    <xf numFmtId="0" fontId="42" fillId="27" borderId="46" applyBorder="0">
      <alignment horizontal="centerContinuous"/>
    </xf>
    <xf numFmtId="0" fontId="54" fillId="0" borderId="0"/>
    <xf numFmtId="43" fontId="173" fillId="0" borderId="0" applyFill="0" applyBorder="0" applyAlignment="0" applyProtection="0"/>
    <xf numFmtId="0" fontId="34" fillId="22" borderId="13" applyNumberFormat="0" applyAlignment="0" applyProtection="0"/>
    <xf numFmtId="0" fontId="34" fillId="22" borderId="13" applyNumberFormat="0" applyAlignment="0" applyProtection="0"/>
    <xf numFmtId="0" fontId="34" fillId="22" borderId="13" applyNumberFormat="0" applyAlignment="0" applyProtection="0"/>
    <xf numFmtId="1" fontId="174" fillId="0" borderId="3" applyBorder="0"/>
    <xf numFmtId="0" fontId="8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6" fillId="0" borderId="9" applyNumberFormat="0" applyFill="0" applyBorder="0" applyAlignment="0" applyProtection="0">
      <alignment horizontal="center"/>
    </xf>
    <xf numFmtId="0" fontId="107" fillId="0" borderId="0">
      <alignment horizontal="center" wrapText="1"/>
      <protection hidden="1"/>
    </xf>
    <xf numFmtId="0" fontId="84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3" fillId="0" borderId="9" applyNumberFormat="0" applyFill="0" applyProtection="0">
      <alignment horizontal="centerContinuous"/>
    </xf>
    <xf numFmtId="0" fontId="9" fillId="0" borderId="0" applyNumberFormat="0" applyFill="0" applyProtection="0">
      <alignment horizontal="center"/>
    </xf>
    <xf numFmtId="49" fontId="178" fillId="0" borderId="0">
      <alignment horizontal="center" wrapText="1"/>
    </xf>
    <xf numFmtId="49" fontId="178" fillId="0" borderId="0">
      <alignment horizontal="centerContinuous" wrapText="1"/>
    </xf>
    <xf numFmtId="0" fontId="41" fillId="0" borderId="0" applyNumberFormat="0" applyFill="0" applyBorder="0" applyProtection="0">
      <alignment horizontal="center" vertical="center"/>
    </xf>
    <xf numFmtId="14" fontId="179" fillId="45" borderId="47">
      <alignment horizontal="center" vertical="center" wrapText="1"/>
    </xf>
    <xf numFmtId="14" fontId="179" fillId="46" borderId="48">
      <alignment horizontal="center" vertical="center" wrapText="1"/>
      <protection locked="0"/>
    </xf>
    <xf numFmtId="0" fontId="180" fillId="0" borderId="2">
      <alignment horizontal="center"/>
    </xf>
    <xf numFmtId="0" fontId="181" fillId="47" borderId="0"/>
    <xf numFmtId="273" fontId="2" fillId="0" borderId="0" applyFill="0" applyBorder="0">
      <alignment horizontal="center" wrapText="1"/>
    </xf>
    <xf numFmtId="164" fontId="2" fillId="0" borderId="0" applyFont="0" applyFill="0" applyBorder="0" applyAlignment="0" applyProtection="0"/>
    <xf numFmtId="0" fontId="182" fillId="0" borderId="0" applyNumberFormat="0" applyFill="0" applyBorder="0" applyProtection="0">
      <alignment horizontal="right"/>
    </xf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35" fillId="0" borderId="0" applyFont="0" applyFill="0" applyBorder="0" applyAlignment="0" applyProtection="0">
      <alignment vertical="center"/>
    </xf>
    <xf numFmtId="38" fontId="135" fillId="0" borderId="0" applyFont="0" applyFill="0" applyBorder="0" applyAlignment="0" applyProtection="0">
      <alignment vertical="center"/>
    </xf>
    <xf numFmtId="38" fontId="116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/>
    <xf numFmtId="270" fontId="43" fillId="0" borderId="0" applyFont="0" applyFill="0" applyBorder="0" applyAlignment="0" applyProtection="0"/>
    <xf numFmtId="276" fontId="2" fillId="0" borderId="0" applyFont="0" applyFill="0" applyBorder="0" applyAlignment="0" applyProtection="0"/>
    <xf numFmtId="40" fontId="183" fillId="0" borderId="0" applyFont="0" applyFill="0" applyBorder="0" applyAlignment="0" applyProtection="0">
      <alignment horizontal="center"/>
    </xf>
    <xf numFmtId="277" fontId="183" fillId="0" borderId="0" applyFont="0" applyFill="0" applyBorder="0" applyAlignment="0" applyProtection="0">
      <alignment horizontal="center"/>
    </xf>
    <xf numFmtId="278" fontId="184" fillId="0" borderId="0" applyFont="0" applyFill="0" applyBorder="0" applyAlignment="0" applyProtection="0">
      <alignment horizontal="right"/>
    </xf>
    <xf numFmtId="279" fontId="184" fillId="0" borderId="0" applyFont="0" applyFill="0" applyBorder="0" applyAlignment="0" applyProtection="0"/>
    <xf numFmtId="0" fontId="184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280" fontId="2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5" fillId="0" borderId="0" applyFont="0" applyFill="0" applyBorder="0" applyAlignment="0" applyProtection="0"/>
    <xf numFmtId="281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8" fillId="0" borderId="0" applyFont="0" applyFill="0" applyBorder="0" applyAlignment="0" applyProtection="0"/>
    <xf numFmtId="280" fontId="44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165" fontId="2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280" fontId="2" fillId="0" borderId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3" fillId="0" borderId="0" applyNumberFormat="0" applyFill="0" applyBorder="0" applyProtection="0">
      <alignment vertical="center"/>
    </xf>
    <xf numFmtId="43" fontId="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90" fillId="0" borderId="0"/>
    <xf numFmtId="37" fontId="66" fillId="0" borderId="0" applyFill="0" applyBorder="0" applyAlignment="0" applyProtection="0"/>
    <xf numFmtId="282" fontId="191" fillId="0" borderId="0"/>
    <xf numFmtId="40" fontId="107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92" fillId="0" borderId="0"/>
    <xf numFmtId="0" fontId="97" fillId="0" borderId="0"/>
    <xf numFmtId="0" fontId="192" fillId="0" borderId="0"/>
    <xf numFmtId="0" fontId="105" fillId="0" borderId="0"/>
    <xf numFmtId="0" fontId="97" fillId="0" borderId="0"/>
    <xf numFmtId="164" fontId="4" fillId="0" borderId="0" applyFont="0" applyFill="0" applyBorder="0" applyAlignment="0" applyProtection="0"/>
    <xf numFmtId="0" fontId="193" fillId="48" borderId="0">
      <alignment horizontal="center" vertical="center" wrapText="1"/>
    </xf>
    <xf numFmtId="0" fontId="52" fillId="0" borderId="0" applyFill="0" applyBorder="0" applyAlignment="0" applyProtection="0"/>
    <xf numFmtId="283" fontId="194" fillId="0" borderId="0" applyBorder="0" applyAlignment="0"/>
    <xf numFmtId="283" fontId="195" fillId="0" borderId="5" applyBorder="0"/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69" fillId="0" borderId="0" applyNumberFormat="0" applyAlignment="0"/>
    <xf numFmtId="0" fontId="40" fillId="0" borderId="0" applyNumberFormat="0" applyFill="0" applyBorder="0" applyAlignment="0" applyProtection="0"/>
    <xf numFmtId="0" fontId="105" fillId="0" borderId="0"/>
    <xf numFmtId="284" fontId="107" fillId="0" borderId="0" applyFill="0" applyBorder="0">
      <alignment horizontal="right"/>
      <protection locked="0"/>
    </xf>
    <xf numFmtId="0" fontId="99" fillId="0" borderId="49"/>
    <xf numFmtId="0" fontId="169" fillId="0" borderId="0"/>
    <xf numFmtId="0" fontId="169" fillId="0" borderId="0"/>
    <xf numFmtId="262" fontId="2" fillId="0" borderId="0">
      <alignment horizontal="center"/>
    </xf>
    <xf numFmtId="263" fontId="43" fillId="0" borderId="0" applyFont="0" applyFill="0" applyBorder="0" applyAlignment="0" applyProtection="0"/>
    <xf numFmtId="285" fontId="2" fillId="0" borderId="0" applyFont="0" applyFill="0" applyBorder="0" applyAlignment="0" applyProtection="0"/>
    <xf numFmtId="8" fontId="66" fillId="0" borderId="0" applyFont="0" applyFill="0" applyBorder="0" applyAlignment="0" applyProtection="0"/>
    <xf numFmtId="286" fontId="66" fillId="0" borderId="0" applyFont="0" applyFill="0" applyBorder="0" applyAlignment="0" applyProtection="0"/>
    <xf numFmtId="287" fontId="18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66" fillId="0" borderId="0" applyFill="0" applyBorder="0" applyAlignment="0" applyProtection="0"/>
    <xf numFmtId="282" fontId="2" fillId="0" borderId="0" applyFont="0" applyFill="0" applyBorder="0" applyAlignment="0" applyProtection="0"/>
    <xf numFmtId="288" fontId="2" fillId="0" borderId="0" applyFont="0" applyFill="0" applyBorder="0" applyAlignment="0" applyProtection="0"/>
    <xf numFmtId="289" fontId="191" fillId="0" borderId="0"/>
    <xf numFmtId="290" fontId="197" fillId="0" borderId="0"/>
    <xf numFmtId="291" fontId="99" fillId="0" borderId="9" applyFill="0" applyBorder="0">
      <alignment horizontal="right"/>
    </xf>
    <xf numFmtId="7" fontId="198" fillId="0" borderId="0" applyFill="0" applyBorder="0">
      <alignment horizontal="right"/>
    </xf>
    <xf numFmtId="0" fontId="2" fillId="0" borderId="0"/>
    <xf numFmtId="0" fontId="105" fillId="0" borderId="0"/>
    <xf numFmtId="0" fontId="105" fillId="0" borderId="0"/>
    <xf numFmtId="292" fontId="2" fillId="27" borderId="0" applyFont="0" applyBorder="0"/>
    <xf numFmtId="0" fontId="199" fillId="49" borderId="0">
      <alignment horizontal="centerContinuous"/>
    </xf>
    <xf numFmtId="0" fontId="200" fillId="0" borderId="0">
      <alignment horizontal="right"/>
    </xf>
    <xf numFmtId="0" fontId="42" fillId="29" borderId="22" applyBorder="0"/>
    <xf numFmtId="0" fontId="105" fillId="0" borderId="50"/>
    <xf numFmtId="8" fontId="201" fillId="0" borderId="0" applyNumberFormat="0" applyFill="0" applyBorder="0" applyAlignment="0"/>
    <xf numFmtId="166" fontId="202" fillId="27" borderId="19" applyBorder="0">
      <protection locked="0"/>
    </xf>
    <xf numFmtId="0" fontId="22" fillId="0" borderId="0" applyNumberFormat="0">
      <alignment horizontal="right"/>
    </xf>
    <xf numFmtId="0" fontId="2" fillId="0" borderId="0" applyFont="0" applyFill="0" applyBorder="0" applyAlignment="0" applyProtection="0"/>
    <xf numFmtId="14" fontId="203" fillId="50" borderId="51">
      <alignment wrapText="1"/>
    </xf>
    <xf numFmtId="293" fontId="184" fillId="0" borderId="0" applyFont="0" applyFill="0" applyBorder="0" applyAlignment="0" applyProtection="0"/>
    <xf numFmtId="14" fontId="4" fillId="51" borderId="48">
      <protection locked="0"/>
    </xf>
    <xf numFmtId="14" fontId="54" fillId="0" borderId="0" applyFill="0" applyBorder="0" applyAlignment="0"/>
    <xf numFmtId="14" fontId="4" fillId="51" borderId="42"/>
    <xf numFmtId="14" fontId="4" fillId="0" borderId="0">
      <alignment horizontal="right"/>
      <protection locked="0"/>
    </xf>
    <xf numFmtId="294" fontId="2" fillId="0" borderId="0" applyFont="0" applyFill="0" applyBorder="0" applyAlignment="0" applyProtection="0">
      <alignment horizontal="center" vertical="center"/>
    </xf>
    <xf numFmtId="14" fontId="44" fillId="0" borderId="11" applyNumberFormat="0" applyBorder="0" applyAlignment="0">
      <alignment horizontal="right"/>
    </xf>
    <xf numFmtId="264" fontId="4" fillId="0" borderId="0" applyFont="0" applyFill="0" applyBorder="0" applyAlignment="0" applyProtection="0">
      <alignment horizontal="right"/>
    </xf>
    <xf numFmtId="0" fontId="169" fillId="0" borderId="0"/>
    <xf numFmtId="38" fontId="107" fillId="0" borderId="20">
      <alignment vertical="center"/>
    </xf>
    <xf numFmtId="194" fontId="2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204" fillId="0" borderId="0">
      <protection locked="0"/>
    </xf>
    <xf numFmtId="295" fontId="4" fillId="0" borderId="0" applyFont="0" applyFill="0" applyBorder="0" applyAlignment="0" applyProtection="0"/>
    <xf numFmtId="267" fontId="191" fillId="0" borderId="0"/>
    <xf numFmtId="290" fontId="66" fillId="0" borderId="0"/>
    <xf numFmtId="290" fontId="197" fillId="0" borderId="0">
      <protection locked="0"/>
    </xf>
    <xf numFmtId="7" fontId="66" fillId="0" borderId="0"/>
    <xf numFmtId="296" fontId="205" fillId="0" borderId="0" applyFont="0" applyFill="0" applyBorder="0" applyAlignment="0" applyProtection="0"/>
    <xf numFmtId="297" fontId="184" fillId="0" borderId="23" applyNumberFormat="0" applyFont="0" applyFill="0" applyAlignment="0" applyProtection="0"/>
    <xf numFmtId="42" fontId="206" fillId="0" borderId="0" applyFill="0" applyBorder="0" applyAlignment="0" applyProtection="0"/>
    <xf numFmtId="298" fontId="207" fillId="0" borderId="0">
      <alignment horizontal="left"/>
    </xf>
    <xf numFmtId="283" fontId="208" fillId="0" borderId="1"/>
    <xf numFmtId="0" fontId="169" fillId="0" borderId="50"/>
    <xf numFmtId="0" fontId="169" fillId="0" borderId="50"/>
    <xf numFmtId="43" fontId="2" fillId="0" borderId="0" applyFont="0" applyFill="0" applyBorder="0" applyAlignment="0" applyProtection="0"/>
    <xf numFmtId="0" fontId="44" fillId="0" borderId="0"/>
    <xf numFmtId="0" fontId="156" fillId="0" borderId="0" applyNumberFormat="0" applyFill="0" applyBorder="0" applyAlignment="0" applyProtection="0"/>
    <xf numFmtId="0" fontId="209" fillId="0" borderId="0" applyNumberFormat="0" applyFill="0" applyBorder="0" applyProtection="0">
      <alignment horizontal="left"/>
    </xf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2" fillId="55" borderId="0">
      <protection hidden="1"/>
    </xf>
    <xf numFmtId="0" fontId="210" fillId="0" borderId="0">
      <protection locked="0"/>
    </xf>
    <xf numFmtId="0" fontId="210" fillId="0" borderId="0">
      <protection locked="0"/>
    </xf>
    <xf numFmtId="0" fontId="211" fillId="56" borderId="0"/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54" fillId="0" borderId="52">
      <alignment horizontal="center" vertical="top" wrapText="1"/>
      <protection hidden="1"/>
    </xf>
    <xf numFmtId="0" fontId="54" fillId="57" borderId="0" applyNumberFormat="0">
      <alignment horizontal="left" vertical="top"/>
    </xf>
    <xf numFmtId="0" fontId="213" fillId="0" borderId="0" applyNumberFormat="0" applyFill="0" applyBorder="0" applyProtection="0">
      <alignment horizontal="right"/>
    </xf>
    <xf numFmtId="29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3" fillId="0" borderId="0" applyFill="0" applyBorder="0">
      <alignment horizontal="left" vertical="top"/>
    </xf>
    <xf numFmtId="0" fontId="204" fillId="0" borderId="0">
      <protection locked="0"/>
    </xf>
    <xf numFmtId="0" fontId="105" fillId="0" borderId="0"/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128" fillId="0" borderId="0" applyNumberFormat="0" applyFill="0" applyBorder="0" applyAlignment="0" applyProtection="0">
      <alignment vertical="center"/>
      <protection locked="0"/>
    </xf>
    <xf numFmtId="3" fontId="214" fillId="0" borderId="0" applyNumberFormat="0" applyFont="0" applyFill="0" applyBorder="0" applyAlignment="0" applyProtection="0">
      <alignment horizontal="left"/>
    </xf>
    <xf numFmtId="0" fontId="204" fillId="0" borderId="0">
      <protection locked="0"/>
    </xf>
    <xf numFmtId="0" fontId="204" fillId="0" borderId="0">
      <protection locked="0"/>
    </xf>
    <xf numFmtId="2" fontId="2" fillId="0" borderId="0" applyFont="0" applyFill="0" applyBorder="0" applyAlignment="0" applyProtection="0"/>
    <xf numFmtId="0" fontId="105" fillId="0" borderId="0"/>
    <xf numFmtId="199" fontId="198" fillId="0" borderId="0" applyFill="0" applyBorder="0">
      <alignment horizontal="right"/>
    </xf>
    <xf numFmtId="166" fontId="121" fillId="0" borderId="0" applyFill="0" applyBorder="0" applyAlignment="0" applyProtection="0">
      <alignment vertical="top"/>
      <protection locked="0"/>
    </xf>
    <xf numFmtId="0" fontId="215" fillId="0" borderId="0"/>
    <xf numFmtId="0" fontId="216" fillId="0" borderId="0" applyFill="0" applyBorder="0" applyProtection="0">
      <alignment horizontal="left"/>
    </xf>
    <xf numFmtId="0" fontId="51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8" fillId="0" borderId="0" applyNumberFormat="0" applyFill="0" applyBorder="0" applyProtection="0">
      <alignment horizontal="right"/>
    </xf>
    <xf numFmtId="0" fontId="4" fillId="0" borderId="24" applyNumberFormat="0" applyFill="0" applyBorder="0" applyAlignment="0" applyProtection="0">
      <protection locked="0"/>
    </xf>
    <xf numFmtId="0" fontId="219" fillId="0" borderId="53"/>
    <xf numFmtId="0" fontId="219" fillId="0" borderId="50"/>
    <xf numFmtId="0" fontId="219" fillId="58" borderId="50"/>
    <xf numFmtId="262" fontId="48" fillId="0" borderId="54">
      <alignment horizontal="right"/>
    </xf>
    <xf numFmtId="3" fontId="40" fillId="0" borderId="11" applyNumberFormat="0" applyBorder="0" applyAlignment="0"/>
    <xf numFmtId="267" fontId="40" fillId="0" borderId="11" applyBorder="0" applyAlignment="0"/>
    <xf numFmtId="3" fontId="40" fillId="0" borderId="11" applyBorder="0" applyAlignment="0"/>
    <xf numFmtId="262" fontId="40" fillId="0" borderId="21"/>
    <xf numFmtId="2" fontId="40" fillId="0" borderId="11" applyBorder="0" applyAlignment="0">
      <alignment horizontal="right"/>
    </xf>
    <xf numFmtId="300" fontId="2" fillId="0" borderId="0" applyBorder="0" applyProtection="0"/>
    <xf numFmtId="0" fontId="220" fillId="0" borderId="0"/>
    <xf numFmtId="177" fontId="10" fillId="0" borderId="0">
      <alignment horizontal="right"/>
    </xf>
    <xf numFmtId="2" fontId="2" fillId="0" borderId="0"/>
    <xf numFmtId="0" fontId="48" fillId="59" borderId="0"/>
    <xf numFmtId="0" fontId="221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9" fontId="222" fillId="0" borderId="0" applyNumberFormat="0" applyFill="0" applyBorder="0" applyAlignment="0" applyProtection="0"/>
    <xf numFmtId="38" fontId="50" fillId="27" borderId="0" applyNumberFormat="0" applyBorder="0" applyAlignment="0" applyProtection="0"/>
    <xf numFmtId="0" fontId="208" fillId="27" borderId="0">
      <alignment horizontal="center"/>
    </xf>
    <xf numFmtId="0" fontId="7" fillId="0" borderId="0" applyBorder="0">
      <alignment horizontal="left"/>
    </xf>
    <xf numFmtId="0" fontId="223" fillId="0" borderId="0" applyNumberFormat="0" applyFont="0" applyBorder="0" applyAlignment="0">
      <alignment horizontal="left" vertical="center"/>
    </xf>
    <xf numFmtId="44" fontId="2" fillId="0" borderId="0" applyFont="0" applyFill="0" applyBorder="0" applyAlignment="0" applyProtection="0"/>
    <xf numFmtId="301" fontId="184" fillId="0" borderId="0" applyFont="0" applyFill="0" applyBorder="0" applyAlignment="0" applyProtection="0">
      <alignment horizontal="right"/>
    </xf>
    <xf numFmtId="0" fontId="224" fillId="0" borderId="0">
      <alignment vertical="center"/>
    </xf>
    <xf numFmtId="0" fontId="225" fillId="0" borderId="0">
      <alignment horizontal="left"/>
    </xf>
    <xf numFmtId="0" fontId="39" fillId="0" borderId="27" applyNumberFormat="0" applyAlignment="0" applyProtection="0">
      <alignment horizontal="left" vertical="center"/>
    </xf>
    <xf numFmtId="0" fontId="39" fillId="0" borderId="55">
      <alignment horizontal="left" vertical="center"/>
    </xf>
    <xf numFmtId="0" fontId="226" fillId="40" borderId="9"/>
    <xf numFmtId="14" fontId="7" fillId="60" borderId="18">
      <alignment horizontal="center" vertical="center" wrapText="1"/>
    </xf>
    <xf numFmtId="0" fontId="24" fillId="0" borderId="14" applyNumberFormat="0" applyFill="0" applyAlignment="0" applyProtection="0"/>
    <xf numFmtId="302" fontId="227" fillId="0" borderId="0">
      <protection locked="0"/>
    </xf>
    <xf numFmtId="302" fontId="227" fillId="0" borderId="0">
      <protection locked="0"/>
    </xf>
    <xf numFmtId="0" fontId="25" fillId="0" borderId="15" applyNumberFormat="0" applyFill="0" applyAlignment="0" applyProtection="0"/>
    <xf numFmtId="302" fontId="227" fillId="0" borderId="0">
      <protection locked="0"/>
    </xf>
    <xf numFmtId="302" fontId="227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63" fontId="228" fillId="0" borderId="0">
      <alignment horizontal="right"/>
    </xf>
    <xf numFmtId="0" fontId="45" fillId="0" borderId="0" applyFill="0" applyAlignment="0" applyProtection="0"/>
    <xf numFmtId="263" fontId="228" fillId="0" borderId="0">
      <alignment horizontal="left"/>
    </xf>
    <xf numFmtId="0" fontId="45" fillId="0" borderId="9" applyFill="0" applyAlignment="0" applyProtection="0"/>
    <xf numFmtId="303" fontId="2" fillId="0" borderId="0">
      <protection locked="0"/>
    </xf>
    <xf numFmtId="303" fontId="2" fillId="0" borderId="0">
      <protection locked="0"/>
    </xf>
    <xf numFmtId="37" fontId="41" fillId="0" borderId="0">
      <alignment horizontal="left"/>
    </xf>
    <xf numFmtId="0" fontId="229" fillId="0" borderId="25" applyNumberFormat="0" applyFill="0" applyBorder="0" applyAlignment="0" applyProtection="0">
      <alignment horizontal="left"/>
    </xf>
    <xf numFmtId="5" fontId="230" fillId="61" borderId="42" applyNumberFormat="0" applyAlignment="0">
      <alignment horizontal="left" vertical="top"/>
    </xf>
    <xf numFmtId="0" fontId="56" fillId="0" borderId="56">
      <alignment horizontal="center"/>
      <protection hidden="1"/>
    </xf>
    <xf numFmtId="0" fontId="231" fillId="0" borderId="30"/>
    <xf numFmtId="188" fontId="4" fillId="0" borderId="0"/>
    <xf numFmtId="188" fontId="232" fillId="0" borderId="0">
      <protection locked="0"/>
    </xf>
    <xf numFmtId="0" fontId="233" fillId="0" borderId="57" applyNumberFormat="0" applyFill="0" applyAlignment="0" applyProtection="0"/>
    <xf numFmtId="49" fontId="234" fillId="0" borderId="5">
      <alignment vertical="center"/>
    </xf>
    <xf numFmtId="0" fontId="235" fillId="0" borderId="0" applyNumberFormat="0" applyFill="0" applyBorder="0" applyAlignment="0" applyProtection="0">
      <alignment vertical="top"/>
      <protection locked="0"/>
    </xf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>
      <alignment vertical="top"/>
      <protection locked="0"/>
    </xf>
    <xf numFmtId="0" fontId="238" fillId="0" borderId="0" applyBorder="0"/>
    <xf numFmtId="0" fontId="2" fillId="25" borderId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304" fontId="2" fillId="0" borderId="0" applyFont="0" applyFill="0" applyBorder="0" applyAlignment="0" applyProtection="0"/>
    <xf numFmtId="169" fontId="40" fillId="0" borderId="11" applyBorder="0" applyAlignment="0"/>
    <xf numFmtId="10" fontId="50" fillId="62" borderId="5" applyNumberFormat="0" applyBorder="0" applyAlignment="0" applyProtection="0"/>
    <xf numFmtId="0" fontId="30" fillId="8" borderId="58" applyNumberFormat="0" applyAlignment="0" applyProtection="0"/>
    <xf numFmtId="0" fontId="30" fillId="8" borderId="58" applyNumberFormat="0" applyAlignment="0" applyProtection="0"/>
    <xf numFmtId="0" fontId="30" fillId="8" borderId="58" applyNumberFormat="0" applyAlignment="0" applyProtection="0"/>
    <xf numFmtId="305" fontId="198" fillId="62" borderId="0" applyNumberFormat="0" applyFont="0" applyBorder="0" applyAlignment="0" applyProtection="0">
      <alignment horizontal="center"/>
      <protection locked="0"/>
    </xf>
    <xf numFmtId="267" fontId="50" fillId="62" borderId="9" applyNumberFormat="0" applyFont="0" applyAlignment="0" applyProtection="0">
      <alignment horizontal="center"/>
      <protection locked="0"/>
    </xf>
    <xf numFmtId="38" fontId="4" fillId="63" borderId="5">
      <alignment wrapText="1"/>
    </xf>
    <xf numFmtId="40" fontId="4" fillId="63" borderId="5">
      <alignment wrapText="1"/>
    </xf>
    <xf numFmtId="38" fontId="4" fillId="63" borderId="48">
      <alignment wrapText="1"/>
      <protection locked="0"/>
    </xf>
    <xf numFmtId="1" fontId="43" fillId="64" borderId="5">
      <alignment vertical="center" wrapText="1"/>
    </xf>
    <xf numFmtId="0" fontId="4" fillId="65" borderId="0"/>
    <xf numFmtId="306" fontId="10" fillId="0" borderId="0"/>
    <xf numFmtId="181" fontId="40" fillId="0" borderId="0" applyFont="0" applyFill="0" applyBorder="0" applyAlignment="0" applyProtection="0"/>
    <xf numFmtId="307" fontId="40" fillId="0" borderId="11" applyFont="0" applyBorder="0" applyAlignment="0"/>
    <xf numFmtId="307" fontId="40" fillId="0" borderId="0" applyFont="0" applyBorder="0"/>
    <xf numFmtId="308" fontId="2" fillId="0" borderId="0"/>
    <xf numFmtId="180" fontId="40" fillId="0" borderId="0"/>
    <xf numFmtId="39" fontId="10" fillId="0" borderId="0"/>
    <xf numFmtId="0" fontId="107" fillId="0" borderId="0" applyFill="0" applyBorder="0">
      <alignment horizontal="right"/>
      <protection locked="0"/>
    </xf>
    <xf numFmtId="2" fontId="239" fillId="0" borderId="11" applyNumberFormat="0" applyFill="0" applyAlignment="0">
      <alignment horizontal="center"/>
    </xf>
    <xf numFmtId="0" fontId="240" fillId="0" borderId="0"/>
    <xf numFmtId="40" fontId="4" fillId="0" borderId="0"/>
    <xf numFmtId="176" fontId="107" fillId="0" borderId="0" applyFill="0" applyBorder="0">
      <alignment horizontal="right"/>
      <protection locked="0"/>
    </xf>
    <xf numFmtId="0" fontId="5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4" fillId="0" borderId="0" applyNumberFormat="0" applyFill="0" applyBorder="0" applyProtection="0">
      <alignment horizontal="left"/>
    </xf>
    <xf numFmtId="309" fontId="42" fillId="0" borderId="11" applyFont="0" applyFill="0" applyBorder="0" applyAlignment="0" applyProtection="0">
      <alignment horizontal="center"/>
    </xf>
    <xf numFmtId="0" fontId="159" fillId="66" borderId="50">
      <alignment horizontal="left" vertical="center" wrapText="1"/>
    </xf>
    <xf numFmtId="0" fontId="238" fillId="0" borderId="0"/>
    <xf numFmtId="310" fontId="4" fillId="0" borderId="0" applyFont="0" applyFill="0" applyBorder="0" applyAlignment="0" applyProtection="0"/>
    <xf numFmtId="1" fontId="43" fillId="51" borderId="42">
      <alignment vertical="center" wrapText="1"/>
    </xf>
    <xf numFmtId="199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1" fontId="241" fillId="1" borderId="28">
      <protection locked="0"/>
    </xf>
    <xf numFmtId="0" fontId="242" fillId="66" borderId="50"/>
    <xf numFmtId="178" fontId="66" fillId="0" borderId="0">
      <alignment horizontal="left"/>
    </xf>
    <xf numFmtId="0" fontId="2" fillId="0" borderId="0">
      <alignment horizontal="right"/>
    </xf>
    <xf numFmtId="39" fontId="42" fillId="0" borderId="0" applyFill="0" applyBorder="0" applyAlignment="0" applyProtection="0"/>
    <xf numFmtId="312" fontId="102" fillId="0" borderId="0" applyFont="0" applyFill="0" applyBorder="0" applyAlignment="0" applyProtection="0"/>
    <xf numFmtId="39" fontId="42" fillId="0" borderId="0" applyFill="0" applyBorder="0" applyAlignment="0" applyProtection="0"/>
    <xf numFmtId="2" fontId="42" fillId="0" borderId="0" applyNumberFormat="0" applyFont="0" applyFill="0" applyBorder="0" applyAlignment="0" applyProtection="0"/>
    <xf numFmtId="313" fontId="102" fillId="0" borderId="0" applyFont="0" applyFill="0" applyBorder="0" applyAlignment="0" applyProtection="0"/>
    <xf numFmtId="314" fontId="102" fillId="0" borderId="0"/>
    <xf numFmtId="0" fontId="107" fillId="0" borderId="0"/>
    <xf numFmtId="49" fontId="172" fillId="0" borderId="0"/>
    <xf numFmtId="0" fontId="243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245" fillId="0" borderId="0"/>
    <xf numFmtId="3" fontId="246" fillId="0" borderId="55">
      <alignment horizontal="centerContinuous"/>
    </xf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37" fontId="247" fillId="0" borderId="0" applyNumberFormat="0" applyFill="0" applyBorder="0" applyAlignment="0" applyProtection="0">
      <alignment horizontal="right"/>
    </xf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38" fontId="4" fillId="51" borderId="42">
      <alignment wrapText="1"/>
    </xf>
    <xf numFmtId="38" fontId="4" fillId="67" borderId="42">
      <alignment horizontal="right" wrapText="1"/>
    </xf>
    <xf numFmtId="38" fontId="4" fillId="67" borderId="48">
      <alignment horizontal="right" wrapText="1"/>
      <protection locked="0"/>
    </xf>
    <xf numFmtId="38" fontId="4" fillId="68" borderId="42">
      <alignment horizontal="right" wrapText="1"/>
    </xf>
    <xf numFmtId="38" fontId="4" fillId="68" borderId="48">
      <alignment horizontal="right" wrapText="1"/>
      <protection locked="0"/>
    </xf>
    <xf numFmtId="38" fontId="203" fillId="50" borderId="31">
      <alignment wrapText="1"/>
    </xf>
    <xf numFmtId="38" fontId="203" fillId="50" borderId="59">
      <alignment wrapText="1"/>
      <protection locked="0"/>
    </xf>
    <xf numFmtId="38" fontId="4" fillId="51" borderId="48">
      <alignment wrapText="1"/>
      <protection locked="0"/>
    </xf>
    <xf numFmtId="38" fontId="4" fillId="67" borderId="48">
      <alignment wrapText="1"/>
      <protection locked="0"/>
    </xf>
    <xf numFmtId="38" fontId="4" fillId="68" borderId="48">
      <alignment wrapText="1"/>
      <protection locked="0"/>
    </xf>
    <xf numFmtId="40" fontId="4" fillId="45" borderId="42">
      <alignment vertical="center" wrapText="1"/>
    </xf>
    <xf numFmtId="40" fontId="203" fillId="50" borderId="31">
      <alignment wrapText="1"/>
    </xf>
    <xf numFmtId="40" fontId="203" fillId="50" borderId="59">
      <alignment wrapText="1"/>
      <protection locked="0"/>
    </xf>
    <xf numFmtId="40" fontId="4" fillId="45" borderId="48">
      <alignment wrapText="1"/>
      <protection locked="0"/>
    </xf>
    <xf numFmtId="0" fontId="66" fillId="45" borderId="42">
      <alignment wrapText="1"/>
    </xf>
    <xf numFmtId="0" fontId="248" fillId="50" borderId="31">
      <alignment wrapText="1"/>
    </xf>
    <xf numFmtId="0" fontId="248" fillId="50" borderId="59">
      <alignment wrapText="1"/>
      <protection locked="0"/>
    </xf>
    <xf numFmtId="0" fontId="248" fillId="50" borderId="31">
      <alignment wrapText="1"/>
    </xf>
    <xf numFmtId="0" fontId="66" fillId="45" borderId="42">
      <alignment wrapText="1"/>
    </xf>
    <xf numFmtId="0" fontId="66" fillId="45" borderId="48">
      <alignment wrapText="1"/>
      <protection locked="0"/>
    </xf>
    <xf numFmtId="0" fontId="44" fillId="0" borderId="0"/>
    <xf numFmtId="169" fontId="3" fillId="0" borderId="21">
      <alignment horizontal="right"/>
    </xf>
    <xf numFmtId="38" fontId="249" fillId="29" borderId="0"/>
    <xf numFmtId="315" fontId="250" fillId="27" borderId="1">
      <alignment horizontal="left"/>
    </xf>
    <xf numFmtId="0" fontId="42" fillId="69" borderId="0"/>
    <xf numFmtId="175" fontId="42" fillId="0" borderId="0" applyFont="0" applyFill="0" applyBorder="0" applyAlignment="0" applyProtection="0"/>
    <xf numFmtId="38" fontId="251" fillId="0" borderId="0" applyFont="0" applyFill="0" applyBorder="0" applyAlignment="0" applyProtection="0"/>
    <xf numFmtId="4" fontId="107" fillId="0" borderId="0" applyFont="0" applyFill="0" applyBorder="0" applyAlignment="0" applyProtection="0"/>
    <xf numFmtId="316" fontId="2" fillId="0" borderId="0" applyFont="0" applyFill="0" applyBorder="0" applyAlignment="0" applyProtection="0"/>
    <xf numFmtId="31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18" fontId="2" fillId="0" borderId="0" applyFont="0" applyFill="0" applyBorder="0" applyAlignment="0" applyProtection="0"/>
    <xf numFmtId="14" fontId="44" fillId="0" borderId="0"/>
    <xf numFmtId="17" fontId="2" fillId="0" borderId="0" applyFont="0" applyFill="0" applyBorder="0" applyAlignment="0" applyProtection="0"/>
    <xf numFmtId="0" fontId="252" fillId="0" borderId="18"/>
    <xf numFmtId="319" fontId="116" fillId="0" borderId="0" applyFont="0" applyFill="0" applyBorder="0" applyAlignment="0" applyProtection="0"/>
    <xf numFmtId="320" fontId="116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2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322" fontId="2" fillId="0" borderId="0" applyFont="0" applyFill="0" applyBorder="0" applyAlignment="0" applyProtection="0"/>
    <xf numFmtId="0" fontId="204" fillId="0" borderId="0">
      <protection locked="0"/>
    </xf>
    <xf numFmtId="17" fontId="40" fillId="0" borderId="60" applyFont="0" applyFill="0" applyBorder="0" applyAlignment="0" applyProtection="0">
      <alignment horizontal="center" vertical="center"/>
    </xf>
    <xf numFmtId="323" fontId="238" fillId="0" borderId="0" applyFont="0" applyFill="0" applyBorder="0" applyAlignment="0" applyProtection="0"/>
    <xf numFmtId="324" fontId="64" fillId="0" borderId="0" applyFont="0" applyFill="0" applyBorder="0" applyAlignment="0" applyProtection="0"/>
    <xf numFmtId="325" fontId="4" fillId="0" borderId="9" applyFont="0" applyFill="0" applyBorder="0" applyProtection="0"/>
    <xf numFmtId="326" fontId="4" fillId="0" borderId="9" applyFont="0" applyFill="0" applyBorder="0" applyAlignment="0" applyProtection="0"/>
    <xf numFmtId="327" fontId="184" fillId="0" borderId="0" applyFont="0" applyFill="0" applyBorder="0" applyAlignment="0" applyProtection="0">
      <alignment horizontal="right"/>
    </xf>
    <xf numFmtId="328" fontId="66" fillId="0" borderId="0" applyFont="0" applyFill="0" applyBorder="0" applyAlignment="0" applyProtection="0"/>
    <xf numFmtId="329" fontId="66" fillId="0" borderId="0" applyFont="0" applyFill="0" applyBorder="0" applyAlignment="0" applyProtection="0"/>
    <xf numFmtId="169" fontId="253" fillId="0" borderId="0" applyFont="0" applyFill="0" applyBorder="0" applyAlignment="0" applyProtection="0"/>
    <xf numFmtId="330" fontId="22" fillId="0" borderId="0" applyFont="0" applyFill="0" applyBorder="0" applyAlignment="0" applyProtection="0"/>
    <xf numFmtId="331" fontId="4" fillId="0" borderId="0" applyFont="0" applyFill="0" applyBorder="0" applyAlignment="0" applyProtection="0"/>
    <xf numFmtId="0" fontId="40" fillId="0" borderId="0" applyNumberFormat="0" applyFont="0" applyFill="0" applyAlignment="0"/>
    <xf numFmtId="0" fontId="2" fillId="31" borderId="61">
      <protection hidden="1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4" fillId="0" borderId="0"/>
    <xf numFmtId="0" fontId="254" fillId="30" borderId="0"/>
    <xf numFmtId="0" fontId="153" fillId="70" borderId="0"/>
    <xf numFmtId="0" fontId="255" fillId="0" borderId="0"/>
    <xf numFmtId="37" fontId="256" fillId="0" borderId="0"/>
    <xf numFmtId="0" fontId="169" fillId="0" borderId="0"/>
    <xf numFmtId="0" fontId="169" fillId="0" borderId="0"/>
    <xf numFmtId="0" fontId="257" fillId="0" borderId="42" applyNumberFormat="0" applyFont="0" applyFill="0" applyBorder="0" applyAlignment="0">
      <alignment horizontal="center"/>
    </xf>
    <xf numFmtId="0" fontId="2" fillId="0" borderId="0"/>
    <xf numFmtId="0" fontId="63" fillId="0" borderId="0"/>
    <xf numFmtId="0" fontId="4" fillId="0" borderId="48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5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54" fillId="0" borderId="0">
      <alignment vertical="top"/>
    </xf>
    <xf numFmtId="0" fontId="54" fillId="0" borderId="0">
      <alignment vertical="top"/>
    </xf>
    <xf numFmtId="0" fontId="1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2" fillId="0" borderId="0"/>
    <xf numFmtId="0" fontId="169" fillId="0" borderId="0"/>
    <xf numFmtId="0" fontId="2" fillId="0" borderId="0"/>
    <xf numFmtId="0" fontId="2" fillId="0" borderId="0"/>
    <xf numFmtId="0" fontId="54" fillId="0" borderId="0">
      <alignment vertical="top"/>
    </xf>
    <xf numFmtId="0" fontId="54" fillId="0" borderId="0">
      <alignment vertical="top"/>
    </xf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8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332" fontId="107" fillId="0" borderId="0"/>
    <xf numFmtId="267" fontId="10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3" fillId="0" borderId="0"/>
    <xf numFmtId="0" fontId="5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</xf>
    <xf numFmtId="263" fontId="260" fillId="0" borderId="0" applyNumberFormat="0" applyFill="0" applyBorder="0" applyAlignment="0" applyProtection="0"/>
    <xf numFmtId="263" fontId="176" fillId="0" borderId="0" applyNumberFormat="0" applyFill="0" applyBorder="0" applyAlignment="0" applyProtection="0"/>
    <xf numFmtId="14" fontId="203" fillId="71" borderId="42">
      <alignment wrapText="1"/>
    </xf>
    <xf numFmtId="14" fontId="203" fillId="71" borderId="48">
      <alignment wrapText="1"/>
      <protection locked="0"/>
    </xf>
    <xf numFmtId="14" fontId="203" fillId="72" borderId="42">
      <alignment wrapText="1"/>
    </xf>
    <xf numFmtId="14" fontId="203" fillId="72" borderId="48">
      <alignment wrapText="1"/>
      <protection locked="0"/>
    </xf>
    <xf numFmtId="0" fontId="99" fillId="0" borderId="0"/>
    <xf numFmtId="0" fontId="253" fillId="0" borderId="0"/>
    <xf numFmtId="0" fontId="198" fillId="0" borderId="0" applyFill="0" applyBorder="0" applyAlignment="0" applyProtection="0"/>
    <xf numFmtId="0" fontId="99" fillId="0" borderId="0"/>
    <xf numFmtId="0" fontId="116" fillId="0" borderId="0"/>
    <xf numFmtId="37" fontId="261" fillId="0" borderId="62">
      <alignment horizontal="left"/>
    </xf>
    <xf numFmtId="37" fontId="262" fillId="0" borderId="0" applyNumberFormat="0" applyFont="0" applyFill="0" applyBorder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263" fontId="145" fillId="0" borderId="0" applyNumberFormat="0" applyFill="0" applyBorder="0" applyAlignment="0" applyProtection="0"/>
    <xf numFmtId="263" fontId="176" fillId="0" borderId="0" applyNumberFormat="0" applyFill="0" applyBorder="0" applyAlignment="0" applyProtection="0"/>
    <xf numFmtId="333" fontId="207" fillId="0" borderId="0"/>
    <xf numFmtId="1" fontId="197" fillId="0" borderId="0">
      <alignment horizontal="right"/>
      <protection locked="0"/>
    </xf>
    <xf numFmtId="169" fontId="248" fillId="0" borderId="0">
      <alignment horizontal="right"/>
      <protection locked="0"/>
    </xf>
    <xf numFmtId="203" fontId="197" fillId="0" borderId="0">
      <protection locked="0"/>
    </xf>
    <xf numFmtId="2" fontId="248" fillId="0" borderId="0">
      <alignment horizontal="right"/>
      <protection locked="0"/>
    </xf>
    <xf numFmtId="2" fontId="197" fillId="0" borderId="0">
      <alignment horizontal="right"/>
      <protection locked="0"/>
    </xf>
    <xf numFmtId="1" fontId="2" fillId="0" borderId="0" applyFont="0"/>
    <xf numFmtId="334" fontId="99" fillId="0" borderId="0" applyFill="0" applyBorder="0">
      <alignment horizontal="right"/>
    </xf>
    <xf numFmtId="178" fontId="99" fillId="0" borderId="0" applyFill="0" applyBorder="0">
      <alignment horizontal="right"/>
    </xf>
    <xf numFmtId="180" fontId="99" fillId="0" borderId="0" applyFill="0" applyBorder="0">
      <alignment horizontal="right"/>
    </xf>
    <xf numFmtId="335" fontId="156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336" fontId="156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333" fontId="172" fillId="0" borderId="0"/>
    <xf numFmtId="333" fontId="263" fillId="0" borderId="0"/>
    <xf numFmtId="298" fontId="172" fillId="0" borderId="0"/>
    <xf numFmtId="298" fontId="178" fillId="0" borderId="0"/>
    <xf numFmtId="263" fontId="264" fillId="0" borderId="0" applyNumberFormat="0" applyFill="0" applyBorder="0" applyAlignment="0" applyProtection="0"/>
    <xf numFmtId="40" fontId="265" fillId="0" borderId="0" applyFont="0" applyFill="0" applyBorder="0" applyAlignment="0" applyProtection="0"/>
    <xf numFmtId="38" fontId="265" fillId="0" borderId="0" applyFont="0" applyFill="0" applyBorder="0" applyAlignment="0" applyProtection="0"/>
    <xf numFmtId="16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8" fillId="0" borderId="0"/>
    <xf numFmtId="0" fontId="108" fillId="0" borderId="0"/>
    <xf numFmtId="0" fontId="116" fillId="0" borderId="0"/>
    <xf numFmtId="0" fontId="2" fillId="0" borderId="0"/>
    <xf numFmtId="0" fontId="45" fillId="0" borderId="0" applyNumberForma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2" fillId="0" borderId="0" applyFont="0" applyFill="0" applyBorder="0" applyAlignment="0" applyProtection="0"/>
    <xf numFmtId="0" fontId="209" fillId="0" borderId="0" applyNumberFormat="0" applyFill="0" applyBorder="0" applyProtection="0">
      <alignment horizontal="left"/>
    </xf>
    <xf numFmtId="0" fontId="4" fillId="0" borderId="0"/>
    <xf numFmtId="37" fontId="47" fillId="0" borderId="0">
      <protection locked="0"/>
    </xf>
    <xf numFmtId="0" fontId="266" fillId="73" borderId="5"/>
    <xf numFmtId="0" fontId="266" fillId="73" borderId="48">
      <protection locked="0"/>
    </xf>
    <xf numFmtId="0" fontId="31" fillId="21" borderId="64" applyNumberFormat="0" applyAlignment="0" applyProtection="0"/>
    <xf numFmtId="0" fontId="31" fillId="21" borderId="64" applyNumberFormat="0" applyAlignment="0" applyProtection="0"/>
    <xf numFmtId="0" fontId="31" fillId="21" borderId="64" applyNumberFormat="0" applyAlignment="0" applyProtection="0"/>
    <xf numFmtId="40" fontId="74" fillId="29" borderId="0">
      <alignment horizontal="right"/>
    </xf>
    <xf numFmtId="0" fontId="267" fillId="29" borderId="0">
      <alignment horizontal="right"/>
    </xf>
    <xf numFmtId="0" fontId="268" fillId="29" borderId="21"/>
    <xf numFmtId="0" fontId="268" fillId="0" borderId="0" applyBorder="0">
      <alignment horizontal="centerContinuous"/>
    </xf>
    <xf numFmtId="0" fontId="269" fillId="0" borderId="0" applyBorder="0">
      <alignment horizontal="centerContinuous"/>
    </xf>
    <xf numFmtId="0" fontId="42" fillId="74" borderId="0" applyNumberFormat="0" applyFont="0" applyBorder="0" applyAlignment="0"/>
    <xf numFmtId="38" fontId="4" fillId="75" borderId="5">
      <alignment wrapText="1"/>
    </xf>
    <xf numFmtId="40" fontId="4" fillId="75" borderId="5">
      <alignment wrapText="1"/>
    </xf>
    <xf numFmtId="38" fontId="4" fillId="75" borderId="28">
      <alignment wrapText="1"/>
      <protection locked="0"/>
    </xf>
    <xf numFmtId="1" fontId="43" fillId="76" borderId="5">
      <alignment vertical="center"/>
    </xf>
    <xf numFmtId="0" fontId="4" fillId="77" borderId="0"/>
    <xf numFmtId="1" fontId="7" fillId="0" borderId="5" applyFill="0" applyProtection="0">
      <alignment horizontal="center" vertical="top" wrapText="1"/>
    </xf>
    <xf numFmtId="337" fontId="270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270" fillId="0" borderId="0"/>
    <xf numFmtId="337" fontId="2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71" fillId="0" borderId="0" applyProtection="0">
      <alignment horizontal="left"/>
    </xf>
    <xf numFmtId="1" fontId="272" fillId="0" borderId="0" applyProtection="0">
      <alignment horizontal="right" vertical="center"/>
    </xf>
    <xf numFmtId="0" fontId="273" fillId="29" borderId="0"/>
    <xf numFmtId="0" fontId="246" fillId="0" borderId="0"/>
    <xf numFmtId="0" fontId="3" fillId="0" borderId="65" applyNumberFormat="0" applyAlignment="0" applyProtection="0"/>
    <xf numFmtId="0" fontId="4" fillId="26" borderId="0" applyNumberFormat="0" applyFont="0" applyBorder="0" applyAlignment="0" applyProtection="0"/>
    <xf numFmtId="0" fontId="50" fillId="78" borderId="11" applyNumberFormat="0" applyFont="0" applyBorder="0" applyAlignment="0" applyProtection="0">
      <alignment horizontal="center"/>
    </xf>
    <xf numFmtId="0" fontId="50" fillId="79" borderId="11" applyNumberFormat="0" applyFont="0" applyBorder="0" applyAlignment="0" applyProtection="0">
      <alignment horizontal="center"/>
    </xf>
    <xf numFmtId="0" fontId="4" fillId="0" borderId="66" applyNumberFormat="0" applyAlignment="0" applyProtection="0"/>
    <xf numFmtId="0" fontId="4" fillId="0" borderId="67" applyNumberFormat="0" applyAlignment="0" applyProtection="0"/>
    <xf numFmtId="0" fontId="3" fillId="0" borderId="68" applyNumberFormat="0" applyAlignment="0" applyProtection="0"/>
    <xf numFmtId="14" fontId="66" fillId="0" borderId="0">
      <alignment horizontal="center" wrapText="1"/>
      <protection locked="0"/>
    </xf>
    <xf numFmtId="267" fontId="66" fillId="0" borderId="0">
      <alignment horizontal="right"/>
    </xf>
    <xf numFmtId="0" fontId="105" fillId="0" borderId="0"/>
    <xf numFmtId="338" fontId="2" fillId="0" borderId="0" applyFont="0" applyFill="0" applyBorder="0" applyAlignment="0" applyProtection="0"/>
    <xf numFmtId="9" fontId="4" fillId="45" borderId="42">
      <alignment wrapText="1"/>
    </xf>
    <xf numFmtId="9" fontId="274" fillId="50" borderId="31">
      <alignment wrapText="1"/>
    </xf>
    <xf numFmtId="9" fontId="274" fillId="50" borderId="69">
      <alignment wrapText="1"/>
      <protection locked="0"/>
    </xf>
    <xf numFmtId="9" fontId="4" fillId="45" borderId="48">
      <alignment wrapText="1"/>
      <protection locked="0"/>
    </xf>
    <xf numFmtId="199" fontId="169" fillId="0" borderId="0" applyFont="0" applyFill="0" applyBorder="0" applyAlignment="0" applyProtection="0"/>
    <xf numFmtId="339" fontId="43" fillId="0" borderId="0" applyFont="0" applyFill="0" applyBorder="0" applyAlignment="0" applyProtection="0"/>
    <xf numFmtId="10" fontId="274" fillId="50" borderId="31">
      <alignment wrapText="1"/>
    </xf>
    <xf numFmtId="10" fontId="274" fillId="50" borderId="59">
      <alignment wrapText="1"/>
      <protection locked="0"/>
    </xf>
    <xf numFmtId="10" fontId="4" fillId="45" borderId="42">
      <alignment wrapText="1"/>
    </xf>
    <xf numFmtId="10" fontId="4" fillId="45" borderId="48">
      <alignment wrapText="1"/>
      <protection locked="0"/>
    </xf>
    <xf numFmtId="340" fontId="40" fillId="0" borderId="7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6" fillId="0" borderId="0" applyFill="0" applyBorder="0" applyAlignment="0" applyProtection="0"/>
    <xf numFmtId="341" fontId="275" fillId="0" borderId="0" applyFont="0" applyFill="0" applyBorder="0" applyAlignment="0" applyProtection="0"/>
    <xf numFmtId="9" fontId="4" fillId="0" borderId="0" applyFill="0" applyBorder="0" applyAlignment="0" applyProtection="0"/>
    <xf numFmtId="267" fontId="99" fillId="0" borderId="0"/>
    <xf numFmtId="267" fontId="197" fillId="0" borderId="0"/>
    <xf numFmtId="342" fontId="99" fillId="0" borderId="0"/>
    <xf numFmtId="10" fontId="197" fillId="0" borderId="0">
      <protection locked="0"/>
    </xf>
    <xf numFmtId="9" fontId="107" fillId="0" borderId="26" applyNumberFormat="0" applyBorder="0"/>
    <xf numFmtId="343" fontId="107" fillId="0" borderId="0" applyFill="0" applyBorder="0">
      <alignment horizontal="right"/>
      <protection locked="0"/>
    </xf>
    <xf numFmtId="0" fontId="180" fillId="0" borderId="0" applyFont="0" applyFill="0" applyBorder="0" applyAlignment="0" applyProtection="0"/>
    <xf numFmtId="180" fontId="198" fillId="0" borderId="0" applyFill="0" applyBorder="0">
      <alignment horizontal="right"/>
    </xf>
    <xf numFmtId="267" fontId="50" fillId="0" borderId="0" applyNumberFormat="0"/>
    <xf numFmtId="0" fontId="276" fillId="0" borderId="0">
      <protection locked="0"/>
    </xf>
    <xf numFmtId="0" fontId="277" fillId="0" borderId="0">
      <protection locked="0"/>
    </xf>
    <xf numFmtId="0" fontId="276" fillId="0" borderId="0">
      <protection locked="0"/>
    </xf>
    <xf numFmtId="0" fontId="278" fillId="0" borderId="0">
      <protection locked="0"/>
    </xf>
    <xf numFmtId="0" fontId="279" fillId="0" borderId="0" applyFont="0"/>
    <xf numFmtId="0" fontId="204" fillId="0" borderId="0">
      <protection locked="0"/>
    </xf>
    <xf numFmtId="0" fontId="57" fillId="80" borderId="42" applyFont="0"/>
    <xf numFmtId="344" fontId="4" fillId="0" borderId="0" applyFont="0" applyFill="0" applyBorder="0" applyAlignment="0" applyProtection="0"/>
    <xf numFmtId="13" fontId="2" fillId="0" borderId="0" applyFont="0" applyFill="0" applyProtection="0"/>
    <xf numFmtId="345" fontId="2" fillId="0" borderId="0" applyFont="0" applyFill="0" applyBorder="0" applyAlignment="0" applyProtection="0"/>
    <xf numFmtId="0" fontId="280" fillId="0" borderId="0" applyNumberFormat="0" applyFill="0" applyBorder="0" applyProtection="0">
      <alignment horizontal="right"/>
    </xf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346" fontId="2" fillId="0" borderId="0" applyProtection="0">
      <alignment horizontal="right"/>
    </xf>
    <xf numFmtId="4" fontId="2" fillId="0" borderId="0" applyFont="0" applyFill="0" applyBorder="0" applyProtection="0">
      <alignment horizontal="right"/>
    </xf>
    <xf numFmtId="346" fontId="2" fillId="0" borderId="0">
      <alignment horizontal="right"/>
      <protection locked="0"/>
    </xf>
    <xf numFmtId="0" fontId="281" fillId="0" borderId="0"/>
    <xf numFmtId="37" fontId="40" fillId="81" borderId="0" applyNumberFormat="0" applyFont="0" applyFill="0" applyBorder="0" applyAlignment="0" applyProtection="0"/>
    <xf numFmtId="0" fontId="180" fillId="27" borderId="42" applyNumberFormat="0" applyFont="0" applyAlignment="0" applyProtection="0"/>
    <xf numFmtId="305" fontId="198" fillId="27" borderId="0" applyNumberFormat="0" applyFont="0" applyBorder="0" applyAlignment="0" applyProtection="0">
      <alignment horizontal="center"/>
      <protection locked="0"/>
    </xf>
    <xf numFmtId="37" fontId="2" fillId="0" borderId="0" applyFont="0" applyFill="0" applyBorder="0" applyAlignment="0" applyProtection="0"/>
    <xf numFmtId="0" fontId="282" fillId="0" borderId="29"/>
    <xf numFmtId="44" fontId="4" fillId="0" borderId="0">
      <alignment horizontal="center"/>
    </xf>
    <xf numFmtId="0" fontId="107" fillId="0" borderId="0" applyNumberFormat="0" applyFont="0" applyFill="0" applyBorder="0" applyAlignment="0" applyProtection="0">
      <alignment horizontal="left"/>
    </xf>
    <xf numFmtId="15" fontId="107" fillId="0" borderId="0" applyFont="0" applyFill="0" applyBorder="0" applyAlignment="0" applyProtection="0"/>
    <xf numFmtId="4" fontId="107" fillId="0" borderId="0" applyFont="0" applyFill="0" applyBorder="0" applyAlignment="0" applyProtection="0"/>
    <xf numFmtId="0" fontId="159" fillId="0" borderId="18">
      <alignment horizontal="center"/>
    </xf>
    <xf numFmtId="3" fontId="107" fillId="0" borderId="0" applyFont="0" applyFill="0" applyBorder="0" applyAlignment="0" applyProtection="0"/>
    <xf numFmtId="0" fontId="107" fillId="82" borderId="0" applyNumberFormat="0" applyFont="0" applyBorder="0" applyAlignment="0" applyProtection="0"/>
    <xf numFmtId="347" fontId="283" fillId="0" borderId="55" applyAlignment="0" applyProtection="0">
      <alignment horizontal="left" vertical="center"/>
      <protection locked="0"/>
    </xf>
    <xf numFmtId="347" fontId="283" fillId="26" borderId="55" applyAlignment="0" applyProtection="0">
      <alignment horizontal="left" vertical="center"/>
      <protection locked="0"/>
    </xf>
    <xf numFmtId="263" fontId="66" fillId="0" borderId="0" applyFill="0" applyAlignment="0"/>
    <xf numFmtId="1" fontId="119" fillId="0" borderId="11" applyNumberFormat="0" applyFill="0" applyAlignment="0" applyProtection="0">
      <alignment horizontal="center"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348" fontId="107" fillId="0" borderId="0">
      <alignment horizontal="right"/>
      <protection locked="0"/>
    </xf>
    <xf numFmtId="0" fontId="105" fillId="0" borderId="0"/>
    <xf numFmtId="0" fontId="105" fillId="0" borderId="0"/>
    <xf numFmtId="0" fontId="169" fillId="0" borderId="0"/>
    <xf numFmtId="349" fontId="2" fillId="0" borderId="0" applyProtection="0">
      <alignment horizontal="right"/>
    </xf>
    <xf numFmtId="350" fontId="2" fillId="0" borderId="0" applyProtection="0">
      <alignment horizontal="right"/>
    </xf>
    <xf numFmtId="259" fontId="284" fillId="0" borderId="0" applyNumberFormat="0" applyFill="0" applyBorder="0" applyAlignment="0" applyProtection="0">
      <alignment horizontal="left"/>
    </xf>
    <xf numFmtId="37" fontId="285" fillId="0" borderId="0" applyNumberFormat="0" applyFill="0" applyBorder="0" applyAlignment="0" applyProtection="0"/>
    <xf numFmtId="1" fontId="286" fillId="21" borderId="0">
      <alignment vertical="top"/>
    </xf>
    <xf numFmtId="1" fontId="287" fillId="83" borderId="11">
      <alignment vertical="center" wrapText="1"/>
    </xf>
    <xf numFmtId="1" fontId="288" fillId="83" borderId="71">
      <alignment vertical="center" wrapText="1"/>
      <protection locked="0"/>
    </xf>
    <xf numFmtId="38" fontId="19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351" fontId="2" fillId="0" borderId="0">
      <alignment horizontal="right"/>
    </xf>
    <xf numFmtId="307" fontId="40" fillId="0" borderId="0" applyFont="0" applyFill="0" applyBorder="0" applyAlignment="0" applyProtection="0"/>
    <xf numFmtId="352" fontId="10" fillId="0" borderId="0" applyFont="0"/>
    <xf numFmtId="353" fontId="2" fillId="0" borderId="0" applyFont="0" applyFill="0" applyBorder="0" applyAlignment="0" applyProtection="0"/>
    <xf numFmtId="267" fontId="40" fillId="0" borderId="0" applyFont="0"/>
    <xf numFmtId="306" fontId="45" fillId="0" borderId="11" applyFont="0" applyBorder="0"/>
    <xf numFmtId="354" fontId="102" fillId="0" borderId="0" applyFont="0" applyFill="0" applyBorder="0" applyProtection="0"/>
    <xf numFmtId="355" fontId="102" fillId="0" borderId="0"/>
    <xf numFmtId="356" fontId="289" fillId="0" borderId="0" applyFont="0" applyFill="0" applyBorder="0" applyAlignment="0" applyProtection="0"/>
    <xf numFmtId="357" fontId="102" fillId="0" borderId="0" applyFont="0" applyFill="0" applyBorder="0" applyAlignment="0" applyProtection="0"/>
    <xf numFmtId="4" fontId="54" fillId="25" borderId="64" applyNumberFormat="0" applyProtection="0">
      <alignment vertical="center"/>
    </xf>
    <xf numFmtId="4" fontId="290" fillId="25" borderId="64" applyNumberFormat="0" applyProtection="0">
      <alignment vertical="center"/>
    </xf>
    <xf numFmtId="4" fontId="54" fillId="25" borderId="64" applyNumberFormat="0" applyProtection="0">
      <alignment horizontal="left" vertical="center" indent="1"/>
    </xf>
    <xf numFmtId="4" fontId="54" fillId="25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32" borderId="64" applyNumberFormat="0" applyProtection="0">
      <alignment horizontal="right" vertical="center"/>
    </xf>
    <xf numFmtId="4" fontId="54" fillId="85" borderId="64" applyNumberFormat="0" applyProtection="0">
      <alignment horizontal="right" vertical="center"/>
    </xf>
    <xf numFmtId="4" fontId="54" fillId="80" borderId="64" applyNumberFormat="0" applyProtection="0">
      <alignment horizontal="right" vertical="center"/>
    </xf>
    <xf numFmtId="4" fontId="54" fillId="86" borderId="64" applyNumberFormat="0" applyProtection="0">
      <alignment horizontal="right" vertical="center"/>
    </xf>
    <xf numFmtId="4" fontId="54" fillId="87" borderId="64" applyNumberFormat="0" applyProtection="0">
      <alignment horizontal="right" vertical="center"/>
    </xf>
    <xf numFmtId="4" fontId="54" fillId="88" borderId="64" applyNumberFormat="0" applyProtection="0">
      <alignment horizontal="right" vertical="center"/>
    </xf>
    <xf numFmtId="4" fontId="54" fillId="89" borderId="64" applyNumberFormat="0" applyProtection="0">
      <alignment horizontal="right" vertical="center"/>
    </xf>
    <xf numFmtId="4" fontId="54" fillId="90" borderId="64" applyNumberFormat="0" applyProtection="0">
      <alignment horizontal="right" vertical="center"/>
    </xf>
    <xf numFmtId="4" fontId="54" fillId="91" borderId="64" applyNumberFormat="0" applyProtection="0">
      <alignment horizontal="right" vertical="center"/>
    </xf>
    <xf numFmtId="4" fontId="56" fillId="92" borderId="64" applyNumberFormat="0" applyProtection="0">
      <alignment horizontal="left" vertical="center" indent="1"/>
    </xf>
    <xf numFmtId="4" fontId="54" fillId="93" borderId="72" applyNumberFormat="0" applyProtection="0">
      <alignment horizontal="left" vertical="center" indent="1"/>
    </xf>
    <xf numFmtId="4" fontId="250" fillId="94" borderId="0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93" borderId="64" applyNumberFormat="0" applyProtection="0">
      <alignment horizontal="left" vertical="center" indent="1"/>
    </xf>
    <xf numFmtId="4" fontId="54" fillId="69" borderId="64" applyNumberFormat="0" applyProtection="0">
      <alignment horizontal="left" vertical="center" indent="1"/>
    </xf>
    <xf numFmtId="0" fontId="2" fillId="69" borderId="64" applyNumberFormat="0" applyProtection="0">
      <alignment horizontal="left" vertical="center" indent="1"/>
    </xf>
    <xf numFmtId="0" fontId="2" fillId="69" borderId="64" applyNumberFormat="0" applyProtection="0">
      <alignment horizontal="left" vertical="center" indent="1"/>
    </xf>
    <xf numFmtId="0" fontId="2" fillId="95" borderId="64" applyNumberFormat="0" applyProtection="0">
      <alignment horizontal="left" vertical="center" indent="1"/>
    </xf>
    <xf numFmtId="0" fontId="2" fillId="95" borderId="64" applyNumberFormat="0" applyProtection="0">
      <alignment horizontal="left" vertical="center" indent="1"/>
    </xf>
    <xf numFmtId="0" fontId="2" fillId="27" borderId="64" applyNumberFormat="0" applyProtection="0">
      <alignment horizontal="left" vertical="center" indent="1"/>
    </xf>
    <xf numFmtId="0" fontId="2" fillId="27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62" borderId="64" applyNumberFormat="0" applyProtection="0">
      <alignment vertical="center"/>
    </xf>
    <xf numFmtId="4" fontId="290" fillId="62" borderId="64" applyNumberFormat="0" applyProtection="0">
      <alignment vertical="center"/>
    </xf>
    <xf numFmtId="4" fontId="54" fillId="62" borderId="64" applyNumberFormat="0" applyProtection="0">
      <alignment horizontal="left" vertical="center" indent="1"/>
    </xf>
    <xf numFmtId="4" fontId="54" fillId="62" borderId="64" applyNumberFormat="0" applyProtection="0">
      <alignment horizontal="left" vertical="center" indent="1"/>
    </xf>
    <xf numFmtId="4" fontId="54" fillId="93" borderId="64" applyNumberFormat="0" applyProtection="0">
      <alignment horizontal="right" vertical="center"/>
    </xf>
    <xf numFmtId="4" fontId="290" fillId="93" borderId="64" applyNumberFormat="0" applyProtection="0">
      <alignment horizontal="right" vertical="center"/>
    </xf>
    <xf numFmtId="0" fontId="2" fillId="84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0" fontId="55" fillId="0" borderId="0"/>
    <xf numFmtId="4" fontId="48" fillId="93" borderId="64" applyNumberFormat="0" applyProtection="0">
      <alignment horizontal="right" vertical="center"/>
    </xf>
    <xf numFmtId="0" fontId="47" fillId="0" borderId="0"/>
    <xf numFmtId="0" fontId="49" fillId="0" borderId="0"/>
    <xf numFmtId="0" fontId="47" fillId="0" borderId="0"/>
    <xf numFmtId="37" fontId="291" fillId="0" borderId="0">
      <protection locked="0"/>
    </xf>
    <xf numFmtId="0" fontId="292" fillId="21" borderId="0"/>
    <xf numFmtId="0" fontId="49" fillId="0" borderId="0"/>
    <xf numFmtId="0" fontId="293" fillId="0" borderId="0"/>
    <xf numFmtId="37" fontId="291" fillId="0" borderId="0">
      <protection locked="0"/>
    </xf>
    <xf numFmtId="0" fontId="294" fillId="0" borderId="0"/>
    <xf numFmtId="0" fontId="292" fillId="21" borderId="0"/>
    <xf numFmtId="0" fontId="49" fillId="0" borderId="0"/>
    <xf numFmtId="0" fontId="49" fillId="0" borderId="0"/>
    <xf numFmtId="49" fontId="47" fillId="0" borderId="0"/>
    <xf numFmtId="0" fontId="2" fillId="0" borderId="0"/>
    <xf numFmtId="0" fontId="2" fillId="0" borderId="0"/>
    <xf numFmtId="0" fontId="252" fillId="0" borderId="0"/>
    <xf numFmtId="40" fontId="295" fillId="0" borderId="0" applyBorder="0">
      <alignment horizontal="right"/>
    </xf>
    <xf numFmtId="49" fontId="54" fillId="0" borderId="0" applyFill="0" applyBorder="0" applyAlignment="0"/>
    <xf numFmtId="358" fontId="169" fillId="0" borderId="0" applyFill="0" applyBorder="0" applyAlignment="0"/>
    <xf numFmtId="359" fontId="169" fillId="0" borderId="0" applyFill="0" applyBorder="0" applyAlignment="0"/>
    <xf numFmtId="0" fontId="296" fillId="0" borderId="73"/>
    <xf numFmtId="0" fontId="4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7" fillId="0" borderId="0"/>
    <xf numFmtId="0" fontId="297" fillId="0" borderId="0"/>
    <xf numFmtId="5" fontId="298" fillId="93" borderId="74">
      <alignment vertical="top"/>
    </xf>
    <xf numFmtId="0" fontId="299" fillId="96" borderId="42">
      <alignment horizontal="left" vertical="center"/>
    </xf>
    <xf numFmtId="6" fontId="300" fillId="97" borderId="74"/>
    <xf numFmtId="5" fontId="230" fillId="0" borderId="74">
      <alignment horizontal="left" vertical="top"/>
    </xf>
    <xf numFmtId="0" fontId="301" fillId="98" borderId="0">
      <alignment horizontal="left" vertical="center"/>
    </xf>
    <xf numFmtId="5" fontId="109" fillId="0" borderId="11">
      <alignment horizontal="left" vertical="top"/>
    </xf>
    <xf numFmtId="0" fontId="302" fillId="0" borderId="11">
      <alignment horizontal="left" vertical="center"/>
    </xf>
    <xf numFmtId="0" fontId="303" fillId="0" borderId="0" applyNumberFormat="0" applyFill="0" applyBorder="0" applyAlignment="0" applyProtection="0"/>
    <xf numFmtId="0" fontId="304" fillId="0" borderId="0"/>
    <xf numFmtId="43" fontId="2" fillId="0" borderId="0" applyFont="0" applyFill="0" applyBorder="0" applyAlignment="0" applyProtection="0"/>
    <xf numFmtId="0" fontId="305" fillId="0" borderId="0" applyFont="0" applyFill="0" applyBorder="0" applyAlignment="0" applyProtection="0"/>
    <xf numFmtId="0" fontId="305" fillId="0" borderId="0" applyFont="0" applyFill="0" applyBorder="0" applyAlignment="0" applyProtection="0"/>
    <xf numFmtId="0" fontId="42" fillId="0" borderId="0">
      <alignment vertical="center"/>
    </xf>
    <xf numFmtId="40" fontId="306" fillId="0" borderId="0" applyFont="0" applyFill="0" applyBorder="0" applyAlignment="0" applyProtection="0"/>
    <xf numFmtId="38" fontId="306" fillId="0" borderId="0" applyFont="0" applyFill="0" applyBorder="0" applyAlignment="0" applyProtection="0"/>
    <xf numFmtId="0" fontId="306" fillId="0" borderId="0" applyFont="0" applyFill="0" applyBorder="0" applyAlignment="0" applyProtection="0"/>
    <xf numFmtId="0" fontId="306" fillId="0" borderId="0" applyFont="0" applyFill="0" applyBorder="0" applyAlignment="0" applyProtection="0"/>
    <xf numFmtId="9" fontId="307" fillId="0" borderId="0" applyFont="0" applyFill="0" applyBorder="0" applyAlignment="0" applyProtection="0"/>
    <xf numFmtId="0" fontId="308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9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260" fontId="258" fillId="0" borderId="0" applyFont="0" applyFill="0" applyBorder="0" applyAlignment="0" applyProtection="0"/>
    <xf numFmtId="261" fontId="258" fillId="0" borderId="0" applyFont="0" applyFill="0" applyBorder="0" applyAlignment="0" applyProtection="0"/>
    <xf numFmtId="0" fontId="309" fillId="0" borderId="0"/>
    <xf numFmtId="0" fontId="40" fillId="0" borderId="0"/>
    <xf numFmtId="175" fontId="310" fillId="0" borderId="0" applyFont="0" applyFill="0" applyBorder="0" applyAlignment="0" applyProtection="0">
      <alignment vertical="center"/>
    </xf>
    <xf numFmtId="165" fontId="310" fillId="0" borderId="0" applyFont="0" applyFill="0" applyBorder="0" applyAlignment="0" applyProtection="0"/>
    <xf numFmtId="19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310" fillId="0" borderId="0" applyFont="0" applyFill="0" applyBorder="0" applyAlignment="0" applyProtection="0"/>
    <xf numFmtId="360" fontId="47" fillId="0" borderId="0" applyFont="0" applyFill="0" applyBorder="0" applyAlignment="0" applyProtection="0"/>
    <xf numFmtId="6" fontId="311" fillId="0" borderId="0" applyFont="0" applyFill="0" applyBorder="0" applyAlignment="0" applyProtection="0"/>
    <xf numFmtId="361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5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5">
    <xf numFmtId="0" fontId="0" fillId="0" borderId="0" xfId="0"/>
    <xf numFmtId="166" fontId="4" fillId="0" borderId="0" xfId="3" applyNumberFormat="1" applyFont="1" applyFill="1" applyBorder="1"/>
    <xf numFmtId="0" fontId="5" fillId="0" borderId="0" xfId="0" applyFont="1"/>
    <xf numFmtId="166" fontId="4" fillId="0" borderId="0" xfId="3" applyNumberFormat="1" applyFont="1"/>
    <xf numFmtId="166" fontId="4" fillId="0" borderId="0" xfId="3" applyNumberFormat="1" applyFont="1" applyFill="1"/>
    <xf numFmtId="166" fontId="4" fillId="0" borderId="0" xfId="3" applyNumberFormat="1" applyFont="1" applyFill="1" applyBorder="1" applyAlignment="1">
      <alignment horizontal="right"/>
    </xf>
    <xf numFmtId="0" fontId="4" fillId="0" borderId="0" xfId="5" applyFont="1" applyFill="1" applyBorder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4" fillId="0" borderId="0" xfId="0" applyFont="1"/>
    <xf numFmtId="166" fontId="4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6" fontId="4" fillId="0" borderId="0" xfId="3" applyNumberFormat="1" applyFont="1" applyAlignment="1">
      <alignment vertical="top"/>
    </xf>
    <xf numFmtId="166" fontId="4" fillId="0" borderId="0" xfId="0" applyNumberFormat="1" applyFont="1" applyAlignment="1">
      <alignment vertical="top"/>
    </xf>
    <xf numFmtId="168" fontId="4" fillId="0" borderId="0" xfId="1" applyNumberFormat="1" applyFont="1" applyAlignment="1">
      <alignment vertical="top"/>
    </xf>
    <xf numFmtId="168" fontId="5" fillId="0" borderId="0" xfId="1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6" fontId="3" fillId="0" borderId="0" xfId="0" applyNumberFormat="1" applyFont="1" applyAlignment="1">
      <alignment vertical="top"/>
    </xf>
    <xf numFmtId="168" fontId="6" fillId="0" borderId="0" xfId="1" applyNumberFormat="1" applyFont="1" applyAlignment="1">
      <alignment horizontal="center" vertical="top"/>
    </xf>
    <xf numFmtId="0" fontId="4" fillId="0" borderId="0" xfId="0" applyFont="1" applyFill="1" applyBorder="1"/>
    <xf numFmtId="14" fontId="4" fillId="0" borderId="0" xfId="0" applyNumberFormat="1" applyFont="1" applyFill="1" applyBorder="1"/>
    <xf numFmtId="2" fontId="4" fillId="0" borderId="0" xfId="0" applyNumberFormat="1" applyFont="1"/>
    <xf numFmtId="0" fontId="4" fillId="0" borderId="0" xfId="5" applyFont="1" applyFill="1"/>
    <xf numFmtId="14" fontId="4" fillId="0" borderId="0" xfId="5" applyNumberFormat="1" applyFont="1" applyFill="1"/>
    <xf numFmtId="169" fontId="4" fillId="0" borderId="0" xfId="5" applyNumberFormat="1" applyFont="1" applyFill="1"/>
    <xf numFmtId="169" fontId="4" fillId="0" borderId="0" xfId="5" applyNumberFormat="1" applyFont="1" applyFill="1" applyAlignment="1">
      <alignment horizontal="center"/>
    </xf>
    <xf numFmtId="0" fontId="4" fillId="0" borderId="0" xfId="0" applyFont="1" applyFill="1"/>
    <xf numFmtId="169" fontId="4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4" fillId="0" borderId="0" xfId="0" applyFont="1" applyAlignment="1">
      <alignment vertical="center"/>
    </xf>
    <xf numFmtId="170" fontId="0" fillId="0" borderId="0" xfId="1" applyNumberFormat="1" applyFont="1" applyBorder="1"/>
    <xf numFmtId="170" fontId="0" fillId="0" borderId="0" xfId="1" applyNumberFormat="1" applyFont="1"/>
    <xf numFmtId="170" fontId="0" fillId="0" borderId="4" xfId="1" applyNumberFormat="1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170" fontId="0" fillId="0" borderId="0" xfId="1" applyNumberFormat="1" applyFont="1" applyFill="1" applyBorder="1"/>
    <xf numFmtId="170" fontId="0" fillId="0" borderId="0" xfId="1" applyNumberFormat="1" applyFont="1" applyFill="1"/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7" fillId="0" borderId="0" xfId="0" applyFont="1"/>
    <xf numFmtId="170" fontId="7" fillId="0" borderId="4" xfId="1" applyNumberFormat="1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11" fillId="0" borderId="0" xfId="0" applyFont="1"/>
    <xf numFmtId="0" fontId="0" fillId="0" borderId="0" xfId="0" applyFill="1"/>
    <xf numFmtId="2" fontId="0" fillId="0" borderId="5" xfId="0" applyNumberFormat="1" applyBorder="1"/>
    <xf numFmtId="0" fontId="9" fillId="0" borderId="0" xfId="5" applyFont="1" applyFill="1" applyBorder="1" applyAlignment="1"/>
    <xf numFmtId="170" fontId="12" fillId="0" borderId="0" xfId="1" applyNumberFormat="1" applyFont="1" applyBorder="1"/>
    <xf numFmtId="170" fontId="12" fillId="0" borderId="0" xfId="1" applyNumberFormat="1" applyFont="1"/>
    <xf numFmtId="170" fontId="12" fillId="0" borderId="4" xfId="1" applyNumberFormat="1" applyFont="1" applyBorder="1"/>
    <xf numFmtId="171" fontId="0" fillId="0" borderId="0" xfId="1" applyNumberFormat="1" applyFont="1"/>
    <xf numFmtId="2" fontId="2" fillId="0" borderId="0" xfId="0" applyNumberFormat="1" applyFont="1" applyFill="1"/>
    <xf numFmtId="165" fontId="0" fillId="0" borderId="0" xfId="0" applyNumberFormat="1"/>
    <xf numFmtId="170" fontId="1" fillId="0" borderId="0" xfId="1" applyNumberFormat="1" applyFont="1"/>
    <xf numFmtId="0" fontId="14" fillId="0" borderId="0" xfId="0" applyFont="1" applyFill="1" applyAlignment="1">
      <alignment horizontal="left" indent="1"/>
    </xf>
    <xf numFmtId="0" fontId="14" fillId="0" borderId="0" xfId="0" applyFont="1"/>
    <xf numFmtId="0" fontId="17" fillId="0" borderId="0" xfId="0" applyFont="1"/>
    <xf numFmtId="2" fontId="18" fillId="0" borderId="1" xfId="5" applyNumberFormat="1" applyFont="1" applyFill="1" applyBorder="1"/>
    <xf numFmtId="2" fontId="18" fillId="0" borderId="0" xfId="5" applyNumberFormat="1" applyFont="1" applyFill="1" applyBorder="1"/>
    <xf numFmtId="2" fontId="16" fillId="0" borderId="0" xfId="5" applyNumberFormat="1" applyFont="1" applyFill="1" applyBorder="1"/>
    <xf numFmtId="0" fontId="19" fillId="0" borderId="0" xfId="0" applyFont="1" applyFill="1"/>
    <xf numFmtId="14" fontId="19" fillId="0" borderId="0" xfId="1" applyNumberFormat="1" applyFont="1" applyFill="1" applyAlignment="1">
      <alignment horizontal="left"/>
    </xf>
    <xf numFmtId="168" fontId="19" fillId="0" borderId="0" xfId="1" applyNumberFormat="1" applyFont="1" applyFill="1"/>
    <xf numFmtId="165" fontId="19" fillId="0" borderId="0" xfId="1" applyFont="1" applyFill="1"/>
    <xf numFmtId="0" fontId="17" fillId="0" borderId="0" xfId="0" applyFont="1" applyBorder="1"/>
    <xf numFmtId="2" fontId="15" fillId="0" borderId="0" xfId="5" applyNumberFormat="1" applyFont="1" applyFill="1" applyBorder="1"/>
    <xf numFmtId="0" fontId="13" fillId="2" borderId="0" xfId="0" applyFont="1" applyFill="1"/>
    <xf numFmtId="14" fontId="13" fillId="2" borderId="0" xfId="1" applyNumberFormat="1" applyFont="1" applyFill="1" applyAlignment="1">
      <alignment horizontal="left"/>
    </xf>
    <xf numFmtId="168" fontId="13" fillId="2" borderId="0" xfId="1" applyNumberFormat="1" applyFont="1" applyFill="1"/>
    <xf numFmtId="165" fontId="13" fillId="2" borderId="0" xfId="1" applyFont="1" applyFill="1"/>
    <xf numFmtId="15" fontId="14" fillId="0" borderId="0" xfId="0" applyNumberFormat="1" applyFont="1"/>
    <xf numFmtId="168" fontId="18" fillId="0" borderId="1" xfId="1" applyNumberFormat="1" applyFont="1" applyFill="1" applyBorder="1"/>
    <xf numFmtId="168" fontId="18" fillId="0" borderId="0" xfId="1" applyNumberFormat="1" applyFont="1" applyFill="1" applyBorder="1"/>
    <xf numFmtId="2" fontId="17" fillId="0" borderId="0" xfId="0" applyNumberFormat="1" applyFont="1"/>
    <xf numFmtId="172" fontId="14" fillId="0" borderId="0" xfId="1" applyNumberFormat="1" applyFont="1" applyFill="1" applyBorder="1"/>
    <xf numFmtId="0" fontId="17" fillId="0" borderId="0" xfId="0" applyFont="1" applyFill="1"/>
    <xf numFmtId="15" fontId="14" fillId="0" borderId="0" xfId="0" applyNumberFormat="1" applyFont="1" applyFill="1"/>
    <xf numFmtId="0" fontId="14" fillId="0" borderId="0" xfId="0" applyFont="1" applyFill="1"/>
    <xf numFmtId="165" fontId="17" fillId="0" borderId="0" xfId="1" applyFont="1" applyFill="1"/>
    <xf numFmtId="168" fontId="14" fillId="0" borderId="0" xfId="1" applyNumberFormat="1" applyFont="1" applyFill="1"/>
    <xf numFmtId="164" fontId="14" fillId="0" borderId="0" xfId="0" applyNumberFormat="1" applyFont="1" applyFill="1"/>
    <xf numFmtId="172" fontId="14" fillId="0" borderId="0" xfId="0" applyNumberFormat="1" applyFont="1" applyFill="1"/>
    <xf numFmtId="168" fontId="14" fillId="0" borderId="0" xfId="0" applyNumberFormat="1" applyFont="1" applyFill="1"/>
    <xf numFmtId="0" fontId="13" fillId="0" borderId="0" xfId="0" applyFont="1" applyFill="1"/>
    <xf numFmtId="14" fontId="13" fillId="0" borderId="0" xfId="1" applyNumberFormat="1" applyFont="1" applyFill="1" applyAlignment="1">
      <alignment horizontal="left"/>
    </xf>
    <xf numFmtId="168" fontId="13" fillId="0" borderId="0" xfId="1" applyNumberFormat="1" applyFont="1" applyFill="1"/>
    <xf numFmtId="165" fontId="13" fillId="0" borderId="0" xfId="1" applyFont="1" applyFill="1"/>
    <xf numFmtId="173" fontId="14" fillId="0" borderId="0" xfId="1" applyNumberFormat="1" applyFont="1" applyFill="1"/>
    <xf numFmtId="2" fontId="17" fillId="0" borderId="0" xfId="0" applyNumberFormat="1" applyFont="1" applyFill="1"/>
    <xf numFmtId="0" fontId="17" fillId="0" borderId="0" xfId="0" applyFont="1" applyFill="1" applyBorder="1"/>
    <xf numFmtId="0" fontId="14" fillId="0" borderId="0" xfId="0" applyFont="1" applyFill="1" applyAlignment="1">
      <alignment horizontal="left"/>
    </xf>
    <xf numFmtId="14" fontId="14" fillId="0" borderId="0" xfId="0" applyNumberFormat="1" applyFont="1" applyFill="1"/>
    <xf numFmtId="165" fontId="14" fillId="0" borderId="0" xfId="1" applyFont="1" applyFill="1"/>
    <xf numFmtId="165" fontId="14" fillId="0" borderId="0" xfId="1" applyFont="1" applyFill="1" applyBorder="1"/>
    <xf numFmtId="165" fontId="18" fillId="0" borderId="0" xfId="1" applyFont="1" applyFill="1" applyBorder="1"/>
    <xf numFmtId="0" fontId="15" fillId="0" borderId="0" xfId="0" applyFont="1" applyAlignment="1"/>
    <xf numFmtId="0" fontId="20" fillId="0" borderId="0" xfId="0" applyFont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15" fillId="0" borderId="6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7" xfId="0" applyFont="1" applyBorder="1" applyAlignment="1"/>
    <xf numFmtId="0" fontId="15" fillId="0" borderId="8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/>
    </xf>
    <xf numFmtId="0" fontId="15" fillId="0" borderId="9" xfId="0" applyFont="1" applyBorder="1" applyAlignment="1"/>
    <xf numFmtId="0" fontId="15" fillId="0" borderId="10" xfId="0" applyFont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165" fontId="21" fillId="0" borderId="0" xfId="1" applyFont="1" applyBorder="1" applyAlignment="1">
      <alignment horizontal="left"/>
    </xf>
    <xf numFmtId="165" fontId="21" fillId="0" borderId="0" xfId="1" applyFont="1" applyFill="1" applyBorder="1" applyAlignment="1">
      <alignment horizontal="left"/>
    </xf>
    <xf numFmtId="0" fontId="15" fillId="0" borderId="4" xfId="0" applyFont="1" applyBorder="1" applyAlignment="1">
      <alignment horizontal="right"/>
    </xf>
    <xf numFmtId="165" fontId="21" fillId="0" borderId="4" xfId="1" applyFont="1" applyBorder="1" applyAlignment="1">
      <alignment horizontal="left"/>
    </xf>
    <xf numFmtId="174" fontId="14" fillId="0" borderId="0" xfId="0" applyNumberFormat="1" applyFont="1"/>
    <xf numFmtId="0" fontId="21" fillId="0" borderId="0" xfId="0" applyFont="1" applyBorder="1" applyAlignment="1">
      <alignment horizontal="left"/>
    </xf>
    <xf numFmtId="165" fontId="14" fillId="0" borderId="0" xfId="1" applyFont="1"/>
    <xf numFmtId="174" fontId="14" fillId="0" borderId="0" xfId="1" applyNumberFormat="1" applyFont="1"/>
    <xf numFmtId="43" fontId="22" fillId="0" borderId="0" xfId="3" applyFont="1" applyBorder="1" applyAlignment="1">
      <alignment horizontal="left"/>
    </xf>
    <xf numFmtId="43" fontId="14" fillId="0" borderId="0" xfId="0" applyNumberFormat="1" applyFont="1"/>
    <xf numFmtId="165" fontId="14" fillId="0" borderId="0" xfId="0" applyNumberFormat="1" applyFont="1"/>
    <xf numFmtId="165" fontId="18" fillId="0" borderId="1" xfId="1" applyFont="1" applyFill="1" applyBorder="1"/>
    <xf numFmtId="17" fontId="14" fillId="0" borderId="0" xfId="0" applyNumberFormat="1" applyFont="1" applyAlignment="1">
      <alignment horizontal="left"/>
    </xf>
    <xf numFmtId="15" fontId="17" fillId="0" borderId="0" xfId="0" applyNumberFormat="1" applyFont="1" applyFill="1"/>
    <xf numFmtId="43" fontId="17" fillId="0" borderId="0" xfId="0" applyNumberFormat="1" applyFont="1" applyFill="1"/>
    <xf numFmtId="168" fontId="17" fillId="0" borderId="0" xfId="0" applyNumberFormat="1" applyFont="1" applyFill="1"/>
    <xf numFmtId="4" fontId="23" fillId="0" borderId="0" xfId="6" applyNumberFormat="1" applyAlignment="1">
      <alignment horizontal="right"/>
    </xf>
    <xf numFmtId="0" fontId="22" fillId="0" borderId="0" xfId="0" applyFont="1" applyBorder="1" applyAlignment="1">
      <alignment horizontal="right"/>
    </xf>
    <xf numFmtId="165" fontId="21" fillId="0" borderId="0" xfId="1" applyFont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right"/>
    </xf>
    <xf numFmtId="2" fontId="312" fillId="0" borderId="0" xfId="0" applyNumberFormat="1" applyFont="1" applyFill="1"/>
    <xf numFmtId="4" fontId="313" fillId="0" borderId="0" xfId="0" applyNumberFormat="1" applyFont="1" applyAlignment="1">
      <alignment horizontal="right"/>
    </xf>
    <xf numFmtId="4" fontId="0" fillId="0" borderId="0" xfId="0" applyNumberFormat="1" applyFill="1" applyAlignment="1">
      <alignment horizontal="right"/>
    </xf>
    <xf numFmtId="0" fontId="21" fillId="0" borderId="0" xfId="0" applyFont="1" applyFill="1" applyAlignment="1">
      <alignment horizontal="left" indent="1"/>
    </xf>
    <xf numFmtId="15" fontId="21" fillId="0" borderId="0" xfId="0" applyNumberFormat="1" applyFont="1" applyFill="1"/>
    <xf numFmtId="172" fontId="21" fillId="0" borderId="0" xfId="1" applyNumberFormat="1" applyFont="1" applyFill="1" applyBorder="1"/>
    <xf numFmtId="168" fontId="21" fillId="0" borderId="0" xfId="1" applyNumberFormat="1" applyFont="1" applyFill="1"/>
    <xf numFmtId="0" fontId="21" fillId="0" borderId="0" xfId="0" applyFont="1" applyFill="1"/>
    <xf numFmtId="0" fontId="18" fillId="0" borderId="0" xfId="0" applyFont="1" applyFill="1"/>
    <xf numFmtId="164" fontId="21" fillId="0" borderId="0" xfId="0" applyNumberFormat="1" applyFont="1" applyFill="1"/>
    <xf numFmtId="172" fontId="21" fillId="0" borderId="0" xfId="0" applyNumberFormat="1" applyFont="1" applyFill="1"/>
    <xf numFmtId="168" fontId="21" fillId="0" borderId="0" xfId="0" applyNumberFormat="1" applyFont="1" applyFill="1"/>
    <xf numFmtId="0" fontId="14" fillId="0" borderId="0" xfId="0" applyFont="1" applyFill="1" applyAlignment="1"/>
    <xf numFmtId="172" fontId="14" fillId="0" borderId="0" xfId="1" applyNumberFormat="1" applyFont="1" applyFill="1"/>
    <xf numFmtId="172" fontId="13" fillId="0" borderId="0" xfId="1" applyNumberFormat="1" applyFont="1" applyFill="1"/>
    <xf numFmtId="165" fontId="18" fillId="0" borderId="1" xfId="1" applyNumberFormat="1" applyFont="1" applyFill="1" applyBorder="1"/>
    <xf numFmtId="165" fontId="18" fillId="0" borderId="0" xfId="1" applyNumberFormat="1" applyFont="1" applyFill="1" applyBorder="1"/>
    <xf numFmtId="165" fontId="13" fillId="0" borderId="0" xfId="1" applyNumberFormat="1" applyFont="1" applyFill="1"/>
    <xf numFmtId="164" fontId="14" fillId="0" borderId="0" xfId="1" applyNumberFormat="1" applyFont="1" applyFill="1" applyBorder="1"/>
    <xf numFmtId="0" fontId="17" fillId="99" borderId="0" xfId="0" applyFont="1" applyFill="1"/>
    <xf numFmtId="0" fontId="14" fillId="99" borderId="0" xfId="0" applyFont="1" applyFill="1" applyAlignment="1">
      <alignment horizontal="left" indent="1"/>
    </xf>
    <xf numFmtId="15" fontId="14" fillId="99" borderId="0" xfId="0" applyNumberFormat="1" applyFont="1" applyFill="1"/>
    <xf numFmtId="172" fontId="14" fillId="99" borderId="0" xfId="1" applyNumberFormat="1" applyFont="1" applyFill="1" applyBorder="1"/>
    <xf numFmtId="168" fontId="14" fillId="99" borderId="0" xfId="1" applyNumberFormat="1" applyFont="1" applyFill="1"/>
    <xf numFmtId="0" fontId="14" fillId="99" borderId="0" xfId="0" applyFont="1" applyFill="1"/>
    <xf numFmtId="164" fontId="14" fillId="99" borderId="0" xfId="0" applyNumberFormat="1" applyFont="1" applyFill="1"/>
    <xf numFmtId="172" fontId="14" fillId="99" borderId="0" xfId="0" applyNumberFormat="1" applyFont="1" applyFill="1"/>
    <xf numFmtId="168" fontId="14" fillId="99" borderId="0" xfId="0" applyNumberFormat="1" applyFont="1" applyFill="1"/>
    <xf numFmtId="0" fontId="14" fillId="99" borderId="0" xfId="0" applyFont="1" applyFill="1" applyAlignment="1">
      <alignment horizontal="left"/>
    </xf>
    <xf numFmtId="165" fontId="17" fillId="0" borderId="0" xfId="0" applyNumberFormat="1" applyFont="1" applyFill="1"/>
    <xf numFmtId="0" fontId="21" fillId="101" borderId="0" xfId="0" applyFont="1" applyFill="1" applyBorder="1" applyAlignment="1">
      <alignment horizontal="left"/>
    </xf>
    <xf numFmtId="165" fontId="21" fillId="101" borderId="0" xfId="1" applyFont="1" applyFill="1" applyBorder="1" applyAlignment="1">
      <alignment horizontal="left"/>
    </xf>
    <xf numFmtId="43" fontId="22" fillId="101" borderId="0" xfId="3" applyFont="1" applyFill="1" applyBorder="1" applyAlignment="1">
      <alignment horizontal="left"/>
    </xf>
    <xf numFmtId="174" fontId="14" fillId="101" borderId="0" xfId="1" applyNumberFormat="1" applyFont="1" applyFill="1"/>
    <xf numFmtId="165" fontId="14" fillId="101" borderId="0" xfId="1" applyFont="1" applyFill="1"/>
    <xf numFmtId="0" fontId="21" fillId="100" borderId="0" xfId="0" applyFont="1" applyFill="1" applyBorder="1" applyAlignment="1">
      <alignment horizontal="left"/>
    </xf>
    <xf numFmtId="165" fontId="21" fillId="100" borderId="0" xfId="1" applyFont="1" applyFill="1" applyBorder="1" applyAlignment="1">
      <alignment horizontal="left"/>
    </xf>
    <xf numFmtId="43" fontId="22" fillId="100" borderId="0" xfId="3" applyFont="1" applyFill="1" applyBorder="1" applyAlignment="1">
      <alignment horizontal="left"/>
    </xf>
    <xf numFmtId="165" fontId="14" fillId="100" borderId="0" xfId="1" applyFont="1" applyFill="1"/>
    <xf numFmtId="174" fontId="14" fillId="100" borderId="0" xfId="1" applyNumberFormat="1" applyFont="1" applyFill="1"/>
    <xf numFmtId="0" fontId="21" fillId="102" borderId="0" xfId="0" applyFont="1" applyFill="1" applyBorder="1" applyAlignment="1">
      <alignment horizontal="left"/>
    </xf>
    <xf numFmtId="165" fontId="21" fillId="102" borderId="0" xfId="1" applyFont="1" applyFill="1" applyBorder="1" applyAlignment="1">
      <alignment horizontal="left"/>
    </xf>
    <xf numFmtId="43" fontId="22" fillId="102" borderId="0" xfId="3" applyFont="1" applyFill="1" applyBorder="1" applyAlignment="1">
      <alignment horizontal="left"/>
    </xf>
    <xf numFmtId="165" fontId="14" fillId="102" borderId="0" xfId="1" applyFont="1" applyFill="1"/>
    <xf numFmtId="174" fontId="14" fillId="102" borderId="0" xfId="1" applyNumberFormat="1" applyFont="1" applyFill="1"/>
    <xf numFmtId="0" fontId="21" fillId="103" borderId="0" xfId="0" applyFont="1" applyFill="1" applyBorder="1" applyAlignment="1">
      <alignment horizontal="left"/>
    </xf>
    <xf numFmtId="165" fontId="21" fillId="103" borderId="0" xfId="1" applyFont="1" applyFill="1" applyBorder="1" applyAlignment="1">
      <alignment horizontal="left"/>
    </xf>
    <xf numFmtId="0" fontId="14" fillId="103" borderId="0" xfId="0" applyFont="1" applyFill="1"/>
    <xf numFmtId="165" fontId="14" fillId="103" borderId="0" xfId="1" applyFont="1" applyFill="1"/>
    <xf numFmtId="174" fontId="14" fillId="103" borderId="0" xfId="1" applyNumberFormat="1" applyFont="1" applyFill="1"/>
    <xf numFmtId="0" fontId="14" fillId="102" borderId="0" xfId="0" applyFont="1" applyFill="1"/>
    <xf numFmtId="0" fontId="21" fillId="0" borderId="0" xfId="0" applyFont="1" applyFill="1" applyBorder="1" applyAlignment="1">
      <alignment horizontal="left"/>
    </xf>
    <xf numFmtId="0" fontId="15" fillId="0" borderId="55" xfId="0" applyFont="1" applyBorder="1" applyAlignment="1">
      <alignment horizontal="right"/>
    </xf>
    <xf numFmtId="165" fontId="21" fillId="0" borderId="55" xfId="1" applyFont="1" applyBorder="1" applyAlignment="1">
      <alignment horizontal="left"/>
    </xf>
    <xf numFmtId="2" fontId="14" fillId="0" borderId="0" xfId="0" applyNumberFormat="1" applyFont="1"/>
    <xf numFmtId="0" fontId="13" fillId="0" borderId="0" xfId="0" applyFont="1"/>
    <xf numFmtId="165" fontId="13" fillId="0" borderId="0" xfId="0" applyNumberFormat="1" applyFont="1"/>
    <xf numFmtId="0" fontId="21" fillId="104" borderId="0" xfId="0" applyFont="1" applyFill="1" applyBorder="1" applyAlignment="1">
      <alignment horizontal="left"/>
    </xf>
    <xf numFmtId="165" fontId="21" fillId="104" borderId="0" xfId="1" applyFont="1" applyFill="1" applyBorder="1" applyAlignment="1">
      <alignment horizontal="left"/>
    </xf>
    <xf numFmtId="43" fontId="22" fillId="104" borderId="0" xfId="3" applyFont="1" applyFill="1" applyBorder="1" applyAlignment="1">
      <alignment horizontal="left"/>
    </xf>
    <xf numFmtId="165" fontId="14" fillId="104" borderId="0" xfId="1" applyFont="1" applyFill="1"/>
    <xf numFmtId="174" fontId="14" fillId="104" borderId="0" xfId="1" applyNumberFormat="1" applyFont="1" applyFill="1"/>
    <xf numFmtId="0" fontId="21" fillId="105" borderId="0" xfId="0" applyFont="1" applyFill="1" applyBorder="1" applyAlignment="1">
      <alignment horizontal="left"/>
    </xf>
    <xf numFmtId="165" fontId="21" fillId="105" borderId="0" xfId="1" applyFont="1" applyFill="1" applyBorder="1" applyAlignment="1">
      <alignment horizontal="left"/>
    </xf>
    <xf numFmtId="43" fontId="22" fillId="105" borderId="0" xfId="3" applyFont="1" applyFill="1" applyBorder="1" applyAlignment="1">
      <alignment horizontal="left"/>
    </xf>
    <xf numFmtId="165" fontId="14" fillId="105" borderId="0" xfId="1" applyFont="1" applyFill="1"/>
    <xf numFmtId="174" fontId="14" fillId="105" borderId="0" xfId="1" applyNumberFormat="1" applyFont="1" applyFill="1"/>
    <xf numFmtId="165" fontId="13" fillId="0" borderId="0" xfId="1" applyFont="1"/>
    <xf numFmtId="164" fontId="17" fillId="0" borderId="0" xfId="0" applyNumberFormat="1" applyFont="1" applyFill="1"/>
    <xf numFmtId="0" fontId="16" fillId="0" borderId="0" xfId="2" applyFont="1" applyFill="1"/>
    <xf numFmtId="2" fontId="16" fillId="0" borderId="0" xfId="5" applyNumberFormat="1" applyFont="1" applyFill="1" applyBorder="1" applyAlignment="1">
      <alignment horizontal="right"/>
    </xf>
    <xf numFmtId="43" fontId="10" fillId="0" borderId="0" xfId="7" applyFont="1" applyFill="1" applyBorder="1"/>
    <xf numFmtId="43" fontId="10" fillId="0" borderId="0" xfId="1" applyNumberFormat="1" applyFont="1" applyFill="1" applyBorder="1"/>
    <xf numFmtId="168" fontId="18" fillId="0" borderId="0" xfId="1" applyNumberFormat="1" applyFont="1" applyFill="1"/>
    <xf numFmtId="2" fontId="16" fillId="0" borderId="0" xfId="5" applyNumberFormat="1" applyFont="1" applyFill="1" applyBorder="1" applyAlignment="1">
      <alignment horizontal="center" wrapText="1"/>
    </xf>
    <xf numFmtId="2" fontId="16" fillId="0" borderId="0" xfId="5" applyNumberFormat="1" applyFont="1" applyFill="1" applyBorder="1" applyAlignment="1">
      <alignment horizontal="center"/>
    </xf>
    <xf numFmtId="165" fontId="18" fillId="0" borderId="0" xfId="0" applyNumberFormat="1" applyFont="1" applyFill="1"/>
    <xf numFmtId="43" fontId="18" fillId="0" borderId="0" xfId="0" applyNumberFormat="1" applyFont="1" applyFill="1"/>
    <xf numFmtId="166" fontId="18" fillId="0" borderId="0" xfId="0" applyNumberFormat="1" applyFont="1" applyFill="1"/>
    <xf numFmtId="2" fontId="16" fillId="0" borderId="1" xfId="5" applyNumberFormat="1" applyFont="1" applyFill="1" applyBorder="1"/>
    <xf numFmtId="165" fontId="16" fillId="0" borderId="1" xfId="1" applyNumberFormat="1" applyFont="1" applyFill="1" applyBorder="1"/>
    <xf numFmtId="165" fontId="16" fillId="0" borderId="1" xfId="1" applyFont="1" applyFill="1" applyBorder="1"/>
    <xf numFmtId="2" fontId="16" fillId="0" borderId="55" xfId="5" applyNumberFormat="1" applyFont="1" applyFill="1" applyBorder="1"/>
    <xf numFmtId="165" fontId="16" fillId="0" borderId="55" xfId="1" applyNumberFormat="1" applyFont="1" applyFill="1" applyBorder="1"/>
    <xf numFmtId="165" fontId="16" fillId="0" borderId="55" xfId="1" applyFont="1" applyFill="1" applyBorder="1"/>
    <xf numFmtId="165" fontId="16" fillId="0" borderId="0" xfId="1" applyNumberFormat="1" applyFont="1" applyFill="1" applyBorder="1"/>
    <xf numFmtId="165" fontId="16" fillId="0" borderId="0" xfId="1" applyFont="1" applyFill="1" applyBorder="1"/>
    <xf numFmtId="4" fontId="2" fillId="0" borderId="25" xfId="0" applyNumberFormat="1" applyFont="1" applyFill="1" applyBorder="1" applyAlignment="1" applyProtection="1"/>
    <xf numFmtId="168" fontId="18" fillId="0" borderId="0" xfId="0" applyNumberFormat="1" applyFont="1" applyFill="1"/>
    <xf numFmtId="165" fontId="18" fillId="0" borderId="0" xfId="1" applyFont="1" applyFill="1"/>
    <xf numFmtId="2" fontId="18" fillId="0" borderId="0" xfId="0" applyNumberFormat="1" applyFont="1" applyFill="1"/>
    <xf numFmtId="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/>
    <xf numFmtId="2" fontId="16" fillId="0" borderId="9" xfId="5" applyNumberFormat="1" applyFont="1" applyFill="1" applyBorder="1" applyAlignment="1">
      <alignment horizontal="center" wrapText="1"/>
    </xf>
    <xf numFmtId="2" fontId="314" fillId="0" borderId="9" xfId="5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 applyProtection="1"/>
    <xf numFmtId="165" fontId="14" fillId="0" borderId="0" xfId="1" applyNumberFormat="1" applyFont="1" applyFill="1"/>
    <xf numFmtId="164" fontId="14" fillId="99" borderId="0" xfId="1" applyNumberFormat="1" applyFont="1" applyFill="1" applyBorder="1"/>
    <xf numFmtId="4" fontId="313" fillId="100" borderId="0" xfId="4932" applyNumberFormat="1" applyFont="1" applyFill="1" applyAlignment="1">
      <alignment horizontal="right"/>
    </xf>
    <xf numFmtId="0" fontId="12" fillId="107" borderId="5" xfId="0" applyFont="1" applyFill="1" applyBorder="1" applyAlignment="1">
      <alignment horizontal="center" vertical="center" wrapText="1"/>
    </xf>
    <xf numFmtId="44" fontId="317" fillId="107" borderId="5" xfId="4933" applyFont="1" applyFill="1" applyBorder="1" applyAlignment="1">
      <alignment horizontal="center" vertical="center" wrapText="1"/>
    </xf>
    <xf numFmtId="0" fontId="12" fillId="107" borderId="5" xfId="0" applyNumberFormat="1" applyFont="1" applyFill="1" applyBorder="1" applyAlignment="1">
      <alignment horizontal="center" vertical="center" wrapText="1"/>
    </xf>
    <xf numFmtId="9" fontId="12" fillId="107" borderId="5" xfId="4934" applyFont="1" applyFill="1" applyBorder="1" applyAlignment="1">
      <alignment horizontal="center" vertical="center" wrapText="1"/>
    </xf>
    <xf numFmtId="0" fontId="12" fillId="107" borderId="5" xfId="4933" applyNumberFormat="1" applyFont="1" applyFill="1" applyBorder="1" applyAlignment="1">
      <alignment horizontal="center" vertical="center" wrapText="1"/>
    </xf>
    <xf numFmtId="362" fontId="12" fillId="107" borderId="5" xfId="4933" applyNumberFormat="1" applyFont="1" applyFill="1" applyBorder="1" applyAlignment="1">
      <alignment horizontal="center" vertical="center" wrapText="1"/>
    </xf>
    <xf numFmtId="44" fontId="12" fillId="107" borderId="5" xfId="4933" applyFont="1" applyFill="1" applyBorder="1" applyAlignment="1">
      <alignment horizontal="center" vertical="center" wrapText="1"/>
    </xf>
    <xf numFmtId="0" fontId="319" fillId="0" borderId="5" xfId="0" applyFont="1" applyBorder="1" applyAlignment="1">
      <alignment horizontal="center" vertical="center"/>
    </xf>
    <xf numFmtId="14" fontId="319" fillId="0" borderId="5" xfId="0" applyNumberFormat="1" applyFont="1" applyBorder="1" applyAlignment="1">
      <alignment horizontal="center" vertical="center"/>
    </xf>
    <xf numFmtId="2" fontId="319" fillId="0" borderId="5" xfId="0" applyNumberFormat="1" applyFont="1" applyBorder="1" applyAlignment="1">
      <alignment horizontal="center" vertical="center"/>
    </xf>
    <xf numFmtId="0" fontId="0" fillId="0" borderId="5" xfId="0" applyBorder="1"/>
    <xf numFmtId="9" fontId="319" fillId="0" borderId="5" xfId="0" applyNumberFormat="1" applyFont="1" applyBorder="1" applyAlignment="1">
      <alignment horizontal="center" vertical="center"/>
    </xf>
    <xf numFmtId="181" fontId="319" fillId="0" borderId="5" xfId="0" applyNumberFormat="1" applyFont="1" applyBorder="1" applyAlignment="1">
      <alignment horizontal="center" vertical="center"/>
    </xf>
    <xf numFmtId="9" fontId="0" fillId="0" borderId="5" xfId="4934" applyFont="1" applyBorder="1"/>
    <xf numFmtId="363" fontId="319" fillId="0" borderId="5" xfId="0" applyNumberFormat="1" applyFont="1" applyBorder="1" applyAlignment="1">
      <alignment horizontal="center" vertical="center"/>
    </xf>
    <xf numFmtId="0" fontId="0" fillId="0" borderId="11" xfId="0" applyFill="1" applyBorder="1"/>
    <xf numFmtId="14" fontId="319" fillId="0" borderId="5" xfId="0" applyNumberFormat="1" applyFont="1" applyBorder="1" applyAlignment="1"/>
    <xf numFmtId="362" fontId="319" fillId="0" borderId="5" xfId="0" applyNumberFormat="1" applyFont="1" applyBorder="1" applyAlignment="1">
      <alignment horizontal="center" vertical="center"/>
    </xf>
    <xf numFmtId="0" fontId="319" fillId="0" borderId="5" xfId="0" applyFont="1" applyFill="1" applyBorder="1" applyAlignment="1">
      <alignment horizontal="center" vertical="center"/>
    </xf>
    <xf numFmtId="14" fontId="319" fillId="0" borderId="5" xfId="0" applyNumberFormat="1" applyFont="1" applyFill="1" applyBorder="1" applyAlignment="1"/>
    <xf numFmtId="14" fontId="319" fillId="0" borderId="5" xfId="0" applyNumberFormat="1" applyFont="1" applyFill="1" applyBorder="1" applyAlignment="1">
      <alignment horizontal="center" vertical="center"/>
    </xf>
    <xf numFmtId="2" fontId="319" fillId="0" borderId="5" xfId="0" applyNumberFormat="1" applyFont="1" applyFill="1" applyBorder="1" applyAlignment="1">
      <alignment horizontal="center" vertical="center"/>
    </xf>
    <xf numFmtId="9" fontId="319" fillId="0" borderId="5" xfId="0" applyNumberFormat="1" applyFont="1" applyFill="1" applyBorder="1" applyAlignment="1">
      <alignment horizontal="center" vertical="center"/>
    </xf>
    <xf numFmtId="181" fontId="319" fillId="0" borderId="5" xfId="0" applyNumberFormat="1" applyFont="1" applyFill="1" applyBorder="1" applyAlignment="1">
      <alignment horizontal="center" vertical="center"/>
    </xf>
    <xf numFmtId="362" fontId="319" fillId="0" borderId="5" xfId="0" applyNumberFormat="1" applyFont="1" applyFill="1" applyBorder="1" applyAlignment="1">
      <alignment horizontal="center" vertical="center"/>
    </xf>
    <xf numFmtId="9" fontId="0" fillId="0" borderId="5" xfId="4934" applyFont="1" applyFill="1" applyBorder="1"/>
    <xf numFmtId="0" fontId="0" fillId="0" borderId="5" xfId="0" applyFill="1" applyBorder="1"/>
    <xf numFmtId="363" fontId="12" fillId="107" borderId="5" xfId="4933" applyNumberFormat="1" applyFont="1" applyFill="1" applyBorder="1" applyAlignment="1">
      <alignment horizontal="center" vertical="center" wrapText="1"/>
    </xf>
    <xf numFmtId="3" fontId="319" fillId="0" borderId="5" xfId="0" applyNumberFormat="1" applyFont="1" applyBorder="1" applyAlignment="1">
      <alignment horizontal="center" vertical="center"/>
    </xf>
    <xf numFmtId="364" fontId="319" fillId="0" borderId="5" xfId="0" applyNumberFormat="1" applyFont="1" applyBorder="1" applyAlignment="1">
      <alignment horizontal="center" vertical="center"/>
    </xf>
    <xf numFmtId="9" fontId="1" fillId="0" borderId="5" xfId="4934" applyFont="1" applyBorder="1" applyAlignment="1">
      <alignment horizontal="center" vertical="center"/>
    </xf>
    <xf numFmtId="0" fontId="319" fillId="0" borderId="5" xfId="0" applyFont="1" applyBorder="1" applyAlignment="1">
      <alignment vertical="top"/>
    </xf>
    <xf numFmtId="0" fontId="319" fillId="0" borderId="5" xfId="0" applyFont="1" applyBorder="1" applyAlignment="1">
      <alignment horizontal="center" vertical="top"/>
    </xf>
    <xf numFmtId="0" fontId="319" fillId="0" borderId="74" xfId="0" applyFont="1" applyBorder="1" applyAlignment="1">
      <alignment horizontal="center" vertical="top"/>
    </xf>
    <xf numFmtId="0" fontId="319" fillId="0" borderId="74" xfId="0" applyFont="1" applyBorder="1" applyAlignment="1">
      <alignment vertical="top"/>
    </xf>
    <xf numFmtId="14" fontId="319" fillId="0" borderId="74" xfId="0" applyNumberFormat="1" applyFont="1" applyBorder="1" applyAlignment="1">
      <alignment horizontal="center" vertical="center"/>
    </xf>
    <xf numFmtId="2" fontId="319" fillId="0" borderId="74" xfId="0" applyNumberFormat="1" applyFont="1" applyFill="1" applyBorder="1" applyAlignment="1">
      <alignment horizontal="center" vertical="center"/>
    </xf>
    <xf numFmtId="0" fontId="0" fillId="0" borderId="74" xfId="0" applyBorder="1"/>
    <xf numFmtId="9" fontId="319" fillId="0" borderId="74" xfId="0" applyNumberFormat="1" applyFont="1" applyBorder="1" applyAlignment="1">
      <alignment horizontal="center" vertical="center"/>
    </xf>
    <xf numFmtId="181" fontId="319" fillId="0" borderId="74" xfId="0" applyNumberFormat="1" applyFont="1" applyBorder="1" applyAlignment="1">
      <alignment horizontal="center" vertical="center"/>
    </xf>
    <xf numFmtId="364" fontId="319" fillId="0" borderId="74" xfId="0" applyNumberFormat="1" applyFont="1" applyBorder="1" applyAlignment="1">
      <alignment horizontal="center" vertical="center"/>
    </xf>
    <xf numFmtId="362" fontId="319" fillId="0" borderId="74" xfId="0" applyNumberFormat="1" applyFont="1" applyBorder="1" applyAlignment="1">
      <alignment horizontal="center" vertical="center"/>
    </xf>
    <xf numFmtId="9" fontId="319" fillId="0" borderId="5" xfId="4934" applyFont="1" applyBorder="1" applyAlignment="1">
      <alignment horizontal="center" vertical="center"/>
    </xf>
    <xf numFmtId="362" fontId="0" fillId="0" borderId="0" xfId="0" applyNumberFormat="1"/>
    <xf numFmtId="363" fontId="0" fillId="0" borderId="0" xfId="0" applyNumberFormat="1"/>
    <xf numFmtId="362" fontId="319" fillId="0" borderId="5" xfId="0" applyNumberFormat="1" applyFont="1" applyBorder="1" applyAlignment="1">
      <alignment vertical="center"/>
    </xf>
    <xf numFmtId="362" fontId="319" fillId="0" borderId="74" xfId="0" applyNumberFormat="1" applyFont="1" applyBorder="1" applyAlignment="1">
      <alignment vertical="center"/>
    </xf>
    <xf numFmtId="2" fontId="16" fillId="0" borderId="0" xfId="5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16" fillId="106" borderId="5" xfId="0" applyFont="1" applyFill="1" applyBorder="1" applyAlignment="1">
      <alignment horizontal="center" vertical="center" wrapText="1"/>
    </xf>
    <xf numFmtId="9" fontId="316" fillId="106" borderId="5" xfId="4934" applyFont="1" applyFill="1" applyBorder="1" applyAlignment="1">
      <alignment horizontal="center" vertical="center" wrapText="1"/>
    </xf>
    <xf numFmtId="0" fontId="320" fillId="106" borderId="5" xfId="0" applyFont="1" applyFill="1" applyBorder="1" applyAlignment="1">
      <alignment horizontal="center" vertical="center" wrapText="1"/>
    </xf>
    <xf numFmtId="0" fontId="12" fillId="108" borderId="5" xfId="0" applyFont="1" applyFill="1" applyBorder="1" applyAlignment="1">
      <alignment horizontal="center" vertical="center" wrapText="1"/>
    </xf>
    <xf numFmtId="362" fontId="12" fillId="108" borderId="5" xfId="4933" applyNumberFormat="1" applyFont="1" applyFill="1" applyBorder="1" applyAlignment="1">
      <alignment horizontal="center" vertical="center" wrapText="1"/>
    </xf>
    <xf numFmtId="9" fontId="12" fillId="108" borderId="5" xfId="4934" applyFont="1" applyFill="1" applyBorder="1" applyAlignment="1">
      <alignment horizontal="center" vertical="center" wrapText="1"/>
    </xf>
    <xf numFmtId="44" fontId="12" fillId="108" borderId="5" xfId="493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362" fontId="0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368" fontId="0" fillId="0" borderId="5" xfId="0" applyNumberFormat="1" applyBorder="1" applyAlignment="1">
      <alignment horizontal="center" vertical="center"/>
    </xf>
    <xf numFmtId="2" fontId="0" fillId="0" borderId="5" xfId="2973" applyNumberFormat="1" applyFont="1" applyBorder="1" applyAlignment="1">
      <alignment horizontal="center" vertical="center"/>
    </xf>
    <xf numFmtId="362" fontId="0" fillId="0" borderId="5" xfId="2973" applyNumberFormat="1" applyFont="1" applyFill="1" applyBorder="1" applyAlignment="1">
      <alignment horizontal="center" vertical="center"/>
    </xf>
    <xf numFmtId="362" fontId="0" fillId="0" borderId="5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362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/>
  </cellXfs>
  <cellStyles count="4935">
    <cellStyle name="_x0001_" xfId="58"/>
    <cellStyle name="—" xfId="59"/>
    <cellStyle name="          _x000d__x000a_shell=progman.exe_x000d__x000a_m" xfId="60"/>
    <cellStyle name=" 1" xfId="61"/>
    <cellStyle name=" _x0007_LÓ_x0018_ÄþÍN^NuNVþˆHÁ_x0001__x0018_(n" xfId="62"/>
    <cellStyle name=" Task]_x000d__x000a_TaskName=Scan At_x000d__x000a_TaskID=3_x000d__x000a_WorkstationName=SmarTone_x000d__x000a_LastExecuted=0_x000d__x000a_LastSt" xfId="63"/>
    <cellStyle name="_x000a_386grabber=g" xfId="64"/>
    <cellStyle name="_x000c__x000c__x0001__x0010_" xfId="65"/>
    <cellStyle name="_x000d__x000a_JournalTemplate=C:\COMFO\CTALK\JOURSTD.TPL_x000d__x000a_LbStateAddress=3 3 0 251 1 89 2 311_x000d__x000a_LbStateJou" xfId="66"/>
    <cellStyle name="$" xfId="67"/>
    <cellStyle name="$ &amp; ¢" xfId="68"/>
    <cellStyle name="%" xfId="69"/>
    <cellStyle name="% 2" xfId="70"/>
    <cellStyle name="% 3" xfId="71"/>
    <cellStyle name="% Input" xfId="72"/>
    <cellStyle name="% Presentation" xfId="73"/>
    <cellStyle name="%.00" xfId="74"/>
    <cellStyle name="%_agreements" xfId="75"/>
    <cellStyle name="%_Audit template schedule_LR Sept 2008 (2)" xfId="76"/>
    <cellStyle name="%_BS06-07 KPMG Final 28.09.07 shishirjain_Cash flow" xfId="77"/>
    <cellStyle name="%_BS06-07 KPMG Final_5 Oct 07_dk" xfId="78"/>
    <cellStyle name="%_Databook - RU tables_Industry services - updated JD" xfId="79"/>
    <cellStyle name="%_Databook MASTER_IndustryServices" xfId="80"/>
    <cellStyle name="%_Databook MASTER_IndustryServices0803" xfId="81"/>
    <cellStyle name="%_Draft slides-craft" xfId="82"/>
    <cellStyle name="%_fa" xfId="83"/>
    <cellStyle name="%_Network" xfId="84"/>
    <cellStyle name="%_Personnel" xfId="85"/>
    <cellStyle name="%_RAY Excel Files (Page 1 - 73)" xfId="86"/>
    <cellStyle name="%_related party" xfId="87"/>
    <cellStyle name="%_Schedules" xfId="88"/>
    <cellStyle name="%0" xfId="89"/>
    <cellStyle name="%1" xfId="90"/>
    <cellStyle name="%2" xfId="91"/>
    <cellStyle name="( )" xfId="92"/>
    <cellStyle name="(△콤마)" xfId="93"/>
    <cellStyle name="(1,000)" xfId="94"/>
    <cellStyle name="(1,000)x" xfId="95"/>
    <cellStyle name="(백분율)" xfId="96"/>
    <cellStyle name="(콤마)" xfId="97"/>
    <cellStyle name="******************************************" xfId="98"/>
    <cellStyle name=",." xfId="99"/>
    <cellStyle name="." xfId="100"/>
    <cellStyle name=".00()" xfId="101"/>
    <cellStyle name=".REP.NEW.xlsaӔÌ0]" xfId="102"/>
    <cellStyle name=".xlsaӔÌ0]" xfId="103"/>
    <cellStyle name=";;;" xfId="104"/>
    <cellStyle name="??" xfId="105"/>
    <cellStyle name="?? [0.00]_~0034010_a" xfId="106"/>
    <cellStyle name="?? [0]" xfId="107"/>
    <cellStyle name="??&amp;_x0012_?&amp;_x000b_?_x0008_*_x0007_?_x0007__x0001__x0001_" xfId="108"/>
    <cellStyle name="??&amp;쏗?뷐9_x0008__x0011__x0007_?_x0007__x0001__x0001_" xfId="109"/>
    <cellStyle name="??_x0011_?_x0010_?" xfId="110"/>
    <cellStyle name="???? [0.00]_CMP_per_unitRmar" xfId="111"/>
    <cellStyle name="???????" xfId="112"/>
    <cellStyle name="????????????" xfId="113"/>
    <cellStyle name="???????????? Change1.5.1" xfId="114"/>
    <cellStyle name="????????????????? [0]_Person" xfId="115"/>
    <cellStyle name="??????????????????? [0]_Person" xfId="116"/>
    <cellStyle name="???????????????????_Person" xfId="117"/>
    <cellStyle name="?????????????????_Person" xfId="118"/>
    <cellStyle name="????????????erlinkNNOTEW" xfId="119"/>
    <cellStyle name="????????????nalysission " xfId="120"/>
    <cellStyle name="????????????NOTEWINNOTET" xfId="121"/>
    <cellStyle name="????????????NOTEWINNOTEW" xfId="122"/>
    <cellStyle name="?????????WINNO" xfId="123"/>
    <cellStyle name="????????ﾀWINNO" xfId="124"/>
    <cellStyle name="???????_~0034010deasisr" xfId="125"/>
    <cellStyle name="???????IT COST" xfId="126"/>
    <cellStyle name="???????nkHyper" xfId="127"/>
    <cellStyle name="???????ructure" xfId="128"/>
    <cellStyle name="?????_VERA" xfId="129"/>
    <cellStyle name="????_CMP_per_unit_UK_" xfId="130"/>
    <cellStyle name="???[0]_Book1" xfId="131"/>
    <cellStyle name="???_???" xfId="132"/>
    <cellStyle name="???F [0.00]_~0034010_ana" xfId="133"/>
    <cellStyle name="???F_~0034010_ana" xfId="134"/>
    <cellStyle name="???ｷｷ???????nalysission " xfId="135"/>
    <cellStyle name="??_ Variance Costel" xfId="136"/>
    <cellStyle name="??a??e [0.00]_Book1yss" xfId="137"/>
    <cellStyle name="??a??e_Book1]_s" xfId="138"/>
    <cellStyle name="???_ArticleMacro" xfId="139"/>
    <cellStyle name="?]Y [0.00]_Book1liG" xfId="140"/>
    <cellStyle name="?]Y_Book1]_s" xfId="141"/>
    <cellStyle name="?・a??e [0.00]_Book1ys" xfId="142"/>
    <cellStyle name="?・a??e_Book1]_" xfId="143"/>
    <cellStyle name="?…?a唇?e_laroux" xfId="144"/>
    <cellStyle name="?W?_Book1r" xfId="145"/>
    <cellStyle name="?W・_?\?Z" xfId="146"/>
    <cellStyle name="?Wｷ_Book1r" xfId="147"/>
    <cellStyle name="?W準_?}?E-1001" xfId="148"/>
    <cellStyle name="?ｷa??e [0.00]_Book1yss" xfId="149"/>
    <cellStyle name="?ｷa??e_Book1]_s" xfId="150"/>
    <cellStyle name="?_ArticleMacro" xfId="151"/>
    <cellStyle name="\" xfId="152"/>
    <cellStyle name="]_x000d__x000a_Zoomed=1_x000d__x000a_Row=0_x000d__x000a_Column=0_x000d__x000a_Height=0_x000d__x000a_Width=0_x000d__x000a_FontName=FoxFont_x000d__x000a_FontStyle=0_x000d__x000a_FontSize=9_x000d__x000a_PrtFontName=FoxPrin" xfId="153"/>
    <cellStyle name="_`Loan Repayment Schedule-20040630" xfId="154"/>
    <cellStyle name="_`Loan Repayment Schedule-20040630_FBT &amp; Amortisation" xfId="155"/>
    <cellStyle name="_`Loan Repayment Schedule-20040630_P&amp;L Expanded" xfId="156"/>
    <cellStyle name="_`Loan Repayment Schedule-20040630_P&amp;L Expanded March" xfId="157"/>
    <cellStyle name="_`Loan Repayment Schedule-20040630_Personnel" xfId="158"/>
    <cellStyle name="_`Loan Repayment Schedule-20040630_S&amp;D and Marketing" xfId="159"/>
    <cellStyle name="_`Loan Repayment Schedule-20040630_Service Model" xfId="160"/>
    <cellStyle name="_`Loan Repayment Schedule-20040630_South F&amp;F" xfId="161"/>
    <cellStyle name="_`Loan Repayment Schedule-20040630_Subs Model" xfId="162"/>
    <cellStyle name="_~0193880" xfId="163"/>
    <cellStyle name="_~0501302" xfId="164"/>
    <cellStyle name="_~0843662" xfId="165"/>
    <cellStyle name="_~0843662_FBT &amp; Amortisation" xfId="166"/>
    <cellStyle name="_~0843662_Network" xfId="167"/>
    <cellStyle name="_~0843662_P&amp;L Expanded" xfId="168"/>
    <cellStyle name="_~0843662_P&amp;L Expanded March" xfId="169"/>
    <cellStyle name="_~0843662_Personnel" xfId="170"/>
    <cellStyle name="_~0843662_S&amp;D and Marketing" xfId="171"/>
    <cellStyle name="_~0843662_Service Model" xfId="172"/>
    <cellStyle name="_~0843662_South F&amp;F" xfId="173"/>
    <cellStyle name="_~0843662_Subs Model" xfId="174"/>
    <cellStyle name="_~1191472" xfId="175"/>
    <cellStyle name="_~1441301" xfId="176"/>
    <cellStyle name="_~1746348" xfId="177"/>
    <cellStyle name="_~1746348_Audit template schedule_LR Sept 2008 (2)" xfId="178"/>
    <cellStyle name="_~3128996" xfId="179"/>
    <cellStyle name="_~3128996_Audit template schedule_LR Sept 2008 (2)" xfId="180"/>
    <cellStyle name="_~3589388" xfId="181"/>
    <cellStyle name="_~3589388_FBT &amp; Amortisation" xfId="182"/>
    <cellStyle name="_~3589388_P&amp;L Expanded" xfId="183"/>
    <cellStyle name="_~3589388_P&amp;L Expanded March" xfId="184"/>
    <cellStyle name="_~3589388_Personnel" xfId="185"/>
    <cellStyle name="_~3589388_S&amp;D and Marketing" xfId="186"/>
    <cellStyle name="_~3589388_Service Model" xfId="187"/>
    <cellStyle name="_~3589388_South F&amp;F" xfId="188"/>
    <cellStyle name="_~3589388_Subs Model" xfId="189"/>
    <cellStyle name="_~4092217" xfId="190"/>
    <cellStyle name="_~4752675" xfId="191"/>
    <cellStyle name="_~4752675_FBT &amp; Amortisation" xfId="192"/>
    <cellStyle name="_~4752675_Network" xfId="193"/>
    <cellStyle name="_~4752675_P&amp;L Expanded" xfId="194"/>
    <cellStyle name="_~4752675_P&amp;L Expanded March" xfId="195"/>
    <cellStyle name="_~4752675_Personnel" xfId="196"/>
    <cellStyle name="_~4752675_S&amp;D and Marketing" xfId="197"/>
    <cellStyle name="_~4752675_Service Model" xfId="198"/>
    <cellStyle name="_~4752675_South F&amp;F" xfId="199"/>
    <cellStyle name="_~4752675_Subs Model" xfId="200"/>
    <cellStyle name="_~4846791" xfId="201"/>
    <cellStyle name="_~4846791_FBT &amp; Amortisation" xfId="202"/>
    <cellStyle name="_~4846791_Network" xfId="203"/>
    <cellStyle name="_~4846791_P&amp;L Expanded" xfId="204"/>
    <cellStyle name="_~4846791_P&amp;L Expanded March" xfId="205"/>
    <cellStyle name="_~4846791_Personnel" xfId="206"/>
    <cellStyle name="_~4846791_S&amp;D and Marketing" xfId="207"/>
    <cellStyle name="_~4846791_Service Model" xfId="208"/>
    <cellStyle name="_~4846791_South F&amp;F" xfId="209"/>
    <cellStyle name="_~4846791_Subs Model" xfId="210"/>
    <cellStyle name="_~6023132" xfId="211"/>
    <cellStyle name="_~6023132_FBT &amp; Amortisation" xfId="212"/>
    <cellStyle name="_~6023132_Network" xfId="213"/>
    <cellStyle name="_~6023132_P&amp;L Expanded" xfId="214"/>
    <cellStyle name="_~6023132_P&amp;L Expanded March" xfId="215"/>
    <cellStyle name="_~6023132_Personnel" xfId="216"/>
    <cellStyle name="_~6023132_S&amp;D and Marketing" xfId="217"/>
    <cellStyle name="_~6023132_Service Model" xfId="218"/>
    <cellStyle name="_~6023132_South F&amp;F" xfId="219"/>
    <cellStyle name="_~6023132_Subs Model" xfId="220"/>
    <cellStyle name="_~6820144" xfId="221"/>
    <cellStyle name="_~7690850" xfId="222"/>
    <cellStyle name="_~7699116" xfId="223"/>
    <cellStyle name="_~7788527" xfId="224"/>
    <cellStyle name="_~7788527_Schedule Template_Limited Review" xfId="225"/>
    <cellStyle name="_~7983264" xfId="226"/>
    <cellStyle name="_~7983264_FBT &amp; Amortisation" xfId="227"/>
    <cellStyle name="_~7983264_Network" xfId="228"/>
    <cellStyle name="_~7983264_P&amp;L Expanded" xfId="229"/>
    <cellStyle name="_~7983264_P&amp;L Expanded March" xfId="230"/>
    <cellStyle name="_~7983264_Personnel" xfId="231"/>
    <cellStyle name="_~7983264_S&amp;D and Marketing" xfId="232"/>
    <cellStyle name="_~7983264_Service Model" xfId="233"/>
    <cellStyle name="_~7983264_South F&amp;F" xfId="234"/>
    <cellStyle name="_~7983264_Subs Model" xfId="235"/>
    <cellStyle name="_~8088160" xfId="236"/>
    <cellStyle name="_~8122113" xfId="237"/>
    <cellStyle name="_~8122113_FBT &amp; Amortisation" xfId="238"/>
    <cellStyle name="_~8122113_P&amp;L Expanded" xfId="239"/>
    <cellStyle name="_~8122113_P&amp;L Expanded March" xfId="240"/>
    <cellStyle name="_~8122113_Personnel" xfId="241"/>
    <cellStyle name="_~8122113_S&amp;D and Marketing" xfId="242"/>
    <cellStyle name="_~8122113_Service Model" xfId="243"/>
    <cellStyle name="_~8122113_South F&amp;F" xfId="244"/>
    <cellStyle name="_~8122113_Subs Model" xfId="245"/>
    <cellStyle name="_~8614307" xfId="246"/>
    <cellStyle name="_~8614307_FBT &amp; Amortisation" xfId="247"/>
    <cellStyle name="_~8614307_Network" xfId="248"/>
    <cellStyle name="_~8614307_P&amp;L Expanded" xfId="249"/>
    <cellStyle name="_~8614307_P&amp;L Expanded March" xfId="250"/>
    <cellStyle name="_~8614307_Personnel" xfId="251"/>
    <cellStyle name="_~8614307_S&amp;D and Marketing" xfId="252"/>
    <cellStyle name="_~8614307_Service Model" xfId="253"/>
    <cellStyle name="_~8614307_South F&amp;F" xfId="254"/>
    <cellStyle name="_~8614307_Subs Model" xfId="255"/>
    <cellStyle name="_~8688173" xfId="256"/>
    <cellStyle name="_~8691318" xfId="257"/>
    <cellStyle name="_~8691318_FBT &amp; Amortisation" xfId="258"/>
    <cellStyle name="_~8691318_P&amp;L Expanded" xfId="259"/>
    <cellStyle name="_~8691318_P&amp;L Expanded March" xfId="260"/>
    <cellStyle name="_~8772010" xfId="261"/>
    <cellStyle name="_~8791523" xfId="262"/>
    <cellStyle name="_~8791523_Schedule Template_Limited Review" xfId="263"/>
    <cellStyle name="_~8927394" xfId="264"/>
    <cellStyle name="_~8977072" xfId="265"/>
    <cellStyle name="_~8977072_FBT &amp; Amortisation" xfId="266"/>
    <cellStyle name="_~8977072_Network" xfId="267"/>
    <cellStyle name="_~8977072_P&amp;L Expanded" xfId="268"/>
    <cellStyle name="_~8977072_P&amp;L Expanded March" xfId="269"/>
    <cellStyle name="_~8977072_Personnel" xfId="270"/>
    <cellStyle name="_~8977072_S&amp;D and Marketing" xfId="271"/>
    <cellStyle name="_~8977072_Service Model" xfId="272"/>
    <cellStyle name="_~8977072_South F&amp;F" xfId="273"/>
    <cellStyle name="_~8977072_Subs Model" xfId="274"/>
    <cellStyle name="_~9058467" xfId="275"/>
    <cellStyle name="_~9162171" xfId="276"/>
    <cellStyle name="_~9636871" xfId="277"/>
    <cellStyle name="_~9842362" xfId="278"/>
    <cellStyle name="_~9861183" xfId="279"/>
    <cellStyle name="_01 BRS SUNDICATE BANK PLATINUM ACCT AS ON 30.09.09" xfId="280"/>
    <cellStyle name="_01-300909 AR ENT" xfId="281"/>
    <cellStyle name="_02 SYNDICATE BANK AS ON 31.07.09" xfId="282"/>
    <cellStyle name="_03 BRS UTI BANK AS ON 30.06.09" xfId="283"/>
    <cellStyle name="_04 BRS UTI BANK AS ON 31.07.09" xfId="284"/>
    <cellStyle name="_090219TIR再FS用台数" xfId="285"/>
    <cellStyle name="_090331　取締役会　売上設定明細" xfId="286"/>
    <cellStyle name="_090402 08出荷実績" xfId="287"/>
    <cellStyle name="_09-2-19　11：50 TIR再FS用売上計画" xfId="288"/>
    <cellStyle name="_09-2-6　13：35 TIR再FS用売上計画 FKM-CIM1.3" xfId="289"/>
    <cellStyle name="_10 A Working Final_23.05.07" xfId="290"/>
    <cellStyle name="_1-Notes to accounts" xfId="291"/>
    <cellStyle name="_2.Raj P&amp;M mar-04" xfId="292"/>
    <cellStyle name="_2007-08 Actual Sch - ICS" xfId="293"/>
    <cellStyle name="_2009月別売上計画" xfId="294"/>
    <cellStyle name="_210668" xfId="295"/>
    <cellStyle name="_210669" xfId="296"/>
    <cellStyle name="_210671" xfId="297"/>
    <cellStyle name="_210672" xfId="298"/>
    <cellStyle name="_210673" xfId="299"/>
    <cellStyle name="_210674" xfId="300"/>
    <cellStyle name="_210675" xfId="301"/>
    <cellStyle name="_210676" xfId="302"/>
    <cellStyle name="_210678" xfId="303"/>
    <cellStyle name="_210679" xfId="304"/>
    <cellStyle name="_210685" xfId="305"/>
    <cellStyle name="_210687" xfId="306"/>
    <cellStyle name="_210715" xfId="307"/>
    <cellStyle name="_210807" xfId="308"/>
    <cellStyle name="_210808 brs dec-06" xfId="309"/>
    <cellStyle name="_210808 GTB oct-06" xfId="310"/>
    <cellStyle name="_2231B Financials 30-June-05 from Mumbai xls- (FINAL)" xfId="311"/>
    <cellStyle name="_3-13TIR再建-営業添付資料" xfId="312"/>
    <cellStyle name="_3-13TIR再建-営業資料その３" xfId="313"/>
    <cellStyle name="_3152 March-06 Reconciliation" xfId="314"/>
    <cellStyle name="_322900 upto mar041" xfId="315"/>
    <cellStyle name="_3550-Activation Fees" xfId="316"/>
    <cellStyle name="_3550-Activation Fees_Audit template schedule_LR Sept 2008 (2)" xfId="317"/>
    <cellStyle name="_3CD ANNEX A Y 2009-2010" xfId="318"/>
    <cellStyle name="_3CD ANNEXURE finalp" xfId="319"/>
    <cellStyle name="_3CD Annexures consolidated updated Mar 07" xfId="320"/>
    <cellStyle name="_3CD Checks" xfId="321"/>
    <cellStyle name="_3CD consol UP unit March 2006 Final" xfId="322"/>
    <cellStyle name="_3CD Excel annexures" xfId="323"/>
    <cellStyle name="_4-Fixed Deposit Details_31.12.06" xfId="324"/>
    <cellStyle name="_5 MAJOR DRS AND CRS  APRIL-05" xfId="325"/>
    <cellStyle name="_5 MAJOR DRS AND CRS Mar-05" xfId="326"/>
    <cellStyle name="_52102 DEPOSIT WITH ELECTRICITY BOARD" xfId="327"/>
    <cellStyle name="_52103 RENT DEPOSIT" xfId="328"/>
    <cellStyle name="_52108 OTHER DEPOSIT" xfId="329"/>
    <cellStyle name="_5631 Depriciation 31.12.2006(WDV)" xfId="330"/>
    <cellStyle name="_6243 Provident fund final" xfId="331"/>
    <cellStyle name="_6244A TDS - March 07" xfId="332"/>
    <cellStyle name="_6431 PC Advance Tax" xfId="333"/>
    <cellStyle name="_8751 Dep as per I Tax Act 2007-08" xfId="334"/>
    <cellStyle name="_9001 LG Sys Open Items" xfId="335"/>
    <cellStyle name="_9-Fixed Deposit and interest 30 06 07" xfId="336"/>
    <cellStyle name="_9-Fixed Deposit Details_31 12 06" xfId="337"/>
    <cellStyle name="_9-N-Fixed Deposit Details_31 12 06" xfId="338"/>
    <cellStyle name="_9thFeb_1350_capex model" xfId="339"/>
    <cellStyle name="_ABIRM Financials-March'06_17.10.2006" xfId="340"/>
    <cellStyle name="_ABIRM Financials-March'06_25.10.2006 - Final" xfId="341"/>
    <cellStyle name="_ABIRM Financials-March'06_Draft" xfId="342"/>
    <cellStyle name="_ABIRM Financials-March'07_26_07_07" xfId="343"/>
    <cellStyle name="_ABN  Asset Register final" xfId="344"/>
    <cellStyle name="_Acam Financials-Mar 06" xfId="345"/>
    <cellStyle name="_Acam Financials-Mar 06_Final" xfId="346"/>
    <cellStyle name="_Access Charges - Unit wise Feb 04" xfId="347"/>
    <cellStyle name="_Access Charges - Unit wise Feb 04_FBT &amp; Amortisation" xfId="348"/>
    <cellStyle name="_Access Charges - Unit wise Feb 04_Network" xfId="349"/>
    <cellStyle name="_Access Charges - Unit wise Feb 04_P&amp;L Expanded" xfId="350"/>
    <cellStyle name="_Access Charges - Unit wise Feb 04_P&amp;L Expanded March" xfId="351"/>
    <cellStyle name="_Access Charges - Unit wise Feb 04_Personnel" xfId="352"/>
    <cellStyle name="_Access Charges - Unit wise Feb 04_S&amp;D and Marketing" xfId="353"/>
    <cellStyle name="_Access Charges - Unit wise Feb 04_Service Model" xfId="354"/>
    <cellStyle name="_Access Charges - Unit wise Feb 04_South F&amp;F" xfId="355"/>
    <cellStyle name="_Access Charges - Unit wise Feb 04_Subs Model" xfId="356"/>
    <cellStyle name="_Access Charges Infotel" xfId="357"/>
    <cellStyle name="_Access Charges Infotel_FBT &amp; Amortisation" xfId="358"/>
    <cellStyle name="_Access Charges Infotel_P&amp;L Expanded" xfId="359"/>
    <cellStyle name="_Access Charges Infotel_P&amp;L Expanded March" xfId="360"/>
    <cellStyle name="_Access Charges Mobility" xfId="361"/>
    <cellStyle name="_Access Charges Mobility_FBT &amp; Amortisation" xfId="362"/>
    <cellStyle name="_Access Charges Mobility_P&amp;L Expanded" xfId="363"/>
    <cellStyle name="_Access Charges Mobility_P&amp;L Expanded March" xfId="364"/>
    <cellStyle name="_Access Consol MAPA Nov 05" xfId="365"/>
    <cellStyle name="_Access Consol MAPA Nov 05_FBT &amp; Amortisation" xfId="366"/>
    <cellStyle name="_Access Consol MAPA Nov 05_P&amp;L Expanded" xfId="367"/>
    <cellStyle name="_Access Consol MAPA Nov 05_P&amp;L Expanded March" xfId="368"/>
    <cellStyle name="_Access Consol MAPA Nov 05_Personnel" xfId="369"/>
    <cellStyle name="_Access Consol MAPA Nov 05_S&amp;D and Marketing" xfId="370"/>
    <cellStyle name="_Access Consol MAPA Nov 05_Service Model" xfId="371"/>
    <cellStyle name="_Access Consol MAPA Nov 05_South F&amp;F" xfId="372"/>
    <cellStyle name="_Access Consol MAPA Nov 05_Subs Model" xfId="373"/>
    <cellStyle name="_Access KPI_Nov 04" xfId="374"/>
    <cellStyle name="_Access KPI_Nov 04_FBT &amp; Amortisation" xfId="375"/>
    <cellStyle name="_Access KPI_Nov 04_Network" xfId="376"/>
    <cellStyle name="_Access KPI_Nov 04_P&amp;L Expanded" xfId="377"/>
    <cellStyle name="_Access KPI_Nov 04_P&amp;L Expanded March" xfId="378"/>
    <cellStyle name="_Access KPI_Nov 04_Personnel" xfId="379"/>
    <cellStyle name="_Access KPI_Nov 04_S&amp;D and Marketing" xfId="380"/>
    <cellStyle name="_Access KPI_Nov 04_Service Model" xfId="381"/>
    <cellStyle name="_Access KPI_Nov 04_South F&amp;F" xfId="382"/>
    <cellStyle name="_Access KPI_Nov 04_Subs Model" xfId="383"/>
    <cellStyle name="_ACCESS MAPA Format" xfId="384"/>
    <cellStyle name="_ACCESS MAPA Format_FBT &amp; Amortisation" xfId="385"/>
    <cellStyle name="_ACCESS MAPA Format_P&amp;L Expanded" xfId="386"/>
    <cellStyle name="_ACCESS MAPA Format_P&amp;L Expanded March" xfId="387"/>
    <cellStyle name="_ACCESS MAPA Format_Personnel" xfId="388"/>
    <cellStyle name="_ACCESS MAPA Format_S&amp;D and Marketing" xfId="389"/>
    <cellStyle name="_ACCESS MAPA Format_Service Model" xfId="390"/>
    <cellStyle name="_ACCESS MAPA Format_South F&amp;F" xfId="391"/>
    <cellStyle name="_ACCESS MAPA Format_Subs Model" xfId="392"/>
    <cellStyle name="_Access Sinlge Page Review Mar" xfId="393"/>
    <cellStyle name="_Access Unit Budget format" xfId="394"/>
    <cellStyle name="_Access_UP East_FBT_Mar 06" xfId="395"/>
    <cellStyle name="_Access_UP East_FBT_Mar 06_FBT &amp; Amortisation" xfId="396"/>
    <cellStyle name="_Access_UP East_FBT_Mar 06_P&amp;L Expanded" xfId="397"/>
    <cellStyle name="_Access_UP East_FBT_Mar 06_P&amp;L Expanded March" xfId="398"/>
    <cellStyle name="_Access_UP East_FBT_Mar 06_Personnel" xfId="399"/>
    <cellStyle name="_Access_UP East_FBT_Mar 06_S&amp;D and Marketing" xfId="400"/>
    <cellStyle name="_Access_UP East_FBT_Mar 06_Service Model" xfId="401"/>
    <cellStyle name="_Access_UP East_FBT_Mar 06_South F&amp;F" xfId="402"/>
    <cellStyle name="_Access_UP East_FBT_Mar 06_Subs Model" xfId="403"/>
    <cellStyle name="_Accounts 2005" xfId="404"/>
    <cellStyle name="_Accounts- 2006-DHS" xfId="405"/>
    <cellStyle name="_Accounts- 2006-DHS_20090417_BSPL Control Pack 31 03 2009" xfId="406"/>
    <cellStyle name="_Accounts- 2006-DHS_Cash Flow Statement_310309" xfId="407"/>
    <cellStyle name="_Accounts- 2006-DHS_Financials Nikon March 2008" xfId="408"/>
    <cellStyle name="_Accounts- 2006-DHS_Nikon Financials_170409" xfId="409"/>
    <cellStyle name="_Accounts- 2006-DHS_NIKON FINANCIALS_2008-09_AUTOMATED" xfId="410"/>
    <cellStyle name="_Accounts- 2006-DHS_Nikon Financials_Final" xfId="411"/>
    <cellStyle name="_Acquisition expenses" xfId="412"/>
    <cellStyle name="_ADC Payable_NLD" xfId="413"/>
    <cellStyle name="_ADC Payable_NLD_Audit template schedule_LR Sept 2008 (2)" xfId="414"/>
    <cellStyle name="_Additions 2005-06" xfId="415"/>
    <cellStyle name="_ADIL_Finance Lease Details-Console" xfId="416"/>
    <cellStyle name="_Admin Budget 05-06-24" xfId="417"/>
    <cellStyle name="_Advance Rental" xfId="418"/>
    <cellStyle name="_AES - BTVL Format - Mar'07 Revised" xfId="419"/>
    <cellStyle name="_AES Corporates  KPI Aug06 F&amp;F" xfId="420"/>
    <cellStyle name="_AES F&amp;F Review - Dec 06- Template" xfId="421"/>
    <cellStyle name="_AES F&amp;F Review - Nov 06- Template" xfId="422"/>
    <cellStyle name="_AES F&amp;F Review - Oct 06- Template" xfId="423"/>
    <cellStyle name="_Ageing  April-05" xfId="424"/>
    <cellStyle name="_Ageing  June-05" xfId="425"/>
    <cellStyle name="_Ageing  Mar-05" xfId="426"/>
    <cellStyle name="_Ageing  May-05" xfId="427"/>
    <cellStyle name="_Ageing Party Wise top 10 Haryana MAR-05" xfId="428"/>
    <cellStyle name="_Aging as on 29-2-04" xfId="429"/>
    <cellStyle name="_Aging as on 29-2-04_Audit template schedule_LR Sept 2008 (2)" xfId="430"/>
    <cellStyle name="_AGR_Audit fee_AOP_2007-08" xfId="431"/>
    <cellStyle name="_All BRS March 06" xfId="432"/>
    <cellStyle name="_Allocated TB MFAL M08 - 30.05.08" xfId="433"/>
    <cellStyle name="_Allocation" xfId="434"/>
    <cellStyle name="_Alt5" xfId="435"/>
    <cellStyle name="_Alt5_Financial Model -v19" xfId="436"/>
    <cellStyle name="_Alt5_Financial Model -v20" xfId="437"/>
    <cellStyle name="_Alt5_Financial Model -v37" xfId="438"/>
    <cellStyle name="_Ann.X" xfId="439"/>
    <cellStyle name="_Ann.XI" xfId="440"/>
    <cellStyle name="_Ann.XII" xfId="441"/>
    <cellStyle name="_Annex" xfId="442"/>
    <cellStyle name="_Annex C" xfId="443"/>
    <cellStyle name="_Annex F" xfId="444"/>
    <cellStyle name="_Annex II" xfId="445"/>
    <cellStyle name="_Annex Q" xfId="446"/>
    <cellStyle name="_Annexure - workings MAR04" xfId="447"/>
    <cellStyle name="_Annexure 1 - Fin performance" xfId="448"/>
    <cellStyle name="_AOP Compare" xfId="449"/>
    <cellStyle name="_AOP Downstream 1" xfId="450"/>
    <cellStyle name="_AOP_D&amp;T_1.0_APO" xfId="451"/>
    <cellStyle name="_Apax_India_FBT_F.Y. 2007-08_Final_Revised_05_05_08" xfId="452"/>
    <cellStyle name="_APAX_India_FBT_F.Y.2007-08" xfId="453"/>
    <cellStyle name="_APAX_India_Fianancial_Reporting_Q4_Jan 08 to Mar 08" xfId="454"/>
    <cellStyle name="_APAX_Mar 08_Financial_Final_06_07_08_v1" xfId="455"/>
    <cellStyle name="_APAX_Mar07_ Revised_June_16_07( Period 13 entires)" xfId="456"/>
    <cellStyle name="_APAX_Mar07_Revised_Apr_07_07" xfId="457"/>
    <cellStyle name="_APR 09 RECO" xfId="458"/>
    <cellStyle name="_Apr-Fen 04" xfId="459"/>
    <cellStyle name="_Apr-Fen 04_FBT &amp; Amortisation" xfId="460"/>
    <cellStyle name="_Apr-Fen 04_Network" xfId="461"/>
    <cellStyle name="_Apr-Fen 04_P&amp;L Expanded" xfId="462"/>
    <cellStyle name="_Apr-Fen 04_P&amp;L Expanded March" xfId="463"/>
    <cellStyle name="_Apr-Fen 04_Personnel" xfId="464"/>
    <cellStyle name="_Apr-Fen 04_S&amp;D and Marketing" xfId="465"/>
    <cellStyle name="_Apr-Fen 04_Service Model" xfId="466"/>
    <cellStyle name="_Apr-Fen 04_South F&amp;F" xfId="467"/>
    <cellStyle name="_Apr-Fen 04_Subs Model" xfId="468"/>
    <cellStyle name="_April'07" xfId="469"/>
    <cellStyle name="_April'07_Consolidated  BS August'07" xfId="470"/>
    <cellStyle name="_April'07_ILS BS Aug'07" xfId="471"/>
    <cellStyle name="_ARO Old  New sites Lease life UPE" xfId="472"/>
    <cellStyle name="_asia pacific Global P  Ls (3)" xfId="473"/>
    <cellStyle name="_AS-ROAMING -SEP04-RAJ" xfId="474"/>
    <cellStyle name="_Asset less than 5000" xfId="475"/>
    <cellStyle name="_ATPL BS FINAL" xfId="476"/>
    <cellStyle name="_Attachment - I Interest expense and accrual" xfId="477"/>
    <cellStyle name="_Attachment I - Exchange variation" xfId="478"/>
    <cellStyle name="_Audit" xfId="479"/>
    <cellStyle name="_Audit- 05-06" xfId="480"/>
    <cellStyle name="_Audit- 05-06_Schedule Template_Limited Review" xfId="481"/>
    <cellStyle name="_aUDIT INSTA AS ON 30NOV'" xfId="482"/>
    <cellStyle name="_aUDIT INSTA AS ON 30NOV'_Audit template schedule_LR Sept 2008 (2)" xfId="483"/>
    <cellStyle name="_Audit_Schedule Template_Limited Review" xfId="484"/>
    <cellStyle name="_AUG 09 RECO-21614" xfId="485"/>
    <cellStyle name="_AUG 09 RECO-930" xfId="486"/>
    <cellStyle name="_AUG 09 RECO-Corp 46000 b" xfId="487"/>
    <cellStyle name="_Aug-04 Projected Revenue" xfId="488"/>
    <cellStyle name="_Axis 44081 Oct 09" xfId="489"/>
    <cellStyle name="_Axis Bank 44081 16 dec 2009" xfId="490"/>
    <cellStyle name="_Axis Bank 44081 25 Nov 09" xfId="491"/>
    <cellStyle name="_Axis Bank 44091 upto 251109" xfId="492"/>
    <cellStyle name="_Axis Bank 44091 upto 301109" xfId="493"/>
    <cellStyle name="_Axis Bank 44091of 16th Dec 09" xfId="494"/>
    <cellStyle name="_Axix 44091 upto 311009" xfId="495"/>
    <cellStyle name="_B&amp;T Consol" xfId="496"/>
    <cellStyle name="_B&amp;T Consol F&amp;F July06" xfId="497"/>
    <cellStyle name="_B&amp;T Consol HC Aug" xfId="498"/>
    <cellStyle name="_B&amp;T F&amp;F Aug 06" xfId="499"/>
    <cellStyle name="_B&amp;T F&amp;F Corp+HC Aug 06" xfId="500"/>
    <cellStyle name="_B&amp;T Flash Oct'06" xfId="501"/>
    <cellStyle name="_B&amp;T Flash Submission_Nov'06" xfId="502"/>
    <cellStyle name="_B&amp;T HC Sept" xfId="503"/>
    <cellStyle name="_B&amp;T Submission - F&amp;F Dec 06" xfId="504"/>
    <cellStyle name="_B&amp;T Summary Analysis" xfId="505"/>
    <cellStyle name="_B&amp;THQ Aug 06" xfId="506"/>
    <cellStyle name="_Bal Sheet" xfId="507"/>
    <cellStyle name="_Balance Sheet as at 31 03 08 WITH NEW (F)" xfId="508"/>
    <cellStyle name="_Balance Sheet Jun-05-Final Cut-in Millions-Formated" xfId="509"/>
    <cellStyle name="_Balance Sheet_Draft_19.3" xfId="510"/>
    <cellStyle name="_Bank Reco corpn, axis 44091,44081" xfId="511"/>
    <cellStyle name="_Basis For Prov Cap" xfId="512"/>
    <cellStyle name="_BB MIS AS OF 290904 VERSION 5" xfId="513"/>
    <cellStyle name="_BBNL IRU Details Dec'04" xfId="514"/>
    <cellStyle name="_BBNL IRU Details Dec'04_Schedule Template_Limited Review" xfId="515"/>
    <cellStyle name="_BBNL IRU Details Jan'05" xfId="516"/>
    <cellStyle name="_BBNL IRU Details Jan'05_Schedule Template_Limited Review" xfId="517"/>
    <cellStyle name="_BBNL IRU Details Oct'04" xfId="518"/>
    <cellStyle name="_BCL Sep-05" xfId="519"/>
    <cellStyle name="_BCL_Delhi_June'04_Addl.Info chetan -bhushan" xfId="520"/>
    <cellStyle name="_BG Commission Provision" xfId="521"/>
    <cellStyle name="_BG Commission Provision_FBT &amp; Amortisation" xfId="522"/>
    <cellStyle name="_BG Commission Provision_Network" xfId="523"/>
    <cellStyle name="_BG Commission Provision_P&amp;L Expanded" xfId="524"/>
    <cellStyle name="_BG Commission Provision_P&amp;L Expanded March" xfId="525"/>
    <cellStyle name="_BG Commission Provision_Personnel" xfId="526"/>
    <cellStyle name="_BG Commission Provision_S&amp;D and Marketing" xfId="527"/>
    <cellStyle name="_BG Commission Provision_Service Model" xfId="528"/>
    <cellStyle name="_BG Commission Provision_South F&amp;F" xfId="529"/>
    <cellStyle name="_BG Commission Provision_Subs Model" xfId="530"/>
    <cellStyle name="_Bkt_Wise_Provision_Dec ' 05" xfId="531"/>
    <cellStyle name="_Bkt_Wise_Provision_Dec ' 05_FBT &amp; Amortisation" xfId="532"/>
    <cellStyle name="_Bkt_Wise_Provision_Dec ' 05_Network" xfId="533"/>
    <cellStyle name="_Bkt_Wise_Provision_Dec ' 05_P&amp;L Expanded" xfId="534"/>
    <cellStyle name="_Bkt_Wise_Provision_Dec ' 05_P&amp;L Expanded March" xfId="535"/>
    <cellStyle name="_Bkt_Wise_Provision_Dec ' 05_Personnel" xfId="536"/>
    <cellStyle name="_Bkt_Wise_Provision_Dec ' 05_S&amp;D and Marketing" xfId="537"/>
    <cellStyle name="_Bkt_Wise_Provision_Dec ' 05_Service Model" xfId="538"/>
    <cellStyle name="_Bkt_Wise_Provision_Dec ' 05_South F&amp;F" xfId="539"/>
    <cellStyle name="_Bkt_Wise_Provision_Dec ' 05_Subs Model" xfId="540"/>
    <cellStyle name="_Book1" xfId="541"/>
    <cellStyle name="_Book1 (4)" xfId="542"/>
    <cellStyle name="_Book1_~0193880" xfId="543"/>
    <cellStyle name="_Book1_1" xfId="544"/>
    <cellStyle name="_Book1_Copy of Volume Split - FY 2009-10" xfId="545"/>
    <cellStyle name="_Book1_Escorts Amritsar - Nov'09 Concall" xfId="546"/>
    <cellStyle name="_Book1_MMS FHsL_BS_As_At_28_02_2010" xfId="547"/>
    <cellStyle name="_Book15" xfId="548"/>
    <cellStyle name="_Book17" xfId="549"/>
    <cellStyle name="_Book2" xfId="550"/>
    <cellStyle name="—_Book2" xfId="551"/>
    <cellStyle name="_Book2 (2)" xfId="552"/>
    <cellStyle name="_Book2_1" xfId="553"/>
    <cellStyle name="_Book2_Copy of Data Gathering Format-03-04  HARYANA final" xfId="554"/>
    <cellStyle name="—_Book2_Financial Model -v19" xfId="555"/>
    <cellStyle name="—_Book2_Financial Model -v20" xfId="556"/>
    <cellStyle name="—_Book2_Financial Model -v37" xfId="557"/>
    <cellStyle name="—_Book2_Mobile_demographics" xfId="558"/>
    <cellStyle name="_Book2_Pf  ESI  Supernnuation" xfId="559"/>
    <cellStyle name="_Book3" xfId="560"/>
    <cellStyle name="_Book3 (4)" xfId="561"/>
    <cellStyle name="_Book4" xfId="562"/>
    <cellStyle name="_Book4 (2)" xfId="563"/>
    <cellStyle name="_Book5" xfId="564"/>
    <cellStyle name="_Book7" xfId="565"/>
    <cellStyle name="_BPA 17Jan" xfId="566"/>
    <cellStyle name="_Break Down of Fixed Assets for CAS-May 05" xfId="567"/>
    <cellStyle name="_Broadband Circlewise Annualised Revenue Report without NHQ as on 310804" xfId="568"/>
    <cellStyle name="_Broadband Circlewise August MTD without NHQ as on 310804" xfId="569"/>
    <cellStyle name="_Broadband Circlewise Oct MTD without NHQ as on 081004" xfId="570"/>
    <cellStyle name="_Broadband Circlewise Oct MTD without NHQ as on 151004" xfId="571"/>
    <cellStyle name="_Broadband circlewise revenue(YTD) without NHQ as on 081004" xfId="572"/>
    <cellStyle name="_Broadband circlewise revenue(YTD) without NHQ as on 100904" xfId="573"/>
    <cellStyle name="_Broadband circlewise revenue(YTD) without NHQ as on 150904" xfId="574"/>
    <cellStyle name="_Broadband circlewise revenue(YTD) without NHQ as on 151004" xfId="575"/>
    <cellStyle name="_Broadband circlewise revenue(YTD) without NHQ as on 310804" xfId="576"/>
    <cellStyle name="_Broadband Circlewise Sept MTD without NHQ as on 100904" xfId="577"/>
    <cellStyle name="_Broadband Circlewise Sept MTD without NHQ as on 150904" xfId="578"/>
    <cellStyle name="_BSNL Contract Ledger Report March06 (2)" xfId="579"/>
    <cellStyle name="_BSNL Project Cost Detail Jan '06" xfId="580"/>
    <cellStyle name="_BSNL Project Cost Detail Mar '06" xfId="581"/>
    <cellStyle name="_BSNL Project Cost Detail March '06_V1" xfId="582"/>
    <cellStyle name="_BSNL Project Cost Detail Q1 '05" xfId="583"/>
    <cellStyle name="_BSNL Project Cost Detail R&amp;D 485 Dec '05" xfId="584"/>
    <cellStyle name="_BSNL Project Cost Detail R&amp;D 485 May '06" xfId="585"/>
    <cellStyle name="_BSNL Project Cost Detail Sep '05" xfId="586"/>
    <cellStyle name="_BSNL WHT FY 2006-07" xfId="587"/>
    <cellStyle name="_BSNL WHT working FY 2006-07" xfId="588"/>
    <cellStyle name="_BS-QC-310306-310806" xfId="589"/>
    <cellStyle name="_BTVL AOP Format" xfId="590"/>
    <cellStyle name="_BTVL AOP Format - Feb Macro 150206" xfId="591"/>
    <cellStyle name="_BTVL Consolidated" xfId="592"/>
    <cellStyle name="_BTVL Consolidated_FBT &amp; Amortisation" xfId="593"/>
    <cellStyle name="_BTVL Consolidated_P&amp;L Expanded" xfId="594"/>
    <cellStyle name="_BTVL Consolidated_P&amp;L Expanded March" xfId="595"/>
    <cellStyle name="_BTVL consolidation format_new V 2.7" xfId="596"/>
    <cellStyle name="_BTVL F&amp;F - 2+10 - For circulation" xfId="597"/>
    <cellStyle name="_BTVL F&amp;F - 2+10 - For circulation_FBT &amp; Amortisation" xfId="598"/>
    <cellStyle name="_BTVL F&amp;F - 2+10 - For circulation_P&amp;L Expanded" xfId="599"/>
    <cellStyle name="_BTVL F&amp;F - 2+10 - For circulation_P&amp;L Expanded March" xfId="600"/>
    <cellStyle name="_BTVL F&amp;F Aug-06" xfId="601"/>
    <cellStyle name="_BTVL- Flash &amp; Forecast 7+5" xfId="602"/>
    <cellStyle name="_BTVL Format" xfId="603"/>
    <cellStyle name="_BTVL Format - Jan'07 Revised" xfId="604"/>
    <cellStyle name="_BTVL Format Aug Flash - Macro Mobility" xfId="605"/>
    <cellStyle name="_BTVL Format Nov Flash - Mobile Services f" xfId="606"/>
    <cellStyle name="_BTVL Format Sep Flash - Macro Mobile Services" xfId="607"/>
    <cellStyle name="_BTVL Format Template" xfId="608"/>
    <cellStyle name="_BTVL_AB 34.0-ARO 1.0" xfId="609"/>
    <cellStyle name="_Budget 2004-05 V 2.7" xfId="610"/>
    <cellStyle name="_Budget formats Flash-Sep'06" xfId="611"/>
    <cellStyle name="_Budget HR 2004-05" xfId="612"/>
    <cellStyle name="_Budget HR 2004-05_FBT &amp; Amortisation" xfId="613"/>
    <cellStyle name="_Budget HR 2004-05_Network" xfId="614"/>
    <cellStyle name="_Budget HR 2004-05_P&amp;L Expanded" xfId="615"/>
    <cellStyle name="_Budget HR 2004-05_P&amp;L Expanded March" xfId="616"/>
    <cellStyle name="_Budget HR 2004-05_Personnel" xfId="617"/>
    <cellStyle name="_Budget HR 2004-05_S&amp;D and Marketing" xfId="618"/>
    <cellStyle name="_Budget HR 2004-05_Service Model" xfId="619"/>
    <cellStyle name="_Budget HR 2004-05_South F&amp;F" xfId="620"/>
    <cellStyle name="_Budget HR 2004-05_Subs Model" xfId="621"/>
    <cellStyle name="_Budget ver2" xfId="622"/>
    <cellStyle name="_Budget_2006_07_CSAT ver 29th Dec Bikash Mohanty" xfId="623"/>
    <cellStyle name="_Budget_2006_07_CSAT ver 29th Dec Bikash Mohanty_FBT &amp; Amortisation" xfId="624"/>
    <cellStyle name="_Budget_2006_07_CSAT ver 29th Dec Bikash Mohanty_Network" xfId="625"/>
    <cellStyle name="_Budget_2006_07_CSAT ver 29th Dec Bikash Mohanty_P&amp;L Expanded" xfId="626"/>
    <cellStyle name="_Budget_2006_07_CSAT ver 29th Dec Bikash Mohanty_P&amp;L Expanded March" xfId="627"/>
    <cellStyle name="_Budget_2006_07_CSAT ver 29th Dec Bikash Mohanty_Personnel" xfId="628"/>
    <cellStyle name="_Budget_2006_07_CSAT ver 29th Dec Bikash Mohanty_S&amp;D and Marketing" xfId="629"/>
    <cellStyle name="_Budget_2006_07_CSAT ver 29th Dec Bikash Mohanty_Service Model" xfId="630"/>
    <cellStyle name="_Budget_2006_07_CSAT ver 29th Dec Bikash Mohanty_South F&amp;F" xfId="631"/>
    <cellStyle name="_Budget_2006_07_CSAT ver 29th Dec Bikash Mohanty_Subs Model" xfId="632"/>
    <cellStyle name="_BudgetVs. Actual 231204-1" xfId="633"/>
    <cellStyle name="_BudgetVs. Actual 301204-1" xfId="634"/>
    <cellStyle name="_C_Flow_Dec06" xfId="635"/>
    <cellStyle name="_C_Flow_Sent to Auditors _20022007_Summary 1" xfId="636"/>
    <cellStyle name="_C1_Cash and Bank_Dec08" xfId="637"/>
    <cellStyle name="_cable &amp; acces cost" xfId="638"/>
    <cellStyle name="_Call Center&amp; Collection 2006-07" xfId="639"/>
    <cellStyle name="_Call Center&amp; Collection 2006-07_FBT &amp; Amortisation" xfId="640"/>
    <cellStyle name="_Call Center&amp; Collection 2006-07_Network" xfId="641"/>
    <cellStyle name="_Call Center&amp; Collection 2006-07_P&amp;L Expanded" xfId="642"/>
    <cellStyle name="_Call Center&amp; Collection 2006-07_P&amp;L Expanded March" xfId="643"/>
    <cellStyle name="_Call Center&amp; Collection 2006-07_Personnel" xfId="644"/>
    <cellStyle name="_Call Center&amp; Collection 2006-07_S&amp;D and Marketing" xfId="645"/>
    <cellStyle name="_Call Center&amp; Collection 2006-07_Service Model" xfId="646"/>
    <cellStyle name="_Call Center&amp; Collection 2006-07_South F&amp;F" xfId="647"/>
    <cellStyle name="_Call Center&amp; Collection 2006-07_Subs Model" xfId="648"/>
    <cellStyle name="_Call revenue variations Jun.04" xfId="649"/>
    <cellStyle name="_Call revenue variations Jun.04_Audit template schedule_LR Sept 2008 (2)" xfId="650"/>
    <cellStyle name="_Call revenue variations May.04" xfId="651"/>
    <cellStyle name="_Call revenue variations May.04_Audit template schedule_LR Sept 2008 (2)" xfId="652"/>
    <cellStyle name="_Capex" xfId="653"/>
    <cellStyle name="_Capex 2004-05 Haryana as on 03-05-05" xfId="654"/>
    <cellStyle name="_Capex 2006-07" xfId="655"/>
    <cellStyle name="_Capex 2006-07_FBT &amp; Amortisation" xfId="656"/>
    <cellStyle name="_Capex 2006-07_Network" xfId="657"/>
    <cellStyle name="_Capex 2006-07_P&amp;L Expanded" xfId="658"/>
    <cellStyle name="_Capex 2006-07_P&amp;L Expanded March" xfId="659"/>
    <cellStyle name="_Capex 2006-07_Personnel" xfId="660"/>
    <cellStyle name="_Capex 2006-07_S&amp;D and Marketing" xfId="661"/>
    <cellStyle name="_Capex 2006-07_Service Model" xfId="662"/>
    <cellStyle name="_Capex 2006-07_South F&amp;F" xfId="663"/>
    <cellStyle name="_Capex 2006-07_Subs Model" xfId="664"/>
    <cellStyle name="_CAPEX PO DETAILS-RAJ  HAR" xfId="665"/>
    <cellStyle name="_CAPEX PO ISSUE AS ON 31-8-04" xfId="666"/>
    <cellStyle name="_CAPEX PURCHASE ORDER ISSUE IN DEC-04" xfId="667"/>
    <cellStyle name="_Capex Report Dec 04-RAJ-15 01 05" xfId="668"/>
    <cellStyle name="_capex report sez june-071" xfId="669"/>
    <cellStyle name="_Capex Report-Dec 2004_12 01 05" xfId="670"/>
    <cellStyle name="_Capex Report-Dec 2004_12 01 05 sent to Mgmt" xfId="671"/>
    <cellStyle name="_Capex Report-Feb 05" xfId="672"/>
    <cellStyle name="_Capex Report-Jan 05_09 02 05" xfId="673"/>
    <cellStyle name="_Capex Report-March 05" xfId="674"/>
    <cellStyle name="_Capex Reportworking_Haryana-Dec 2004" xfId="675"/>
    <cellStyle name="_Capex Reportworking_Haryana-March 2005" xfId="676"/>
    <cellStyle name="_Capital Advance Sep-04" xfId="677"/>
    <cellStyle name="_CAPITAL COMMITMENT 30-6-04 HY" xfId="678"/>
    <cellStyle name="_Capital Commitment as on 30 6 07" xfId="679"/>
    <cellStyle name="_Capital Commitment jun05" xfId="680"/>
    <cellStyle name="_Capital Commitment jun05 (2)" xfId="681"/>
    <cellStyle name="_Capital Commitment New format-Feb 2005 for CAS" xfId="682"/>
    <cellStyle name="_Capital Commitment New format-Jan 2005 for CAS" xfId="683"/>
    <cellStyle name="_Capital Commitment New format-Mar 2005 for CAS" xfId="684"/>
    <cellStyle name="_capital commitment raj JUN-04" xfId="685"/>
    <cellStyle name="_Capital Commitment Summary 311204" xfId="686"/>
    <cellStyle name="_capital committment for raj with reco dec03" xfId="687"/>
    <cellStyle name="_capital committment for rajFinalreporting" xfId="688"/>
    <cellStyle name="_Capital Committment of Har  Raj-Dec 04_11 01 05" xfId="689"/>
    <cellStyle name="_CAPITAL COMMITTMENT WORKING ASHISH" xfId="690"/>
    <cellStyle name="_Capital Committment-Haryana-Sep 03-FINAL send to UP W" xfId="691"/>
    <cellStyle name="_capitaladvances" xfId="692"/>
    <cellStyle name="_caro requirements" xfId="693"/>
    <cellStyle name="_cas details for Jul-05 (3)" xfId="694"/>
    <cellStyle name="_CAS INFORMATION - RAJ JUNE 04" xfId="695"/>
    <cellStyle name="_CAS Information DEc -04 Haryana" xfId="696"/>
    <cellStyle name="_CAS Information Feb -05 Haryana" xfId="697"/>
    <cellStyle name="_CAS VS MPS RECO HARYANA Feb'05" xfId="698"/>
    <cellStyle name="_cash flow" xfId="699"/>
    <cellStyle name="_CashflowRCTLRCSLRSSL" xfId="700"/>
    <cellStyle name="_Categorywise Bids Pending_December 29, 2004" xfId="701"/>
    <cellStyle name="_CC AS ON 31-OCT-09" xfId="702"/>
    <cellStyle name="_CC AS ON 31ST DEC08" xfId="703"/>
    <cellStyle name="_cc rec as on 30th june" xfId="704"/>
    <cellStyle name="_CCFIL_07-08_Form 3CD Enclosure III" xfId="705"/>
    <cellStyle name="_CDR Analysis" xfId="706"/>
    <cellStyle name="_CDR Analysis_Audit template schedule_LR Sept 2008 (2)" xfId="707"/>
    <cellStyle name="_China - Segementwise P&amp;L July'07" xfId="708"/>
    <cellStyle name="_China asia pacific Global P - June07" xfId="709"/>
    <cellStyle name="_China Consolidated Trial April07" xfId="710"/>
    <cellStyle name="_cif value_raj" xfId="711"/>
    <cellStyle name="_Circlewise Bids Pending_ 29 December 2004" xfId="712"/>
    <cellStyle name="_Circlewise MTD and YTD EBITDA as on 04.11.2004" xfId="713"/>
    <cellStyle name="_Circlewise MTD and YTD EBITDA as on 06.01.2005" xfId="714"/>
    <cellStyle name="_Circlewise MTD and YTD EBITDA as on 13.01.2005" xfId="715"/>
    <cellStyle name="_Circlewise MTD and YTD EBITDA as on 14.10.04" xfId="716"/>
    <cellStyle name="_Circlewise MTD and YTD EBITDA as on 18.11.2004-new" xfId="717"/>
    <cellStyle name="_Circlewise MTD and YTD EBITDA as on 20.01.2005" xfId="718"/>
    <cellStyle name="_Circlewise MTD and YTD EBITDA as on 25.11.2004-ver 1.0" xfId="719"/>
    <cellStyle name="_Circlewise MTD and YTD EBITDA as on 28.10.04" xfId="720"/>
    <cellStyle name="_Circlewise MTD and YTD EBITDA as on 29.12.2004ver1" xfId="721"/>
    <cellStyle name="_Circlewise MTD and YTD EBITDA as on 30.11.2004-version 1.0" xfId="722"/>
    <cellStyle name="_Circlewise mtd ytd 311204" xfId="723"/>
    <cellStyle name="_Circlewise Orders Pending_ 06 December 2004" xfId="724"/>
    <cellStyle name="_Clause 14UP" xfId="725"/>
    <cellStyle name="_Clause 17 6A &amp; 6B" xfId="726"/>
    <cellStyle name="_Closing March 31 03 09 - sanjeev sir27-04-2009" xfId="727"/>
    <cellStyle name="_Column1" xfId="728"/>
    <cellStyle name="_Column1_Financial Model -v19" xfId="729"/>
    <cellStyle name="_Column1_Financial Model -v20" xfId="730"/>
    <cellStyle name="_Column1_Financial Model -v37" xfId="731"/>
    <cellStyle name="_Comma" xfId="732"/>
    <cellStyle name="_Comma_Betas and Colocation Rates" xfId="733"/>
    <cellStyle name="_Conled Report Format" xfId="734"/>
    <cellStyle name="_Consolidated Financials-Mar-07-050607 - SK" xfId="735"/>
    <cellStyle name="_Consolidated Forex Final till Aug-05" xfId="736"/>
    <cellStyle name="_Consolidated Forex Final V.1 For IAS" xfId="737"/>
    <cellStyle name="_Consolidated ForexFinal Final V.1 For sumit" xfId="738"/>
    <cellStyle name="_Consolidated Notes to accounts - Mar 2011" xfId="739"/>
    <cellStyle name="_Consolidated related party-last year" xfId="740"/>
    <cellStyle name="_Consolidated Trial-Feb-Dec-05" xfId="741"/>
    <cellStyle name="_Contingent Liabilities  Har Raj" xfId="742"/>
    <cellStyle name="_Contingent Liabilities  Har Raj (version 1)" xfId="743"/>
    <cellStyle name="_Contingent Liab-Raj" xfId="744"/>
    <cellStyle name="_contingentliab APR-05" xfId="745"/>
    <cellStyle name="_contingentliab June-05" xfId="746"/>
    <cellStyle name="_contingentliab Mar-05" xfId="747"/>
    <cellStyle name="_Copy of AES F&amp;F Review - Sep 06- Template" xfId="748"/>
    <cellStyle name="_Copy of BS-QC-310306-310806-Final" xfId="749"/>
    <cellStyle name="_Copy of capital commitment raj JUN-04" xfId="750"/>
    <cellStyle name="_Copy of Comparison Previous vs current month-Quarter" xfId="751"/>
    <cellStyle name="_Copy of custom duty oracle" xfId="752"/>
    <cellStyle name="_Copy of custom duty oracle (2)" xfId="753"/>
    <cellStyle name="_Copy of Data Gathering Format-03-04  HARYANA final" xfId="754"/>
    <cellStyle name="_Copy of GROSSING UP Raj &amp; Har SEP-04 revised" xfId="755"/>
    <cellStyle name="_copy of MP Unit Budget 03.03.05ytd KPI" xfId="756"/>
    <cellStyle name="_copy of MP Unit Budget 03.03.05ytd KPI_FBT &amp; Amortisation" xfId="757"/>
    <cellStyle name="_copy of MP Unit Budget 03.03.05ytd KPI_Network" xfId="758"/>
    <cellStyle name="_copy of MP Unit Budget 03.03.05ytd KPI_P&amp;L Expanded" xfId="759"/>
    <cellStyle name="_copy of MP Unit Budget 03.03.05ytd KPI_P&amp;L Expanded March" xfId="760"/>
    <cellStyle name="_copy of MP Unit Budget 03.03.05ytd KPI_Personnel" xfId="761"/>
    <cellStyle name="_copy of MP Unit Budget 03.03.05ytd KPI_S&amp;D and Marketing" xfId="762"/>
    <cellStyle name="_copy of MP Unit Budget 03.03.05ytd KPI_Service Model" xfId="763"/>
    <cellStyle name="_copy of MP Unit Budget 03.03.05ytd KPI_South F&amp;F" xfId="764"/>
    <cellStyle name="_copy of MP Unit Budget 03.03.05ytd KPI_Subs Model" xfId="765"/>
    <cellStyle name="_Copy of PL0304" xfId="766"/>
    <cellStyle name="_Copy of QoQ Access Charges" xfId="767"/>
    <cellStyle name="_Copy of QoQ Access Charges_FBT &amp; Amortisation" xfId="768"/>
    <cellStyle name="_Copy of QoQ Access Charges_P&amp;L Expanded" xfId="769"/>
    <cellStyle name="_Copy of QoQ Access Charges_P&amp;L Expanded March" xfId="770"/>
    <cellStyle name="_Corpn Bank upto 251109" xfId="771"/>
    <cellStyle name="_Corporate Flash Submission Ver 2.0" xfId="772"/>
    <cellStyle name="_costing and prod Pusa &amp; Bas ju" xfId="773"/>
    <cellStyle name="_costing and prod Pusa &amp; Bas June03" xfId="774"/>
    <cellStyle name="_costing and prod Pusa &amp; BasJuly04" xfId="775"/>
    <cellStyle name="_CTC &amp; NAME" xfId="776"/>
    <cellStyle name="_CTC &amp; NAME_Audit template schedule_LR Sept 2008 (2)" xfId="777"/>
    <cellStyle name="_Currency" xfId="778"/>
    <cellStyle name="_Currency_Betas and Colocation Rates" xfId="779"/>
    <cellStyle name="_Currency_Betas and Colocation Rates_Reconciliation of Operationg vs Reporting as on Dec-04" xfId="780"/>
    <cellStyle name="_Currency_Book_commissaires_Sept12" xfId="781"/>
    <cellStyle name="_Currency_Book2" xfId="782"/>
    <cellStyle name="_Currency_CHARTERHOUSE OPERATING MODEL- Revised July 25" xfId="783"/>
    <cellStyle name="_Currency_csc" xfId="784"/>
    <cellStyle name="_Currency_csc shaded" xfId="785"/>
    <cellStyle name="_Currency_model for lehman 19jul02" xfId="786"/>
    <cellStyle name="_Currency_pi5" xfId="787"/>
    <cellStyle name="_Currency_Reconciliation of Operationg vs Reporting as on Dec-04" xfId="788"/>
    <cellStyle name="_Currency_Revised Downside Case 25 July" xfId="789"/>
    <cellStyle name="_Currency_Revised Downside Case 25 July_LBO Model for Banks (with Lehman cases)" xfId="790"/>
    <cellStyle name="_Currency_surbid4 cloture" xfId="791"/>
    <cellStyle name="_Currency_surbid4 cloture_1" xfId="792"/>
    <cellStyle name="_Currency_TallGuy first model" xfId="793"/>
    <cellStyle name="_Currency_tropicos5" xfId="794"/>
    <cellStyle name="_Currency_tropicos5_victoria 6nov01" xfId="795"/>
    <cellStyle name="_Currency_valuation report_Sept10b" xfId="796"/>
    <cellStyle name="_Currency_voice1.xls Chart 1" xfId="797"/>
    <cellStyle name="_Currency_voice1.xls Chart 1_victoria 6nov01" xfId="798"/>
    <cellStyle name="_CurrencySpace" xfId="799"/>
    <cellStyle name="_CurrencySpace_Betas and Colocation Rates" xfId="800"/>
    <cellStyle name="_CurrencySpace_Capex per UMTS Potential" xfId="801"/>
    <cellStyle name="_CurrencySpace_WACC Analysis" xfId="802"/>
    <cellStyle name="_CURRENT ACCOUNT BALANCE HMTL , HETL APR-05" xfId="803"/>
    <cellStyle name="_CURRENT ACCOUNT BALANCE HMTL , HETL MAR-05" xfId="804"/>
    <cellStyle name="_Current Liabilites &amp; Provision" xfId="805"/>
    <cellStyle name="_custom duty 04-06" xfId="806"/>
    <cellStyle name="_CUSTOM DUTY FOR CARO REQUIREMENT" xfId="807"/>
    <cellStyle name="_Customer Care Budget" xfId="808"/>
    <cellStyle name="_Customer Care Budget_FBT &amp; Amortisation" xfId="809"/>
    <cellStyle name="_Customer Care Budget_P&amp;L Expanded" xfId="810"/>
    <cellStyle name="_Customer Care Budget_P&amp;L Expanded March" xfId="811"/>
    <cellStyle name="_Customer Care Budget_Personnel" xfId="812"/>
    <cellStyle name="_Customer Care Budget_S&amp;D and Marketing" xfId="813"/>
    <cellStyle name="_Customer Care Budget_Service Model" xfId="814"/>
    <cellStyle name="_Customer Care Budget_South F&amp;F" xfId="815"/>
    <cellStyle name="_Customer Care Budget_Subs Model" xfId="816"/>
    <cellStyle name="_Customerwise_Revenue__IGAAP_June06" xfId="817"/>
    <cellStyle name="_Customerwise_Revenue__IGAAP_June06_Schedule Template_Limited Review" xfId="818"/>
    <cellStyle name="_Customerwise_Revenue__IGAAP_May06" xfId="819"/>
    <cellStyle name="_Customerwise_Revenue__IGAAP_May06_Schedule Template_Limited Review" xfId="820"/>
    <cellStyle name="_CWIP 30 9 07" xfId="821"/>
    <cellStyle name="_CWIP 31 12  07" xfId="822"/>
    <cellStyle name="_Cwip Backup May-05 PWC" xfId="823"/>
    <cellStyle name="_cwip movement of others Raj june-04" xfId="824"/>
    <cellStyle name="_CWIP till April'05 - sent" xfId="825"/>
    <cellStyle name="_CWIP track 08 (gn) on 08 Feb.08" xfId="826"/>
    <cellStyle name="_cwip track 08 (gn) on 08jan08" xfId="827"/>
    <cellStyle name="_Cwip track 08 (gn) on 08-Mar-08" xfId="828"/>
    <cellStyle name="_cwip track 08 (gn) on 31mar08.xls-VIPAN" xfId="829"/>
    <cellStyle name="_cwip track 08 (gn) on 31may08" xfId="830"/>
    <cellStyle name="_cwip track 08 on 07nov07" xfId="831"/>
    <cellStyle name="_cwip track 08 on 08dec07 ( NOV-MIS )" xfId="832"/>
    <cellStyle name="_cwip track 08 on 08oct07" xfId="833"/>
    <cellStyle name="_Cwip-July-05" xfId="834"/>
    <cellStyle name="_Cwip-July-05_Audit template schedule_LR Sept 2008 (2)" xfId="835"/>
    <cellStyle name="_CWIP-Vipan-GN  30apr08" xfId="836"/>
    <cellStyle name="_cwn for July" xfId="837"/>
    <cellStyle name="_cwn for July_FBT &amp; Amortisation" xfId="838"/>
    <cellStyle name="_cwn for July_Network" xfId="839"/>
    <cellStyle name="_cwn for July_P&amp;L Expanded" xfId="840"/>
    <cellStyle name="_cwn for July_P&amp;L Expanded March" xfId="841"/>
    <cellStyle name="_cwn for July_Personnel" xfId="842"/>
    <cellStyle name="_cwn for July_S&amp;D and Marketing" xfId="843"/>
    <cellStyle name="_cwn for July_Service Model" xfId="844"/>
    <cellStyle name="_cwn for July_South F&amp;F" xfId="845"/>
    <cellStyle name="_cwn for July_Subs Model" xfId="846"/>
    <cellStyle name="_Daily Reporting Tracker_May 07" xfId="847"/>
    <cellStyle name="_Databook MASTER_IndustryServices" xfId="848"/>
    <cellStyle name="_Dealer Scheme Wide split- New" xfId="849"/>
    <cellStyle name="_Debit balances of Capex Creditors" xfId="850"/>
    <cellStyle name="_Debtors 25.11.2004" xfId="851"/>
    <cellStyle name="_Debtors Apr 09" xfId="852"/>
    <cellStyle name="_DEBTORS CLASSIFICATION" xfId="853"/>
    <cellStyle name="_Debtors Feb 09" xfId="854"/>
    <cellStyle name="_Debtors Mar 09 (Revised)" xfId="855"/>
    <cellStyle name="_Debtors1612" xfId="856"/>
    <cellStyle name="_Deferred Tax Mar,08" xfId="857"/>
    <cellStyle name="_Deferred Tax Working Dec 2006" xfId="858"/>
    <cellStyle name="_Deff. tax format" xfId="859"/>
    <cellStyle name="_Delhi - CAPEX - updated Dec 30" xfId="860"/>
    <cellStyle name="_Delhi - CAPEX - updated Dec 30_FBT &amp; Amortisation" xfId="861"/>
    <cellStyle name="_Delhi - CAPEX - updated Dec 30_P&amp;L Expanded" xfId="862"/>
    <cellStyle name="_Delhi - CAPEX - updated Dec 30_P&amp;L Expanded March" xfId="863"/>
    <cellStyle name="_Delhi - CAPEX - updated Dec 30_Personnel" xfId="864"/>
    <cellStyle name="_Delhi - CAPEX - updated Dec 30_S&amp;D and Marketing" xfId="865"/>
    <cellStyle name="_Delhi - CAPEX - updated Dec 30_Service Model" xfId="866"/>
    <cellStyle name="_Delhi - CAPEX - updated Dec 30_South F&amp;F" xfId="867"/>
    <cellStyle name="_Delhi - CAPEX - updated Dec 30_Subs Model" xfId="868"/>
    <cellStyle name="_Delhi Budget 04-05 Ver9" xfId="869"/>
    <cellStyle name="_Delhi Budget 04-05 Ver9_FBT &amp; Amortisation" xfId="870"/>
    <cellStyle name="_Delhi Budget 04-05 Ver9_P&amp;L Expanded" xfId="871"/>
    <cellStyle name="_Delhi Budget 04-05 Ver9_P&amp;L Expanded March" xfId="872"/>
    <cellStyle name="_Delhi Budget 04-05 Ver9_Personnel" xfId="873"/>
    <cellStyle name="_Delhi Budget 04-05 Ver9_S&amp;D and Marketing" xfId="874"/>
    <cellStyle name="_Delhi Budget 04-05 Ver9_Service Model" xfId="875"/>
    <cellStyle name="_Delhi Budget 04-05 Ver9_South F&amp;F" xfId="876"/>
    <cellStyle name="_Delhi Budget 04-05 Ver9_Subs Model" xfId="877"/>
    <cellStyle name="_dep" xfId="878"/>
    <cellStyle name="_Dep as per IT Mar.06" xfId="879"/>
    <cellStyle name="_Dep on Manual Entries" xfId="880"/>
    <cellStyle name="_Dep Schedule" xfId="881"/>
    <cellStyle name="_department wise salary-JUNE-04" xfId="882"/>
    <cellStyle name="_Detail of Infrastucture" xfId="883"/>
    <cellStyle name="_Detail Report-REG &amp; FTH" xfId="884"/>
    <cellStyle name="_details RIC &amp; RCIL Consolidated financials" xfId="885"/>
    <cellStyle name="_DL Analysis Oct 05" xfId="886"/>
    <cellStyle name="_DLB Assets Register" xfId="887"/>
    <cellStyle name="_Dollars details sep 2009" xfId="888"/>
    <cellStyle name="_Draft Q3 financials 13.10.2006 Gaurav" xfId="889"/>
    <cellStyle name="_DRS &amp; CRS AGEING DEC- 04 HARP" xfId="890"/>
    <cellStyle name="_DSL Profitability ( DL ) APR-04" xfId="891"/>
    <cellStyle name="_DSL Profitability ( DL ) APR-04_FBT &amp; Amortisation" xfId="892"/>
    <cellStyle name="_DSL Profitability ( DL ) APR-04_Network" xfId="893"/>
    <cellStyle name="_DSL Profitability ( DL ) APR-04_P&amp;L Expanded" xfId="894"/>
    <cellStyle name="_DSL Profitability ( DL ) APR-04_P&amp;L Expanded March" xfId="895"/>
    <cellStyle name="_DSL Profitability ( DL ) APR-04_Personnel" xfId="896"/>
    <cellStyle name="_DSL Profitability ( DL ) APR-04_S&amp;D and Marketing" xfId="897"/>
    <cellStyle name="_DSL Profitability ( DL ) APR-04_Service Model" xfId="898"/>
    <cellStyle name="_DSL Profitability ( DL ) APR-04_South F&amp;F" xfId="899"/>
    <cellStyle name="_DSL Profitability ( DL ) APR-04_Subs Model" xfId="900"/>
    <cellStyle name="_DSL Profitability ( HRY) APR-04" xfId="901"/>
    <cellStyle name="_DSL Profitability ( HRY) APR-04_FBT &amp; Amortisation" xfId="902"/>
    <cellStyle name="_DSL Profitability ( HRY) APR-04_Network" xfId="903"/>
    <cellStyle name="_DSL Profitability ( HRY) APR-04_P&amp;L Expanded" xfId="904"/>
    <cellStyle name="_DSL Profitability ( HRY) APR-04_P&amp;L Expanded March" xfId="905"/>
    <cellStyle name="_DSL Profitability ( HRY) APR-04_Personnel" xfId="906"/>
    <cellStyle name="_DSL Profitability ( HRY) APR-04_S&amp;D and Marketing" xfId="907"/>
    <cellStyle name="_DSL Profitability ( HRY) APR-04_Service Model" xfId="908"/>
    <cellStyle name="_DSL Profitability ( HRY) APR-04_South F&amp;F" xfId="909"/>
    <cellStyle name="_DSL Profitability ( HRY) APR-04_Subs Model" xfId="910"/>
    <cellStyle name="_DSL profitability- Feb '04_Access" xfId="911"/>
    <cellStyle name="_DSL profitability- Feb '04_Access_FBT &amp; Amortisation" xfId="912"/>
    <cellStyle name="_DSL profitability- Feb '04_Access_Network" xfId="913"/>
    <cellStyle name="_DSL profitability- Feb '04_Access_P&amp;L Expanded" xfId="914"/>
    <cellStyle name="_DSL profitability- Feb '04_Access_P&amp;L Expanded March" xfId="915"/>
    <cellStyle name="_DSL profitability- Feb '04_Access_Personnel" xfId="916"/>
    <cellStyle name="_DSL profitability- Feb '04_Access_S&amp;D and Marketing" xfId="917"/>
    <cellStyle name="_DSL profitability- Feb '04_Access_Service Model" xfId="918"/>
    <cellStyle name="_DSL profitability- Feb '04_Access_South F&amp;F" xfId="919"/>
    <cellStyle name="_DSL profitability- Feb '04_Access_Subs Model" xfId="920"/>
    <cellStyle name="_DT MAT - Annual - PwC V.D30B" xfId="921"/>
    <cellStyle name="_E485 Cumulative GR March 07" xfId="922"/>
    <cellStyle name="_E485 GR's 2006 Only(incl Salil's revenue entry)" xfId="923"/>
    <cellStyle name="_E485 GR's 2006 Only(rev)" xfId="924"/>
    <cellStyle name="_E485 GR's up to March '05_v1" xfId="925"/>
    <cellStyle name="_EBITDA Margin Analysis" xfId="926"/>
    <cellStyle name="_EBITDA Margin Analysis_FBT &amp; Amortisation" xfId="927"/>
    <cellStyle name="_EBITDA Margin Analysis_P&amp;L Expanded" xfId="928"/>
    <cellStyle name="_EBITDA Margin Analysis_P&amp;L Expanded March" xfId="929"/>
    <cellStyle name="_Eliminations with AES" xfId="930"/>
    <cellStyle name="_Enclosures" xfId="931"/>
    <cellStyle name="_Engagement Guidelines_nand_230606" xfId="932"/>
    <cellStyle name="_Engagement Guidelines_nand_230606_FBT &amp; Amortisation" xfId="933"/>
    <cellStyle name="_Engagement Guidelines_nand_230606_Network" xfId="934"/>
    <cellStyle name="_Engagement Guidelines_nand_230606_P&amp;L Expanded" xfId="935"/>
    <cellStyle name="_Engagement Guidelines_nand_230606_P&amp;L Expanded March" xfId="936"/>
    <cellStyle name="_Engagement Guidelines_nand_230606_Personnel" xfId="937"/>
    <cellStyle name="_Engagement Guidelines_nand_230606_S&amp;D and Marketing" xfId="938"/>
    <cellStyle name="_Engagement Guidelines_nand_230606_Service Model" xfId="939"/>
    <cellStyle name="_Engagement Guidelines_nand_230606_South F&amp;F" xfId="940"/>
    <cellStyle name="_Engagement Guidelines_nand_230606_Subs Model" xfId="941"/>
    <cellStyle name="_entity pack stock del" xfId="942"/>
    <cellStyle name="_entries in GL_ Nov'04" xfId="943"/>
    <cellStyle name="_entries in GL_ Nov'04_Schedule Template_Limited Review" xfId="944"/>
    <cellStyle name="_entries in GL_ Oct'04" xfId="945"/>
    <cellStyle name="_entries in GL_ Oct'04_Schedule Template_Limited Review" xfId="946"/>
    <cellStyle name="_entries in GL_Aug'04 (Accounts)" xfId="947"/>
    <cellStyle name="_entries in GL_Aug'04 (Accounts)_Schedule Template_Limited Review" xfId="948"/>
    <cellStyle name="_Eq_Research Advisory Fees_Working" xfId="949"/>
    <cellStyle name="_ERA Reco as at 30-Sep-05" xfId="950"/>
    <cellStyle name="_ERA Reco as at 31-Aug-05" xfId="951"/>
    <cellStyle name="_ERA Reco as at 31-Jul-05 ver 1" xfId="952"/>
    <cellStyle name="_ERA Recon as at 30-Jun-05 Final Entry" xfId="953"/>
    <cellStyle name="_Ericsson Erlang Template Mar 05-final-21.04.2005 at 1100pm" xfId="954"/>
    <cellStyle name="_ESI" xfId="955"/>
    <cellStyle name="_Euro" xfId="956"/>
    <cellStyle name="_Excel annexures" xfId="957"/>
    <cellStyle name="_Excel Annexures 2007" xfId="958"/>
    <cellStyle name="_Excel Annexures Fiserv 2007" xfId="959"/>
    <cellStyle name="_Expense variation" xfId="960"/>
    <cellStyle name="_Expense variation_FBT &amp; Amortisation" xfId="961"/>
    <cellStyle name="_Expense variation_P&amp;L Expanded" xfId="962"/>
    <cellStyle name="_Expense variation_P&amp;L Expanded March" xfId="963"/>
    <cellStyle name="_F&amp;F - NLD_Oct'06" xfId="964"/>
    <cellStyle name="_F&amp;F - NLD-Jan'07" xfId="965"/>
    <cellStyle name="_F&amp;F Analysis-NLD-Oct'06" xfId="966"/>
    <cellStyle name="_F&amp;F Presntatn  Aug 06" xfId="967"/>
    <cellStyle name="_F&amp;F Queries- 3+9 stage- ILD" xfId="968"/>
    <cellStyle name="_F&amp;F Queries- 3+9 stage- NLD" xfId="969"/>
    <cellStyle name="_F&amp;F Review - Sept-06 - Final_SSD review_For circulation" xfId="970"/>
    <cellStyle name="_fa" xfId="971"/>
    <cellStyle name="_FA Additions Q3" xfId="972"/>
    <cellStyle name="_FA Policy Change" xfId="973"/>
    <cellStyle name="_FA Sales-Sept 2005" xfId="974"/>
    <cellStyle name="_FA schedule china-sep07_Inrv1_Audit" xfId="975"/>
    <cellStyle name="_FA Schedule_Germany 31 3 08 schdule VI" xfId="976"/>
    <cellStyle name="_FA Schedule-Geramny_30th Sept07" xfId="977"/>
    <cellStyle name="_FA Schedule-PB-Sep-04" xfId="978"/>
    <cellStyle name="_FA-GL Reco June'05_Delhi" xfId="979"/>
    <cellStyle name="_FA-JULY 2004 CUSTOM DUTY-HAR  RAJ" xfId="980"/>
    <cellStyle name="_Far FEB  2006 - BIMALLA (recon 28-2-2006)" xfId="981"/>
    <cellStyle name="_Far JAN  2006 - FINAL (31-1-2006)" xfId="982"/>
    <cellStyle name="_Far Mar 2006" xfId="983"/>
    <cellStyle name="_faraj jun04 revised" xfId="984"/>
    <cellStyle name="_FBT" xfId="985"/>
    <cellStyle name="_FBT annexure" xfId="986"/>
    <cellStyle name="_FBT April -March,09" xfId="987"/>
    <cellStyle name="_FBT format" xfId="988"/>
    <cellStyle name="_FBT_1" xfId="989"/>
    <cellStyle name="_FBT-16.03.06-31.03.06 break up incl" xfId="990"/>
    <cellStyle name="_FBT-Final" xfId="991"/>
    <cellStyle name="_FDR Format (3)" xfId="992"/>
    <cellStyle name="_FEB 09 RECO" xfId="993"/>
    <cellStyle name="_Feb'2008 Financials" xfId="994"/>
    <cellStyle name="_figs haryana contingent 30 June 05" xfId="995"/>
    <cellStyle name="_figs raj june 05 contingent" xfId="996"/>
    <cellStyle name="_Final 3CD Annexures 2006-07 I" xfId="997"/>
    <cellStyle name="_Final Accounts 20.05.07" xfId="998"/>
    <cellStyle name="_Final Accounts -2007-2008" xfId="999"/>
    <cellStyle name="_Final Accounts VIIth Cut" xfId="1000"/>
    <cellStyle name="_Final Annexures11" xfId="1001"/>
    <cellStyle name="_Final Balance Sheet" xfId="1002"/>
    <cellStyle name="_Final CWIP to Auditors Mar 05" xfId="1003"/>
    <cellStyle name="_Final D Cafe reporting_April'06 to Dec'06" xfId="1004"/>
    <cellStyle name="_Final Draft Balance Sheet 31.3.03 Variation Analysis" xfId="1005"/>
    <cellStyle name="_Final FA V GL manual dep" xfId="1006"/>
    <cellStyle name="_Final FA V GL Reco" xfId="1007"/>
    <cellStyle name="_Final FA V GL Reco for Summary" xfId="1008"/>
    <cellStyle name="_Final FA V GL Reco with Knocking Final" xfId="1009"/>
    <cellStyle name="_final fbt last qtr" xfId="1010"/>
    <cellStyle name="_Final Master Finalcials" xfId="1011"/>
    <cellStyle name="_Final Master Finalcials_with EBITA" xfId="1012"/>
    <cellStyle name="_Final Master Financials 19-10-01" xfId="1013"/>
    <cellStyle name="_Final Reinstatement of Other Foreign Vendors" xfId="1014"/>
    <cellStyle name="_Finance cost 31-10-09" xfId="1015"/>
    <cellStyle name="_Finance Cost Schedule_Format" xfId="1016"/>
    <cellStyle name="_Finance MAPA Dec-05-(DGF)" xfId="1017"/>
    <cellStyle name="_Finance MAPA Dec-05-(DGF)_FBT &amp; Amortisation" xfId="1018"/>
    <cellStyle name="_Finance MAPA Dec-05-(DGF)_Network" xfId="1019"/>
    <cellStyle name="_Finance MAPA Dec-05-(DGF)_P&amp;L Expanded" xfId="1020"/>
    <cellStyle name="_Finance MAPA Dec-05-(DGF)_P&amp;L Expanded March" xfId="1021"/>
    <cellStyle name="_Finance MAPA Dec-05-(DGF)_Personnel" xfId="1022"/>
    <cellStyle name="_Finance MAPA Dec-05-(DGF)_S&amp;D and Marketing" xfId="1023"/>
    <cellStyle name="_Finance MAPA Dec-05-(DGF)_Service Model" xfId="1024"/>
    <cellStyle name="_Finance MAPA Dec-05-(DGF)_South F&amp;F" xfId="1025"/>
    <cellStyle name="_Finance MAPA Dec-05-(DGF)_Subs Model" xfId="1026"/>
    <cellStyle name="_Financial 04.09.07 DISCUSSED" xfId="1027"/>
    <cellStyle name="_Financial 14.08.07" xfId="1028"/>
    <cellStyle name="_Financial Fiamm M08 27.06.08" xfId="1029"/>
    <cellStyle name="_Financial KPI's" xfId="1030"/>
    <cellStyle name="_Financial M07 FINAL" xfId="1031"/>
    <cellStyle name="_x0001__Financial Model -v19" xfId="1032"/>
    <cellStyle name="_x0001__Financial Model -v20" xfId="1033"/>
    <cellStyle name="_x0001__Financial Model -v37" xfId="1034"/>
    <cellStyle name="_Financial Statements" xfId="1035"/>
    <cellStyle name="_Financial_311206" xfId="1036"/>
    <cellStyle name="_Financials" xfId="1037"/>
    <cellStyle name="_Financials 2007-2008" xfId="1038"/>
    <cellStyle name="_Financials Mando dec,06" xfId="1039"/>
    <cellStyle name="_Financials Mando dec,06 27.06.07" xfId="1040"/>
    <cellStyle name="_Financials MFAL M07 19.10.07" xfId="1041"/>
    <cellStyle name="_Financials MFAL M08 03.06.08" xfId="1042"/>
    <cellStyle name="_Financials Nikon March 2008" xfId="1043"/>
    <cellStyle name="_Financials TV18 as on 31Mar 09-27TH APRIL'09" xfId="1044"/>
    <cellStyle name="_Financials-31st March 2006" xfId="1045"/>
    <cellStyle name="_Financials-Masters Final" xfId="1046"/>
    <cellStyle name="_Fixed Assets" xfId="1047"/>
    <cellStyle name="_Fixed assets - Bangalore (2)" xfId="1048"/>
    <cellStyle name="_Fixed assets - Noida3" xfId="1049"/>
    <cellStyle name="_Fixed Assets (1)" xfId="1050"/>
    <cellStyle name="_Fixed Assets (Annexure ) for CARO" xfId="1051"/>
    <cellStyle name="_Fixed assets 2005-2006 " xfId="1052"/>
    <cellStyle name="_Fixed Deposit Details" xfId="1053"/>
    <cellStyle name="_Flash" xfId="1054"/>
    <cellStyle name="_Flash &amp; Forecast - Aug 06" xfId="1055"/>
    <cellStyle name="_Flash &amp; Forecast review - Aug 06- Template" xfId="1056"/>
    <cellStyle name="_Flash KPI Consol" xfId="1057"/>
    <cellStyle name="_Flash KPI Consol_FBT &amp; Amortisation" xfId="1058"/>
    <cellStyle name="_Flash KPI Consol_P&amp;L Expanded" xfId="1059"/>
    <cellStyle name="_Flash KPI Consol_P&amp;L Expanded March" xfId="1060"/>
    <cellStyle name="_Flash vs Forecast May'08" xfId="1061"/>
    <cellStyle name="_Flash_FBT &amp; Amortisation" xfId="1062"/>
    <cellStyle name="_Flash_Network" xfId="1063"/>
    <cellStyle name="_Flash_P&amp;L Expanded" xfId="1064"/>
    <cellStyle name="_Flash_P&amp;L Expanded March" xfId="1065"/>
    <cellStyle name="_Flash_Personnel" xfId="1066"/>
    <cellStyle name="_Flash_S&amp;D and Marketing" xfId="1067"/>
    <cellStyle name="_Flash_Service Model" xfId="1068"/>
    <cellStyle name="_Flash_South F&amp;F" xfId="1069"/>
    <cellStyle name="_Flash_Subs Model" xfId="1070"/>
    <cellStyle name="_Flexi March 04-Rawat" xfId="1071"/>
    <cellStyle name="_FOR RS" xfId="1072"/>
    <cellStyle name="_Forecast Jan-Dec'08" xfId="1073"/>
    <cellStyle name="_Forex Mar 05" xfId="1074"/>
    <cellStyle name="_FORM 3CD" xfId="1075"/>
    <cellStyle name="_Form 3CD PBC" xfId="1076"/>
    <cellStyle name="_Form 3CD_1" xfId="1077"/>
    <cellStyle name="_Format - Top15 Products" xfId="1078"/>
    <cellStyle name="_Format for Payroll Variation" xfId="1079"/>
    <cellStyle name="_Format for Payroll Variation_Schedule Template_Limited Review" xfId="1080"/>
    <cellStyle name="_FSS(BJ)-Financial Report  for 2007-05" xfId="1081"/>
    <cellStyle name="_FS比売上分析09.2.TIR事業再建-11 2-6　14：00" xfId="1082"/>
    <cellStyle name="_FS比売上分析09.2.TIR事業再建-11 2-6　14：00_09.2.25 TIR再建（最終案）-事業部" xfId="1083"/>
    <cellStyle name="_FS比売上分析09.2.TIR事業再建-11 2-6　14：00_09.2.25 TIR再建（最終案）-事業部_09-09　(Final)2nd'09 sales plan" xfId="1084"/>
    <cellStyle name="_FS比売上分析09.2.TIR事業再建-11 2-6　14：00_09.2.25 TIR再建（最終案）-事業部_31－Augst)　Latest 2nd Half 09-08　Sales　Plan　２nd-'09 OP" xfId="1085"/>
    <cellStyle name="_FS比売上分析09.2.TIR事業再建-11 2-6　14：00_09.2.25 TIR再建（最終案）-事業部_Book1" xfId="1086"/>
    <cellStyle name="_FS比売上分析09.2.TIR事業再建-11 2-6　14：00_09.2.25 TIR再建（最終案）-事業部_Book3" xfId="1087"/>
    <cellStyle name="_FS比売上分析09.2.TIR事業再建-11 2-6　14：00_09.2.25 TIR再建（最終案）-事業部_REVISED SALES REPORT-JUN'09 (最新）(Goto San)" xfId="1088"/>
    <cellStyle name="_FS比売上分析09.2.TIR事業再建-11 2-6　14：00_09.2.25 TIR再建（最終案）-事業部_SALES REPORT FORECASTING, SALES FORECASTING, PRICE LSIT &amp; OTHERS" xfId="1089"/>
    <cellStyle name="_FS比売上分析09.2.TIR事業再建-11 2-6　14：00_09.2.25 TIR再建（最終案）-事業部_SALES REPORT FORECASTING, SALES FORECASTING, PRICE LSIT &amp; OTHERS-latest" xfId="1090"/>
    <cellStyle name="_FS比売上分析09.2.TIR事業再建-11 2-6　14：00_09.2.25 TIR再建（最終案）-事業部_SALES SUMMARY (PO DETAILS, REPORTS, FORECASTING &amp; OTHERS) FOR FY 10~11" xfId="1091"/>
    <cellStyle name="_FS比売上分析09.2.TIR事業再建-11 2-6　14：00_09.3.13 TIR再建（最終案2)" xfId="1092"/>
    <cellStyle name="_FS比売上分析09.2.TIR事業再建-11 2-6　14：00_09.3.13 TIR再建（最終案2)_09-09　(Final)2nd'09 sales plan" xfId="1093"/>
    <cellStyle name="_FS比売上分析09.2.TIR事業再建-11 2-6　14：00_09.3.13 TIR再建（最終案2)_31－Augst)　Latest 2nd Half 09-08　Sales　Plan　２nd-'09 OP" xfId="1094"/>
    <cellStyle name="_FS比売上分析09.2.TIR事業再建-11 2-6　14：00_09.3.13 TIR再建（最終案2)_Book1" xfId="1095"/>
    <cellStyle name="_FS比売上分析09.2.TIR事業再建-11 2-6　14：00_09.3.13 TIR再建（最終案2)_Book3" xfId="1096"/>
    <cellStyle name="_FS比売上分析09.2.TIR事業再建-11 2-6　14：00_09.3.13 TIR再建（最終案2)_REVISED SALES REPORT-JUN'09 (最新）(Goto San)" xfId="1097"/>
    <cellStyle name="_FS比売上分析09.2.TIR事業再建-11 2-6　14：00_09.3.13 TIR再建（最終案2)_SALES REPORT FORECASTING, SALES FORECASTING, PRICE LSIT &amp; OTHERS" xfId="1098"/>
    <cellStyle name="_FS比売上分析09.2.TIR事業再建-11 2-6　14：00_09.3.13 TIR再建（最終案2)_SALES REPORT FORECASTING, SALES FORECASTING, PRICE LSIT &amp; OTHERS-latest" xfId="1099"/>
    <cellStyle name="_FS比売上分析09.2.TIR事業再建-11 2-6　14：00_09.3.13 TIR再建（最終案2)_SALES SUMMARY (PO DETAILS, REPORTS, FORECASTING &amp; OTHERS) FOR FY 10~11" xfId="1100"/>
    <cellStyle name="_FS比売上分析09.2.TIR事業再建-11 2-6　14：00_090219TIR再FS用台数" xfId="1101"/>
    <cellStyle name="_FS比売上分析09.2.TIR事業再建-11 2-6　14：00_090219TIR再FS用台数_09-09　(Final)2nd'09 sales plan" xfId="1102"/>
    <cellStyle name="_FS比売上分析09.2.TIR事業再建-11 2-6　14：00_090219TIR再FS用台数_31－Augst)　Latest 2nd Half 09-08　Sales　Plan　２nd-'09 OP" xfId="1103"/>
    <cellStyle name="_FS比売上分析09.2.TIR事業再建-11 2-6　14：00_090219TIR再FS用台数_Book1" xfId="1104"/>
    <cellStyle name="_FS比売上分析09.2.TIR事業再建-11 2-6　14：00_090219TIR再FS用台数_Book3" xfId="1105"/>
    <cellStyle name="_FS比売上分析09.2.TIR事業再建-11 2-6　14：00_090219TIR再FS用台数_REVISED SALES REPORT-JUN'09 (最新）(Goto San)" xfId="1106"/>
    <cellStyle name="_FS比売上分析09.2.TIR事業再建-11 2-6　14：00_090219TIR再FS用台数_SALES REPORT FORECASTING, SALES FORECASTING, PRICE LSIT &amp; OTHERS" xfId="1107"/>
    <cellStyle name="_FS比売上分析09.2.TIR事業再建-11 2-6　14：00_090219TIR再FS用台数_SALES REPORT FORECASTING, SALES FORECASTING, PRICE LSIT &amp; OTHERS-latest" xfId="1108"/>
    <cellStyle name="_FS比売上分析09.2.TIR事業再建-11 2-6　14：00_090219TIR再FS用台数_SALES SUMMARY (PO DETAILS, REPORTS, FORECASTING &amp; OTHERS) FOR FY 10~11" xfId="1109"/>
    <cellStyle name="_FS比売上分析09.2.TIR事業再建-11 2-6　14：00_090331　取締役会　売上設定明細" xfId="1110"/>
    <cellStyle name="_FS比売上分析09.2.TIR事業再建-11 2-6　14：00_090331　取締役会　売上設定明細_09-09　(Final)2nd'09 sales plan" xfId="1111"/>
    <cellStyle name="_FS比売上分析09.2.TIR事業再建-11 2-6　14：00_090331　取締役会　売上設定明細_31－Augst)　Latest 2nd Half 09-08　Sales　Plan　２nd-'09 OP" xfId="1112"/>
    <cellStyle name="_FS比売上分析09.2.TIR事業再建-11 2-6　14：00_090331　取締役会　売上設定明細_Book1" xfId="1113"/>
    <cellStyle name="_FS比売上分析09.2.TIR事業再建-11 2-6　14：00_090331　取締役会　売上設定明細_Book3" xfId="1114"/>
    <cellStyle name="_FS比売上分析09.2.TIR事業再建-11 2-6　14：00_090331　取締役会　売上設定明細_REVISED SALES REPORT-JUN'09 (最新）(Goto San)" xfId="1115"/>
    <cellStyle name="_FS比売上分析09.2.TIR事業再建-11 2-6　14：00_090331　取締役会　売上設定明細_SALES REPORT FORECASTING, SALES FORECASTING, PRICE LSIT &amp; OTHERS" xfId="1116"/>
    <cellStyle name="_FS比売上分析09.2.TIR事業再建-11 2-6　14：00_090331　取締役会　売上設定明細_SALES REPORT FORECASTING, SALES FORECASTING, PRICE LSIT &amp; OTHERS-latest" xfId="1117"/>
    <cellStyle name="_FS比売上分析09.2.TIR事業再建-11 2-6　14：00_090331　取締役会　売上設定明細_SALES SUMMARY (PO DETAILS, REPORTS, FORECASTING &amp; OTHERS) FOR FY 10~11" xfId="1118"/>
    <cellStyle name="_FS比売上分析09.2.TIR事業再建-11 2-6　14：00_090402 08出荷実績" xfId="1119"/>
    <cellStyle name="_FS比売上分析09.2.TIR事業再建-11 2-6　14：00_090402 08出荷実績_09-09　(Final)2nd'09 sales plan" xfId="1120"/>
    <cellStyle name="_FS比売上分析09.2.TIR事業再建-11 2-6　14：00_090402 08出荷実績_31－Augst)　Latest 2nd Half 09-08　Sales　Plan　２nd-'09 OP" xfId="1121"/>
    <cellStyle name="_FS比売上分析09.2.TIR事業再建-11 2-6　14：00_090402 08出荷実績_Book1" xfId="1122"/>
    <cellStyle name="_FS比売上分析09.2.TIR事業再建-11 2-6　14：00_090402 08出荷実績_Book3" xfId="1123"/>
    <cellStyle name="_FS比売上分析09.2.TIR事業再建-11 2-6　14：00_090402 08出荷実績_REVISED SALES REPORT-JUN'09 (最新）(Goto San)" xfId="1124"/>
    <cellStyle name="_FS比売上分析09.2.TIR事業再建-11 2-6　14：00_090402 08出荷実績_SALES REPORT FORECASTING, SALES FORECASTING, PRICE LSIT &amp; OTHERS" xfId="1125"/>
    <cellStyle name="_FS比売上分析09.2.TIR事業再建-11 2-6　14：00_090402 08出荷実績_SALES REPORT FORECASTING, SALES FORECASTING, PRICE LSIT &amp; OTHERS-latest" xfId="1126"/>
    <cellStyle name="_FS比売上分析09.2.TIR事業再建-11 2-6　14：00_090402 08出荷実績_SALES SUMMARY (PO DETAILS, REPORTS, FORECASTING &amp; OTHERS) FOR FY 10~11" xfId="1127"/>
    <cellStyle name="_FS比売上分析09.2.TIR事業再建-11 2-6　14：00_09-09　(Final)2nd'09 sales plan" xfId="1128"/>
    <cellStyle name="_FS比売上分析09.2.TIR事業再建-11 2-6　14：00_09-2-19　11：50 TIR再FS用売上計画" xfId="1129"/>
    <cellStyle name="_FS比売上分析09.2.TIR事業再建-11 2-6　14：00_09-2-19　11：50 TIR再FS用売上計画_09-09　(Final)2nd'09 sales plan" xfId="1130"/>
    <cellStyle name="_FS比売上分析09.2.TIR事業再建-11 2-6　14：00_09-2-19　11：50 TIR再FS用売上計画_31－Augst)　Latest 2nd Half 09-08　Sales　Plan　２nd-'09 OP" xfId="1131"/>
    <cellStyle name="_FS比売上分析09.2.TIR事業再建-11 2-6　14：00_09-2-19　11：50 TIR再FS用売上計画_Book1" xfId="1132"/>
    <cellStyle name="_FS比売上分析09.2.TIR事業再建-11 2-6　14：00_09-2-19　11：50 TIR再FS用売上計画_Book3" xfId="1133"/>
    <cellStyle name="_FS比売上分析09.2.TIR事業再建-11 2-6　14：00_09-2-19　11：50 TIR再FS用売上計画_REVISED SALES REPORT-JUN'09 (最新）(Goto San)" xfId="1134"/>
    <cellStyle name="_FS比売上分析09.2.TIR事業再建-11 2-6　14：00_09-2-19　11：50 TIR再FS用売上計画_SALES REPORT FORECASTING, SALES FORECASTING, PRICE LSIT &amp; OTHERS" xfId="1135"/>
    <cellStyle name="_FS比売上分析09.2.TIR事業再建-11 2-6　14：00_09-2-19　11：50 TIR再FS用売上計画_SALES REPORT FORECASTING, SALES FORECASTING, PRICE LSIT &amp; OTHERS-latest" xfId="1136"/>
    <cellStyle name="_FS比売上分析09.2.TIR事業再建-11 2-6　14：00_09-2-19　11：50 TIR再FS用売上計画_SALES SUMMARY (PO DETAILS, REPORTS, FORECASTING &amp; OTHERS) FOR FY 10~11" xfId="1137"/>
    <cellStyle name="_FS比売上分析09.2.TIR事業再建-11 2-6　14：00_2009月別売上計画" xfId="1138"/>
    <cellStyle name="_FS比売上分析09.2.TIR事業再建-11 2-6　14：00_2009月別売上計画_09-09　(Final)2nd'09 sales plan" xfId="1139"/>
    <cellStyle name="_FS比売上分析09.2.TIR事業再建-11 2-6　14：00_2009月別売上計画_31－Augst)　Latest 2nd Half 09-08　Sales　Plan　２nd-'09 OP" xfId="1140"/>
    <cellStyle name="_FS比売上分析09.2.TIR事業再建-11 2-6　14：00_2009月別売上計画_Book1" xfId="1141"/>
    <cellStyle name="_FS比売上分析09.2.TIR事業再建-11 2-6　14：00_2009月別売上計画_Book3" xfId="1142"/>
    <cellStyle name="_FS比売上分析09.2.TIR事業再建-11 2-6　14：00_2009月別売上計画_REVISED SALES REPORT-JUN'09 (最新）(Goto San)" xfId="1143"/>
    <cellStyle name="_FS比売上分析09.2.TIR事業再建-11 2-6　14：00_2009月別売上計画_SALES REPORT FORECASTING, SALES FORECASTING, PRICE LSIT &amp; OTHERS" xfId="1144"/>
    <cellStyle name="_FS比売上分析09.2.TIR事業再建-11 2-6　14：00_2009月別売上計画_SALES REPORT FORECASTING, SALES FORECASTING, PRICE LSIT &amp; OTHERS-latest" xfId="1145"/>
    <cellStyle name="_FS比売上分析09.2.TIR事業再建-11 2-6　14：00_2009月別売上計画_SALES SUMMARY (PO DETAILS, REPORTS, FORECASTING &amp; OTHERS) FOR FY 10~11" xfId="1146"/>
    <cellStyle name="_FS比売上分析09.2.TIR事業再建-11 2-6　14：00_3-13TIR再建-営業添付資料" xfId="1147"/>
    <cellStyle name="_FS比売上分析09.2.TIR事業再建-11 2-6　14：00_3-13TIR再建-営業添付資料_09-09　(Final)2nd'09 sales plan" xfId="1148"/>
    <cellStyle name="_FS比売上分析09.2.TIR事業再建-11 2-6　14：00_3-13TIR再建-営業添付資料_31－Augst)　Latest 2nd Half 09-08　Sales　Plan　２nd-'09 OP" xfId="1149"/>
    <cellStyle name="_FS比売上分析09.2.TIR事業再建-11 2-6　14：00_3-13TIR再建-営業添付資料_Book1" xfId="1150"/>
    <cellStyle name="_FS比売上分析09.2.TIR事業再建-11 2-6　14：00_3-13TIR再建-営業添付資料_Book3" xfId="1151"/>
    <cellStyle name="_FS比売上分析09.2.TIR事業再建-11 2-6　14：00_3-13TIR再建-営業添付資料_REVISED SALES REPORT-JUN'09 (最新）(Goto San)" xfId="1152"/>
    <cellStyle name="_FS比売上分析09.2.TIR事業再建-11 2-6　14：00_3-13TIR再建-営業添付資料_SALES REPORT FORECASTING, SALES FORECASTING, PRICE LSIT &amp; OTHERS" xfId="1153"/>
    <cellStyle name="_FS比売上分析09.2.TIR事業再建-11 2-6　14：00_3-13TIR再建-営業添付資料_SALES REPORT FORECASTING, SALES FORECASTING, PRICE LSIT &amp; OTHERS-latest" xfId="1154"/>
    <cellStyle name="_FS比売上分析09.2.TIR事業再建-11 2-6　14：00_3-13TIR再建-営業添付資料_SALES SUMMARY (PO DETAILS, REPORTS, FORECASTING &amp; OTHERS) FOR FY 10~11" xfId="1155"/>
    <cellStyle name="_FS比売上分析09.2.TIR事業再建-11 2-6　14：00_3-13TIR再建-営業添付資料_Sheet3" xfId="1156"/>
    <cellStyle name="_FS比売上分析09.2.TIR事業再建-11 2-6　14：00_3-13TIR再建-営業添付資料_Sheet3_09-09　(Final)2nd'09 sales plan" xfId="1157"/>
    <cellStyle name="_FS比売上分析09.2.TIR事業再建-11 2-6　14：00_3-13TIR再建-営業添付資料_Sheet3_31－Augst)　Latest 2nd Half 09-08　Sales　Plan　２nd-'09 OP" xfId="1158"/>
    <cellStyle name="_FS比売上分析09.2.TIR事業再建-11 2-6　14：00_3-13TIR再建-営業添付資料_Sheet3_Book1" xfId="1159"/>
    <cellStyle name="_FS比売上分析09.2.TIR事業再建-11 2-6　14：00_3-13TIR再建-営業添付資料_Sheet3_Book3" xfId="1160"/>
    <cellStyle name="_FS比売上分析09.2.TIR事業再建-11 2-6　14：00_3-13TIR再建-営業添付資料_Sheet3_REVISED SALES REPORT-JUN'09 (最新）(Goto San)" xfId="1161"/>
    <cellStyle name="_FS比売上分析09.2.TIR事業再建-11 2-6　14：00_3-13TIR再建-営業添付資料_Sheet3_SALES REPORT FORECASTING, SALES FORECASTING, PRICE LSIT &amp; OTHERS" xfId="1162"/>
    <cellStyle name="_FS比売上分析09.2.TIR事業再建-11 2-6　14：00_3-13TIR再建-営業添付資料_Sheet3_SALES REPORT FORECASTING, SALES FORECASTING, PRICE LSIT &amp; OTHERS-latest" xfId="1163"/>
    <cellStyle name="_FS比売上分析09.2.TIR事業再建-11 2-6　14：00_3-13TIR再建-営業添付資料_Sheet3_SALES SUMMARY (PO DETAILS, REPORTS, FORECASTING &amp; OTHERS) FOR FY 10~11" xfId="1164"/>
    <cellStyle name="_FS比売上分析09.2.TIR事業再建-11 2-6　14：00_3-13TIR再建-営業資料その３" xfId="1165"/>
    <cellStyle name="_FS比売上分析09.2.TIR事業再建-11 2-6　14：00_3-13TIR再建-営業資料その３_09-09　(Final)2nd'09 sales plan" xfId="1166"/>
    <cellStyle name="_FS比売上分析09.2.TIR事業再建-11 2-6　14：00_3-13TIR再建-営業資料その３_31－Augst)　Latest 2nd Half 09-08　Sales　Plan　２nd-'09 OP" xfId="1167"/>
    <cellStyle name="_FS比売上分析09.2.TIR事業再建-11 2-6　14：00_3-13TIR再建-営業資料その３_Book1" xfId="1168"/>
    <cellStyle name="_FS比売上分析09.2.TIR事業再建-11 2-6　14：00_3-13TIR再建-営業資料その３_Book3" xfId="1169"/>
    <cellStyle name="_FS比売上分析09.2.TIR事業再建-11 2-6　14：00_3-13TIR再建-営業資料その３_REVISED SALES REPORT-JUN'09 (最新）(Goto San)" xfId="1170"/>
    <cellStyle name="_FS比売上分析09.2.TIR事業再建-11 2-6　14：00_3-13TIR再建-営業資料その３_SALES REPORT FORECASTING, SALES FORECASTING, PRICE LSIT &amp; OTHERS" xfId="1171"/>
    <cellStyle name="_FS比売上分析09.2.TIR事業再建-11 2-6　14：00_3-13TIR再建-営業資料その３_SALES REPORT FORECASTING, SALES FORECASTING, PRICE LSIT &amp; OTHERS-latest" xfId="1172"/>
    <cellStyle name="_FS比売上分析09.2.TIR事業再建-11 2-6　14：00_3-13TIR再建-営業資料その３_SALES SUMMARY (PO DETAILS, REPORTS, FORECASTING &amp; OTHERS) FOR FY 10~11" xfId="1173"/>
    <cellStyle name="_FS比売上分析09.2.TIR事業再建-11 2-6　14：00_3-13TIR再建-営業資料その３_Sheet3" xfId="1174"/>
    <cellStyle name="_FS比売上分析09.2.TIR事業再建-11 2-6　14：00_3-13TIR再建-営業資料その３_Sheet3_09-09　(Final)2nd'09 sales plan" xfId="1175"/>
    <cellStyle name="_FS比売上分析09.2.TIR事業再建-11 2-6　14：00_3-13TIR再建-営業資料その３_Sheet3_31－Augst)　Latest 2nd Half 09-08　Sales　Plan　２nd-'09 OP" xfId="1176"/>
    <cellStyle name="_FS比売上分析09.2.TIR事業再建-11 2-6　14：00_3-13TIR再建-営業資料その３_Sheet3_Book1" xfId="1177"/>
    <cellStyle name="_FS比売上分析09.2.TIR事業再建-11 2-6　14：00_3-13TIR再建-営業資料その３_Sheet3_Book3" xfId="1178"/>
    <cellStyle name="_FS比売上分析09.2.TIR事業再建-11 2-6　14：00_3-13TIR再建-営業資料その３_Sheet3_REVISED SALES REPORT-JUN'09 (最新）(Goto San)" xfId="1179"/>
    <cellStyle name="_FS比売上分析09.2.TIR事業再建-11 2-6　14：00_3-13TIR再建-営業資料その３_Sheet3_SALES REPORT FORECASTING, SALES FORECASTING, PRICE LSIT &amp; OTHERS" xfId="1180"/>
    <cellStyle name="_FS比売上分析09.2.TIR事業再建-11 2-6　14：00_3-13TIR再建-営業資料その３_Sheet3_SALES REPORT FORECASTING, SALES FORECASTING, PRICE LSIT &amp; OTHERS-latest" xfId="1181"/>
    <cellStyle name="_FS比売上分析09.2.TIR事業再建-11 2-6　14：00_3-13TIR再建-営業資料その３_Sheet3_SALES SUMMARY (PO DETAILS, REPORTS, FORECASTING &amp; OTHERS) FOR FY 10~11" xfId="1182"/>
    <cellStyle name="_FS比売上分析09.2.TIR事業再建-11 2-6　14：00_31－Augst)　Latest 2nd Half 09-08　Sales　Plan　２nd-'09 OP" xfId="1183"/>
    <cellStyle name="_FS比売上分析09.2.TIR事業再建-11 2-6　14：00_Book1" xfId="1184"/>
    <cellStyle name="_FS比売上分析09.2.TIR事業再建-11 2-6　14：00_Book3" xfId="1185"/>
    <cellStyle name="_FS比売上分析09.2.TIR事業再建-11 2-6　14：00_REVISED SALES REPORT-JUN'09 (最新）(Goto San)" xfId="1186"/>
    <cellStyle name="_FS比売上分析09.2.TIR事業再建-11 2-6　14：00_SALES REPORT FORECASTING, SALES FORECASTING, PRICE LSIT &amp; OTHERS" xfId="1187"/>
    <cellStyle name="_FS比売上分析09.2.TIR事業再建-11 2-6　14：00_SALES REPORT FORECASTING, SALES FORECASTING, PRICE LSIT &amp; OTHERS-latest" xfId="1188"/>
    <cellStyle name="_FS比売上分析09.2.TIR事業再建-11 2-6　14：00_SALES SUMMARY (PO DETAILS, REPORTS, FORECASTING &amp; OTHERS) FOR FY 10~11" xfId="1189"/>
    <cellStyle name="_FS比売上分析09.2.TIR事業再建-11 2-6　14：00_最終版09(1).3.30常務会（TIR再建計画）-03-27－①" xfId="1190"/>
    <cellStyle name="_FS比売上分析09.2.TIR事業再建-11 2-6　14：00_最終版09(1).3.30常務会（TIR再建計画）-03-27－①_09-09　(Final)2nd'09 sales plan" xfId="1191"/>
    <cellStyle name="_FS比売上分析09.2.TIR事業再建-11 2-6　14：00_最終版09(1).3.30常務会（TIR再建計画）-03-27－①_31－Augst)　Latest 2nd Half 09-08　Sales　Plan　２nd-'09 OP" xfId="1192"/>
    <cellStyle name="_FS比売上分析09.2.TIR事業再建-11 2-6　14：00_最終版09(1).3.30常務会（TIR再建計画）-03-27－①_Book1" xfId="1193"/>
    <cellStyle name="_FS比売上分析09.2.TIR事業再建-11 2-6　14：00_最終版09(1).3.30常務会（TIR再建計画）-03-27－①_Book3" xfId="1194"/>
    <cellStyle name="_FS比売上分析09.2.TIR事業再建-11 2-6　14：00_最終版09(1).3.30常務会（TIR再建計画）-03-27－①_REVISED SALES REPORT-JUN'09 (最新）(Goto San)" xfId="1195"/>
    <cellStyle name="_FS比売上分析09.2.TIR事業再建-11 2-6　14：00_最終版09(1).3.30常務会（TIR再建計画）-03-27－①_SALES REPORT FORECASTING, SALES FORECASTING, PRICE LSIT &amp; OTHERS" xfId="1196"/>
    <cellStyle name="_FS比売上分析09.2.TIR事業再建-11 2-6　14：00_最終版09(1).3.30常務会（TIR再建計画）-03-27－①_SALES REPORT FORECASTING, SALES FORECASTING, PRICE LSIT &amp; OTHERS-latest" xfId="1197"/>
    <cellStyle name="_FS比売上分析09.2.TIR事業再建-11 2-6　14：00_最終版09(1).3.30常務会（TIR再建計画）-03-27－①_SALES SUMMARY (PO DETAILS, REPORTS, FORECASTING &amp; OTHERS) FOR FY 10~11" xfId="1198"/>
    <cellStyle name="_FTM" xfId="1199"/>
    <cellStyle name="_FTM_FBT &amp; Amortisation" xfId="1200"/>
    <cellStyle name="_FTM_P&amp;L Expanded" xfId="1201"/>
    <cellStyle name="_FTM_P&amp;L Expanded March" xfId="1202"/>
    <cellStyle name="_FTM_Personnel" xfId="1203"/>
    <cellStyle name="_FTM_S&amp;D and Marketing" xfId="1204"/>
    <cellStyle name="_FTM_Service Model" xfId="1205"/>
    <cellStyle name="_FTM_South F&amp;F" xfId="1206"/>
    <cellStyle name="_FTM_Subs Model" xfId="1207"/>
    <cellStyle name="_FTM-Region Wise Profitability" xfId="1208"/>
    <cellStyle name="_FTM-Region Wise Profitability_FBT &amp; Amortisation" xfId="1209"/>
    <cellStyle name="_FTM-Region Wise Profitability_Network" xfId="1210"/>
    <cellStyle name="_FTM-Region Wise Profitability_P&amp;L Expanded" xfId="1211"/>
    <cellStyle name="_FTM-Region Wise Profitability_P&amp;L Expanded March" xfId="1212"/>
    <cellStyle name="_FTM-Region Wise Profitability_Personnel" xfId="1213"/>
    <cellStyle name="_FTM-Region Wise Profitability_S&amp;D and Marketing" xfId="1214"/>
    <cellStyle name="_FTM-Region Wise Profitability_Service Model" xfId="1215"/>
    <cellStyle name="_FTM-Region Wise Profitability_South F&amp;F" xfId="1216"/>
    <cellStyle name="_FTM-Region Wise Profitability_Subs Model" xfId="1217"/>
    <cellStyle name="_G_CSF schedule_Sept'08" xfId="1218"/>
    <cellStyle name="_G_CSF schedule_Sept'08_RLL_SEBI_One pager_Mar 2010" xfId="1219"/>
    <cellStyle name="_G_CSF schedule_Sept'08_RLL_SEBI_One pager_Mar 2010_RLL Standalone results 10 August 2010 - Final" xfId="1220"/>
    <cellStyle name="_G_CSF schedule_Sept'08_SEBI_Standalone_Sep 30 2009 (4)" xfId="1221"/>
    <cellStyle name="_G_CSF schedule_Sept'08_SEBI_Standalone_Sep 30 2009 (4)_RLL Standalone results 10 August 2010 - Final" xfId="1222"/>
    <cellStyle name="_Germany SAP reproting MARCH'08_A_FINAL ver dtd 08.05.2008" xfId="1223"/>
    <cellStyle name="_GFRC_Processes_All_2.0" xfId="1224"/>
    <cellStyle name="_GFRC_Processes_All_2.0_FBT &amp; Amortisation" xfId="1225"/>
    <cellStyle name="_GFRC_Processes_All_2.0_Network" xfId="1226"/>
    <cellStyle name="_GFRC_Processes_All_2.0_P&amp;L Expanded" xfId="1227"/>
    <cellStyle name="_GFRC_Processes_All_2.0_P&amp;L Expanded March" xfId="1228"/>
    <cellStyle name="_GFRC_Processes_All_2.0_Personnel" xfId="1229"/>
    <cellStyle name="_GFRC_Processes_All_2.0_S&amp;D and Marketing" xfId="1230"/>
    <cellStyle name="_GFRC_Processes_All_2.0_Service Model" xfId="1231"/>
    <cellStyle name="_GFRC_Processes_All_2.0_South F&amp;F" xfId="1232"/>
    <cellStyle name="_GFRC_Processes_All_2.0_Subs Model" xfId="1233"/>
    <cellStyle name="_Grossing Up (2)" xfId="1234"/>
    <cellStyle name="_GROSSING UP Raj &amp; Har SEP-04 (version 1)" xfId="1235"/>
    <cellStyle name="_Grossingup Entries" xfId="1236"/>
    <cellStyle name="_grosssing up Dec-04 Haryana" xfId="1237"/>
    <cellStyle name="_groupings genesis final" xfId="1238"/>
    <cellStyle name="—_GS Assumptions-F" xfId="1239"/>
    <cellStyle name="—_GS Assumptions-F_EM_CMHK" xfId="1240"/>
    <cellStyle name="—_GS Assumptions-F_EM_CMHK_Financial Model -v19" xfId="1241"/>
    <cellStyle name="—_GS Assumptions-F_EM_CMHK_Financial Model -v20" xfId="1242"/>
    <cellStyle name="—_GS Assumptions-F_EM_CMHK_Financial Model -v37" xfId="1243"/>
    <cellStyle name="—_GS Assumptions-F_Financial Model -v19" xfId="1244"/>
    <cellStyle name="—_GS Assumptions-F_Financial Model -v20" xfId="1245"/>
    <cellStyle name="—_GS Assumptions-F_Financial Model -v37" xfId="1246"/>
    <cellStyle name="—_GS_Balance" xfId="1247"/>
    <cellStyle name="—_GS_Balance_EM_CMHK" xfId="1248"/>
    <cellStyle name="—_GS_Balance_EM_CMHK_Financial Model -v19" xfId="1249"/>
    <cellStyle name="—_GS_Balance_EM_CMHK_Financial Model -v20" xfId="1250"/>
    <cellStyle name="—_GS_Balance_EM_CMHK_Financial Model -v37" xfId="1251"/>
    <cellStyle name="—_GS_Balance_Financial Model -v19" xfId="1252"/>
    <cellStyle name="—_GS_Balance_Financial Model -v20" xfId="1253"/>
    <cellStyle name="—_GS_Balance_Financial Model -v37" xfId="1254"/>
    <cellStyle name="—_GS_Cash " xfId="1255"/>
    <cellStyle name="—_GS_Cash  (2)" xfId="1256"/>
    <cellStyle name="—_GS_Cash  (2)_EM_CMHK" xfId="1257"/>
    <cellStyle name="—_GS_Cash  (2)_EM_CMHK_Financial Model -v19" xfId="1258"/>
    <cellStyle name="—_GS_Cash  (2)_EM_CMHK_Financial Model -v20" xfId="1259"/>
    <cellStyle name="—_GS_Cash  (2)_EM_CMHK_Financial Model -v37" xfId="1260"/>
    <cellStyle name="—_GS_Cash  (2)_Financial Model -v19" xfId="1261"/>
    <cellStyle name="—_GS_Cash  (2)_Financial Model -v20" xfId="1262"/>
    <cellStyle name="—_GS_Cash  (2)_Financial Model -v37" xfId="1263"/>
    <cellStyle name="—_GS_Cash _EM_CMHK" xfId="1264"/>
    <cellStyle name="—_GS_Cash _EM_CMHK_Financial Model -v19" xfId="1265"/>
    <cellStyle name="—_GS_Cash _EM_CMHK_Financial Model -v20" xfId="1266"/>
    <cellStyle name="—_GS_Cash _EM_CMHK_Financial Model -v37" xfId="1267"/>
    <cellStyle name="—_GS_Cash _Financial Model -v19" xfId="1268"/>
    <cellStyle name="—_GS_Cash _Financial Model -v20" xfId="1269"/>
    <cellStyle name="—_GS_Cash _Financial Model -v37" xfId="1270"/>
    <cellStyle name="—_GS_DCF" xfId="1271"/>
    <cellStyle name="—_GS_DCF_EM_CMHK" xfId="1272"/>
    <cellStyle name="—_GS_DCF_EM_CMHK_Financial Model -v19" xfId="1273"/>
    <cellStyle name="—_GS_DCF_EM_CMHK_Financial Model -v20" xfId="1274"/>
    <cellStyle name="—_GS_DCF_EM_CMHK_Financial Model -v37" xfId="1275"/>
    <cellStyle name="—_GS_DCF_Financial Model -v19" xfId="1276"/>
    <cellStyle name="—_GS_DCF_Financial Model -v20" xfId="1277"/>
    <cellStyle name="—_GS_DCF_Financial Model -v37" xfId="1278"/>
    <cellStyle name="—_GS_PNL" xfId="1279"/>
    <cellStyle name="—_GS_PNL_EM_CMHK" xfId="1280"/>
    <cellStyle name="—_GS_PNL_EM_CMHK_Financial Model -v19" xfId="1281"/>
    <cellStyle name="—_GS_PNL_EM_CMHK_Financial Model -v20" xfId="1282"/>
    <cellStyle name="—_GS_PNL_EM_CMHK_Financial Model -v37" xfId="1283"/>
    <cellStyle name="—_GS_PNL_Financial Model -v19" xfId="1284"/>
    <cellStyle name="—_GS_PNL_Financial Model -v20" xfId="1285"/>
    <cellStyle name="—_GS_PNL_Financial Model -v37" xfId="1286"/>
    <cellStyle name="_hari" xfId="1287"/>
    <cellStyle name="_HARP GROUPING DEC-04 HARYANA" xfId="1288"/>
    <cellStyle name="_HARP Template June-05" xfId="1289"/>
    <cellStyle name="_Haryana Capex Aging" xfId="1290"/>
    <cellStyle name="_Heading" xfId="1291"/>
    <cellStyle name="_Health_Checks (B&amp;T)" xfId="1292"/>
    <cellStyle name="_Highlight" xfId="1293"/>
    <cellStyle name="_HR Unit Budget" xfId="1294"/>
    <cellStyle name="_HR Unit Budget_FBT &amp; Amortisation" xfId="1295"/>
    <cellStyle name="_HR Unit Budget_Network" xfId="1296"/>
    <cellStyle name="_HR Unit Budget_P&amp;L Expanded" xfId="1297"/>
    <cellStyle name="_HR Unit Budget_P&amp;L Expanded March" xfId="1298"/>
    <cellStyle name="_HR Unit Budget_Personnel" xfId="1299"/>
    <cellStyle name="_HR Unit Budget_S&amp;D and Marketing" xfId="1300"/>
    <cellStyle name="_HR Unit Budget_Service Model" xfId="1301"/>
    <cellStyle name="_HR Unit Budget_South F&amp;F" xfId="1302"/>
    <cellStyle name="_HR Unit Budget_Subs Model" xfId="1303"/>
    <cellStyle name="—_I&amp;O Report Tables" xfId="1304"/>
    <cellStyle name="—_I&amp;O Report Tables_candicetables" xfId="1305"/>
    <cellStyle name="—_I&amp;O Report Tables_candicetables_Mobile_demographics" xfId="1306"/>
    <cellStyle name="—_I&amp;O Report Tables_Financial Model -v19" xfId="1307"/>
    <cellStyle name="—_I&amp;O Report Tables_Financial Model -v20" xfId="1308"/>
    <cellStyle name="—_I&amp;O Report Tables_Financial Model -v37" xfId="1309"/>
    <cellStyle name="—_I&amp;O Report Tables_Mobile_demographics" xfId="1310"/>
    <cellStyle name="_I.C Dump for related party schedule" xfId="1311"/>
    <cellStyle name="_IAS - Forex Delhi Final" xfId="1312"/>
    <cellStyle name="_IBM" xfId="1313"/>
    <cellStyle name="_IBM_FBT &amp; Amortisation" xfId="1314"/>
    <cellStyle name="_IBM_P&amp;L Expanded" xfId="1315"/>
    <cellStyle name="_IBM_P&amp;L Expanded March" xfId="1316"/>
    <cellStyle name="_IBM_Personnel" xfId="1317"/>
    <cellStyle name="_IBM_S&amp;D and Marketing" xfId="1318"/>
    <cellStyle name="_IBM_Service Model" xfId="1319"/>
    <cellStyle name="_IBM_South F&amp;F" xfId="1320"/>
    <cellStyle name="_IBM_Subs Model" xfId="1321"/>
    <cellStyle name="_ICS - F&amp;F_Mar-07" xfId="1322"/>
    <cellStyle name="_ICS F&amp;F_Dec-06" xfId="1323"/>
    <cellStyle name="_ICS F&amp;F_Jan 07" xfId="1324"/>
    <cellStyle name="_ICS KPI_Final" xfId="1325"/>
    <cellStyle name="_ICV Provision Summary" xfId="1326"/>
    <cellStyle name="_ILD Analysis format" xfId="1327"/>
    <cellStyle name="_ILD Analysis format_FBT &amp; Amortisation" xfId="1328"/>
    <cellStyle name="_ILD Analysis format_Network" xfId="1329"/>
    <cellStyle name="_ILD Analysis format_P&amp;L Expanded" xfId="1330"/>
    <cellStyle name="_ILD Analysis format_P&amp;L Expanded March" xfId="1331"/>
    <cellStyle name="_ILD Analysis format_Personnel" xfId="1332"/>
    <cellStyle name="_ILD Analysis format_S&amp;D and Marketing" xfId="1333"/>
    <cellStyle name="_ILD Analysis format_Service Model" xfId="1334"/>
    <cellStyle name="_ILD Analysis format_South F&amp;F" xfId="1335"/>
    <cellStyle name="_ILD Analysis format_Subs Model" xfId="1336"/>
    <cellStyle name="_ILD F&amp;F Format-Aug 06" xfId="1337"/>
    <cellStyle name="_ILD F&amp;F Format-Sept 06 ver1.0" xfId="1338"/>
    <cellStyle name="_ILD F&amp;F Review - Dec 06" xfId="1339"/>
    <cellStyle name="_ILD F&amp;F Review - Jan 07" xfId="1340"/>
    <cellStyle name="_ILD F&amp;F Review - Mar 07" xfId="1341"/>
    <cellStyle name="_ILD F&amp;F Review - Nov 06" xfId="1342"/>
    <cellStyle name="_ILD F&amp;F Review - Oct 06" xfId="1343"/>
    <cellStyle name="_ILD MAPA Format" xfId="1344"/>
    <cellStyle name="_ILD MAPA Format_FBT &amp; Amortisation" xfId="1345"/>
    <cellStyle name="_ILD MAPA Format_P&amp;L Expanded" xfId="1346"/>
    <cellStyle name="_ILD MAPA Format_P&amp;L Expanded March" xfId="1347"/>
    <cellStyle name="_ILD MAPA Format_Personnel" xfId="1348"/>
    <cellStyle name="_ILD MAPA Format_S&amp;D and Marketing" xfId="1349"/>
    <cellStyle name="_ILD MAPA Format_Service Model" xfId="1350"/>
    <cellStyle name="_ILD MAPA Format_South F&amp;F" xfId="1351"/>
    <cellStyle name="_ILD MAPA Format_Subs Model" xfId="1352"/>
    <cellStyle name="_ILD MAPA Mar 06" xfId="1353"/>
    <cellStyle name="_ILD MAPA Mar 06_FBT &amp; Amortisation" xfId="1354"/>
    <cellStyle name="_ILD MAPA Mar 06_P&amp;L Expanded" xfId="1355"/>
    <cellStyle name="_ILD MAPA Mar 06_P&amp;L Expanded March" xfId="1356"/>
    <cellStyle name="_ILD MAPA Mar 06_Personnel" xfId="1357"/>
    <cellStyle name="_ILD MAPA Mar 06_S&amp;D and Marketing" xfId="1358"/>
    <cellStyle name="_ILD MAPA Mar 06_Service Model" xfId="1359"/>
    <cellStyle name="_ILD MAPA Mar 06_South F&amp;F" xfId="1360"/>
    <cellStyle name="_ILD MAPA Mar 06_Subs Model" xfId="1361"/>
    <cellStyle name="_ILD QonQ" xfId="1362"/>
    <cellStyle name="_ILD Unit Budget Format - Ver 2.8" xfId="1363"/>
    <cellStyle name="_ILS Sales &amp; Realisation as on 28-Feb-07" xfId="1364"/>
    <cellStyle name="_IMPAIR testing" xfId="1365"/>
    <cellStyle name="_Incentive Provision" xfId="1366"/>
    <cellStyle name="_Incentive Provision_FBT &amp; Amortisation" xfId="1367"/>
    <cellStyle name="_Incentive Provision_Network" xfId="1368"/>
    <cellStyle name="_Incentive Provision_P&amp;L Expanded" xfId="1369"/>
    <cellStyle name="_Incentive Provision_P&amp;L Expanded March" xfId="1370"/>
    <cellStyle name="_Incentive Provision_Personnel" xfId="1371"/>
    <cellStyle name="_Incentive Provision_S&amp;D and Marketing" xfId="1372"/>
    <cellStyle name="_Incentive Provision_Service Model" xfId="1373"/>
    <cellStyle name="_Incentive Provision_South F&amp;F" xfId="1374"/>
    <cellStyle name="_Incentive Provision_Subs Model" xfId="1375"/>
    <cellStyle name="_Incentive Provision-Mar05" xfId="1376"/>
    <cellStyle name="_Incentive Provision-Mar05_FBT &amp; Amortisation" xfId="1377"/>
    <cellStyle name="_Incentive Provision-Mar05_Network" xfId="1378"/>
    <cellStyle name="_Incentive Provision-Mar05_P&amp;L Expanded" xfId="1379"/>
    <cellStyle name="_Incentive Provision-Mar05_P&amp;L Expanded March" xfId="1380"/>
    <cellStyle name="_Incentive Provision-Mar05_Personnel" xfId="1381"/>
    <cellStyle name="_Incentive Provision-Mar05_S&amp;D and Marketing" xfId="1382"/>
    <cellStyle name="_Incentive Provision-Mar05_Service Model" xfId="1383"/>
    <cellStyle name="_Incentive Provision-Mar05_South F&amp;F" xfId="1384"/>
    <cellStyle name="_Incentive Provision-Mar05_Subs Model" xfId="1385"/>
    <cellStyle name="_Index" xfId="1386"/>
    <cellStyle name="_Indigenous Accrual Backup_Mar06_v1" xfId="1387"/>
    <cellStyle name="_IndNOTES" xfId="1388"/>
    <cellStyle name="_IndNOTES_1" xfId="1389"/>
    <cellStyle name="_IndNOTES_2" xfId="1390"/>
    <cellStyle name="_IndNOTES_3" xfId="1391"/>
    <cellStyle name="_IndNOTES_4" xfId="1392"/>
    <cellStyle name="_IndNOTES_5" xfId="1393"/>
    <cellStyle name="_IndNOTES_6" xfId="1394"/>
    <cellStyle name="_IndNOTES_7" xfId="1395"/>
    <cellStyle name="_IndNOTES_8" xfId="1396"/>
    <cellStyle name="_Infogroup BS-Format sent by VS 101204 14 PM   Net  A3 Formatting    2" xfId="1397"/>
    <cellStyle name="_Infogroup BS-Format sent by VS November 1" xfId="1398"/>
    <cellStyle name="_Infotel Eliminations Budget" xfId="1399"/>
    <cellStyle name="_Infotel KPI's Cover page" xfId="1400"/>
    <cellStyle name="_Infotel KPI's Cover page_FBT &amp; Amortisation" xfId="1401"/>
    <cellStyle name="_Infotel KPI's Cover page_Network" xfId="1402"/>
    <cellStyle name="_Infotel KPI's Cover page_P&amp;L Expanded" xfId="1403"/>
    <cellStyle name="_Infotel KPI's Cover page_P&amp;L Expanded March" xfId="1404"/>
    <cellStyle name="_Infotel KPI's Cover page_Personnel" xfId="1405"/>
    <cellStyle name="_Infotel KPI's Cover page_S&amp;D and Marketing" xfId="1406"/>
    <cellStyle name="_Infotel KPI's Cover page_Service Model" xfId="1407"/>
    <cellStyle name="_Infotel KPI's Cover page_South F&amp;F" xfId="1408"/>
    <cellStyle name="_Infotel KPI's Cover page_Subs Model" xfId="1409"/>
    <cellStyle name="_Infra-Prov-Working" xfId="1410"/>
    <cellStyle name="_Inter Unit" xfId="1411"/>
    <cellStyle name="_Interest Income" xfId="1412"/>
    <cellStyle name="_Inventory 30-Nov-04 final" xfId="1413"/>
    <cellStyle name="_Inventory as on 31 3 05" xfId="1414"/>
    <cellStyle name="_Inventory Dec onwards.04" xfId="1415"/>
    <cellStyle name="_Inventory_Valution_final" xfId="1416"/>
    <cellStyle name="_IR Pack first cut" xfId="1417"/>
    <cellStyle name="_IR Pack first cut_FBT &amp; Amortisation" xfId="1418"/>
    <cellStyle name="_IR Pack first cut_P&amp;L Expanded" xfId="1419"/>
    <cellStyle name="_IR Pack first cut_P&amp;L Expanded March" xfId="1420"/>
    <cellStyle name="_IRPPL_Final_20-10-07" xfId="1421"/>
    <cellStyle name="_IRU backbone - Jan-05" xfId="1422"/>
    <cellStyle name="_IUC Income" xfId="1423"/>
    <cellStyle name="_IUC Income Provision May 2004" xfId="1424"/>
    <cellStyle name="_IUC Income Provision May 2004_Audit template schedule_LR Sept 2008 (2)" xfId="1425"/>
    <cellStyle name="_IUC Income_Audit template schedule_LR Sept 2008 (2)" xfId="1426"/>
    <cellStyle name="_IUC Incoming Delhi" xfId="1427"/>
    <cellStyle name="_IUC Incoming Delhi_Audit template schedule_LR Sept 2008 (2)" xfId="1428"/>
    <cellStyle name="_Jul-04 Projected Revenue" xfId="1429"/>
    <cellStyle name="_JULY 09 RECO a" xfId="1430"/>
    <cellStyle name="_JULY 09 RECO-21614 a" xfId="1431"/>
    <cellStyle name="_June 03" xfId="1432"/>
    <cellStyle name="_JUNE 09 RECO" xfId="1433"/>
    <cellStyle name="_JUNE 09 RECO-21614" xfId="1434"/>
    <cellStyle name="_kế hoạch" xfId="1435"/>
    <cellStyle name="_Key Indicators- FTM" xfId="1436"/>
    <cellStyle name="_Key Indicators- FTM_FBT &amp; Amortisation" xfId="1437"/>
    <cellStyle name="_Key Indicators- FTM_Network" xfId="1438"/>
    <cellStyle name="_Key Indicators- FTM_P&amp;L Expanded" xfId="1439"/>
    <cellStyle name="_Key Indicators- FTM_P&amp;L Expanded March" xfId="1440"/>
    <cellStyle name="_Key Indicators- FTM_Personnel" xfId="1441"/>
    <cellStyle name="_Key Indicators- FTM_S&amp;D and Marketing" xfId="1442"/>
    <cellStyle name="_Key Indicators- FTM_Service Model" xfId="1443"/>
    <cellStyle name="_Key Indicators- FTM_South F&amp;F" xfId="1444"/>
    <cellStyle name="_Key Indicators- FTM_Subs Model" xfId="1445"/>
    <cellStyle name="_Key Indicators- YTD" xfId="1446"/>
    <cellStyle name="_Key Indicators- YTD_FBT &amp; Amortisation" xfId="1447"/>
    <cellStyle name="_Key Indicators- YTD_Network" xfId="1448"/>
    <cellStyle name="_Key Indicators- YTD_P&amp;L Expanded" xfId="1449"/>
    <cellStyle name="_Key Indicators- YTD_P&amp;L Expanded March" xfId="1450"/>
    <cellStyle name="_Key Indicators- YTD_Personnel" xfId="1451"/>
    <cellStyle name="_Key Indicators- YTD_S&amp;D and Marketing" xfId="1452"/>
    <cellStyle name="_Key Indicators- YTD_Service Model" xfId="1453"/>
    <cellStyle name="_Key Indicators- YTD_South F&amp;F" xfId="1454"/>
    <cellStyle name="_Key Indicators- YTD_Subs Model" xfId="1455"/>
    <cellStyle name="_KK KPI" xfId="1456"/>
    <cellStyle name="_KK KPI_FBT &amp; Amortisation" xfId="1457"/>
    <cellStyle name="_KK KPI_Network" xfId="1458"/>
    <cellStyle name="_KK KPI_P&amp;L Expanded" xfId="1459"/>
    <cellStyle name="_KK KPI_P&amp;L Expanded March" xfId="1460"/>
    <cellStyle name="_KK KPI_Personnel" xfId="1461"/>
    <cellStyle name="_KK KPI_S&amp;D and Marketing" xfId="1462"/>
    <cellStyle name="_KK KPI_Service Model" xfId="1463"/>
    <cellStyle name="_KK KPI_South F&amp;F" xfId="1464"/>
    <cellStyle name="_KK KPI_Subs Model" xfId="1465"/>
    <cellStyle name="_KK MAPA Jul 06" xfId="1466"/>
    <cellStyle name="_KK MAPA Jul 06_FBT &amp; Amortisation" xfId="1467"/>
    <cellStyle name="_KK MAPA Jul 06_P&amp;L Expanded" xfId="1468"/>
    <cellStyle name="_KK MAPA Jul 06_P&amp;L Expanded March" xfId="1469"/>
    <cellStyle name="_KK MAPA Jul 06_Personnel" xfId="1470"/>
    <cellStyle name="_KK MAPA Jul 06_S&amp;D and Marketing" xfId="1471"/>
    <cellStyle name="_KK MAPA Jul 06_Service Model" xfId="1472"/>
    <cellStyle name="_KK MAPA Jul 06_South F&amp;F" xfId="1473"/>
    <cellStyle name="_KK MAPA Jul 06_Subs Model" xfId="1474"/>
    <cellStyle name="_KKR - debt restatement" xfId="1475"/>
    <cellStyle name="_Knorr-Bremse Financials-March07 - final (30.10.07)" xfId="1476"/>
    <cellStyle name="_KnorrBremse Financials-March07 (301007) ver1" xfId="1477"/>
    <cellStyle name="_KPI BBNL" xfId="1478"/>
    <cellStyle name="_KPI BBNL_FBT &amp; Amortisation" xfId="1479"/>
    <cellStyle name="_KPI BBNL_P&amp;L Expanded" xfId="1480"/>
    <cellStyle name="_KPI BBNL_P&amp;L Expanded March" xfId="1481"/>
    <cellStyle name="_KPI BBNL_Personnel" xfId="1482"/>
    <cellStyle name="_KPI BBNL_S&amp;D and Marketing" xfId="1483"/>
    <cellStyle name="_KPI BBNL_Service Model" xfId="1484"/>
    <cellStyle name="_KPI BBNL_South F&amp;F" xfId="1485"/>
    <cellStyle name="_KPI BBNL_Subs Model" xfId="1486"/>
    <cellStyle name="_KPI Consol" xfId="1487"/>
    <cellStyle name="_KPI Consol_FBT &amp; Amortisation" xfId="1488"/>
    <cellStyle name="_KPI Consol_Network" xfId="1489"/>
    <cellStyle name="_KPI Consol_P&amp;L Expanded" xfId="1490"/>
    <cellStyle name="_KPI Consol_P&amp;L Expanded March" xfId="1491"/>
    <cellStyle name="_KPI Consol_Personnel" xfId="1492"/>
    <cellStyle name="_KPI Consol_S&amp;D and Marketing" xfId="1493"/>
    <cellStyle name="_KPI Consol_Service Model" xfId="1494"/>
    <cellStyle name="_KPI Consol_South F&amp;F" xfId="1495"/>
    <cellStyle name="_KPI Consol_Subs Model" xfId="1496"/>
    <cellStyle name="_KPI Consolidation version 8" xfId="1497"/>
    <cellStyle name="_KPI Consolidation version 8_FBT &amp; Amortisation" xfId="1498"/>
    <cellStyle name="_KPI Consolidation version 8_Network" xfId="1499"/>
    <cellStyle name="_KPI Consolidation version 8_P&amp;L Expanded" xfId="1500"/>
    <cellStyle name="_KPI Consolidation version 8_P&amp;L Expanded March" xfId="1501"/>
    <cellStyle name="_KPI Consolidation version 8_Personnel" xfId="1502"/>
    <cellStyle name="_KPI Consolidation version 8_S&amp;D and Marketing" xfId="1503"/>
    <cellStyle name="_KPI Consolidation version 8_Service Model" xfId="1504"/>
    <cellStyle name="_KPI Consolidation version 8_South F&amp;F" xfId="1505"/>
    <cellStyle name="_KPI Consolidation version 8_Subs Model" xfId="1506"/>
    <cellStyle name="_KPI definitions_Draft" xfId="1507"/>
    <cellStyle name="_KPI definitions_Draft_FBT &amp; Amortisation" xfId="1508"/>
    <cellStyle name="_KPI definitions_Draft_P&amp;L Expanded" xfId="1509"/>
    <cellStyle name="_KPI definitions_Draft_P&amp;L Expanded March" xfId="1510"/>
    <cellStyle name="_KPI definitions_Draft_Personnel" xfId="1511"/>
    <cellStyle name="_KPI definitions_Draft_S&amp;D and Marketing" xfId="1512"/>
    <cellStyle name="_KPI definitions_Draft_Service Model" xfId="1513"/>
    <cellStyle name="_KPI definitions_Draft_South F&amp;F" xfId="1514"/>
    <cellStyle name="_KPI definitions_Draft_Subs Model" xfId="1515"/>
    <cellStyle name="_KPI Format" xfId="1516"/>
    <cellStyle name="_KPI_Aug-06_flash" xfId="1517"/>
    <cellStyle name="_KPIs ICS" xfId="1518"/>
    <cellStyle name="_L (TDS Delay)1" xfId="1519"/>
    <cellStyle name="_laibilities write back detail-07" xfId="1520"/>
    <cellStyle name="_LD F&amp;F Format-ILD-Aug 06" xfId="1521"/>
    <cellStyle name="_LD F&amp;F Format-ILD-Mar 06" xfId="1522"/>
    <cellStyle name="_LD F&amp;F Format-Mar 06" xfId="1523"/>
    <cellStyle name="_LDS Schedule Template_Sep' 06" xfId="1524"/>
    <cellStyle name="_LDS Schedule Template_Sep' 06_Audit template schedule_LR Sept 2008 (2)" xfId="1525"/>
    <cellStyle name="_LEAD SCHEDULE FOR CAS - MAY 2005" xfId="1526"/>
    <cellStyle name="_LEAD SCHEDULE-APRIL 05 FOR CAS" xfId="1527"/>
    <cellStyle name="_LEAD SCHEDULE-MAR 05 FOR CAS" xfId="1528"/>
    <cellStyle name="_Leave &amp; Gratuity prov" xfId="1529"/>
    <cellStyle name="_Leave &amp; Gratuity prov_FBT &amp; Amortisation" xfId="1530"/>
    <cellStyle name="_Leave &amp; Gratuity prov_Network" xfId="1531"/>
    <cellStyle name="_Leave &amp; Gratuity prov_P&amp;L Expanded" xfId="1532"/>
    <cellStyle name="_Leave &amp; Gratuity prov_P&amp;L Expanded March" xfId="1533"/>
    <cellStyle name="_Leave &amp; Gratuity prov_Personnel" xfId="1534"/>
    <cellStyle name="_Leave &amp; Gratuity prov_S&amp;D and Marketing" xfId="1535"/>
    <cellStyle name="_Leave &amp; Gratuity prov_Service Model" xfId="1536"/>
    <cellStyle name="_Leave &amp; Gratuity prov_South F&amp;F" xfId="1537"/>
    <cellStyle name="_Leave &amp; Gratuity prov_Subs Model" xfId="1538"/>
    <cellStyle name="_Legrand Financials" xfId="1539"/>
    <cellStyle name="_Lehman - LBO  bis plan WW v.2.1" xfId="1540"/>
    <cellStyle name="_Lehman LBO 28 03 02" xfId="1541"/>
    <cellStyle name="_Lev Fin LBO Model Oct 8_All Senior" xfId="1542"/>
    <cellStyle name="_List of Audit ScH June-04-final HAR" xfId="1543"/>
    <cellStyle name="_List of Orders Pending_December 06, 2004" xfId="1544"/>
    <cellStyle name="_List of requirements - Current Liab" xfId="1545"/>
    <cellStyle name="_List of requirements - Revenue" xfId="1546"/>
    <cellStyle name="_List of requirements - Revenue_Schedule Template_Limited Review" xfId="1547"/>
    <cellStyle name="_Lo Expenses" xfId="1548"/>
    <cellStyle name="_Loan- subsidiaries" xfId="1549"/>
    <cellStyle name="_Loans &amp; Advances" xfId="1550"/>
    <cellStyle name="_LOC" xfId="1551"/>
    <cellStyle name="_Location Wise Grids - 30 Nov 07" xfId="1552"/>
    <cellStyle name="_LTA AFTER MAR PAYOUT_MP" xfId="1553"/>
    <cellStyle name="_LTA AFTER MAR PAYOUT_MP_Audit template schedule_LR Sept 2008 (2)" xfId="1554"/>
    <cellStyle name="_LTA AFTER MAR PAYOUT_MP_FBT &amp; Amortisation" xfId="1555"/>
    <cellStyle name="_LTA AFTER MAR PAYOUT_MP_Network" xfId="1556"/>
    <cellStyle name="_LTA AFTER MAR PAYOUT_MP_P&amp;L Expanded" xfId="1557"/>
    <cellStyle name="_LTA AFTER MAR PAYOUT_MP_P&amp;L Expanded March" xfId="1558"/>
    <cellStyle name="_LTA AFTER MAR PAYOUT_MP_Personnel" xfId="1559"/>
    <cellStyle name="_LTA AFTER MAR PAYOUT_MP_S&amp;D and Marketing" xfId="1560"/>
    <cellStyle name="_LTA AFTER MAR PAYOUT_MP_Service Model" xfId="1561"/>
    <cellStyle name="_LTA AFTER MAR PAYOUT_MP_South F&amp;F" xfId="1562"/>
    <cellStyle name="_LTA AFTER MAR PAYOUT_MP_Subs Model" xfId="1563"/>
    <cellStyle name="_Lumina LBO Model 1 08 02 v4" xfId="1564"/>
    <cellStyle name="_Lumina LBO Model 10 05 02 kkr" xfId="1565"/>
    <cellStyle name="_Lumina LBO Model 18 07 02 v2" xfId="1566"/>
    <cellStyle name="_Malaysia - Top Products WC - QIII QIV'07" xfId="1567"/>
    <cellStyle name="_Malaysia - Top Products WC - QIII QIV'07_RLL Standalone results 10 August 2010 - Final" xfId="1568"/>
    <cellStyle name="_manpowerjune" xfId="1569"/>
    <cellStyle name="_MAPA - Dec 05 Fin" xfId="1570"/>
    <cellStyle name="_MAPA - Dec 05 Fin_FBT &amp; Amortisation" xfId="1571"/>
    <cellStyle name="_MAPA - Dec 05 Fin_Network" xfId="1572"/>
    <cellStyle name="_MAPA - Dec 05 Fin_P&amp;L Expanded" xfId="1573"/>
    <cellStyle name="_MAPA - Dec 05 Fin_P&amp;L Expanded March" xfId="1574"/>
    <cellStyle name="_MAPA - Dec 05 Fin_Personnel" xfId="1575"/>
    <cellStyle name="_MAPA - Dec 05 Fin_S&amp;D and Marketing" xfId="1576"/>
    <cellStyle name="_MAPA - Dec 05 Fin_Service Model" xfId="1577"/>
    <cellStyle name="_MAPA - Dec 05 Fin_South F&amp;F" xfId="1578"/>
    <cellStyle name="_MAPA - Dec 05 Fin_Subs Model" xfId="1579"/>
    <cellStyle name="_MAPA NCR DEC05" xfId="1580"/>
    <cellStyle name="_MAPA NCR DEC05_FBT &amp; Amortisation" xfId="1581"/>
    <cellStyle name="_MAPA NCR DEC05_Network" xfId="1582"/>
    <cellStyle name="_MAPA NCR DEC05_P&amp;L Expanded" xfId="1583"/>
    <cellStyle name="_MAPA NCR DEC05_P&amp;L Expanded March" xfId="1584"/>
    <cellStyle name="_MAPA NCR DEC05_Personnel" xfId="1585"/>
    <cellStyle name="_MAPA NCR DEC05_S&amp;D and Marketing" xfId="1586"/>
    <cellStyle name="_MAPA NCR DEC05_Service Model" xfId="1587"/>
    <cellStyle name="_MAPA NCR DEC05_South F&amp;F" xfId="1588"/>
    <cellStyle name="_MAPA NCR DEC05_Subs Model" xfId="1589"/>
    <cellStyle name="_MAPA NCR NOV'05" xfId="1590"/>
    <cellStyle name="_MAPA NCR NOV'05_FBT &amp; Amortisation" xfId="1591"/>
    <cellStyle name="_MAPA NCR NOV'05_Network" xfId="1592"/>
    <cellStyle name="_MAPA NCR NOV'05_P&amp;L Expanded" xfId="1593"/>
    <cellStyle name="_MAPA NCR NOV'05_P&amp;L Expanded March" xfId="1594"/>
    <cellStyle name="_MAPA NCR NOV'05_Personnel" xfId="1595"/>
    <cellStyle name="_MAPA NCR NOV'05_S&amp;D and Marketing" xfId="1596"/>
    <cellStyle name="_MAPA NCR NOV'05_Service Model" xfId="1597"/>
    <cellStyle name="_MAPA NCR NOV'05_South F&amp;F" xfId="1598"/>
    <cellStyle name="_MAPA NCR NOV'05_Subs Model" xfId="1599"/>
    <cellStyle name="_MAPA-Nov 04" xfId="1600"/>
    <cellStyle name="_MAPA-Nov 04_FBT &amp; Amortisation" xfId="1601"/>
    <cellStyle name="_MAPA-Nov 04_P&amp;L Expanded" xfId="1602"/>
    <cellStyle name="_MAPA-Nov 04_P&amp;L Expanded March" xfId="1603"/>
    <cellStyle name="_MAPA-Nov 04_Personnel" xfId="1604"/>
    <cellStyle name="_MAPA-Nov 04_S&amp;D and Marketing" xfId="1605"/>
    <cellStyle name="_MAPA-Nov 04_Service Model" xfId="1606"/>
    <cellStyle name="_MAPA-Nov 04_South F&amp;F" xfId="1607"/>
    <cellStyle name="_MAPA-Nov 04_Subs Model" xfId="1608"/>
    <cellStyle name="_MAR 09 RECO" xfId="1609"/>
    <cellStyle name="_Medical &amp; LTA BALANCES 31-03-2008" xfId="1610"/>
    <cellStyle name="_Mgt accts May'07-China-V1" xfId="1611"/>
    <cellStyle name="_MIS - Finance &amp; Accounts AIPL-Leasing(ILS)" xfId="1612"/>
    <cellStyle name="_mis as on 100904" xfId="1613"/>
    <cellStyle name="_MIS as on 161204" xfId="1614"/>
    <cellStyle name="_MIS as on 270804 as per HS" xfId="1615"/>
    <cellStyle name="_MIS as on 290904" xfId="1616"/>
    <cellStyle name="_MIS as on 8th Oct" xfId="1617"/>
    <cellStyle name="_MIS for April" xfId="1618"/>
    <cellStyle name="_MIS for April_FBT &amp; Amortisation" xfId="1619"/>
    <cellStyle name="_MIS for April_P&amp;L Expanded" xfId="1620"/>
    <cellStyle name="_MIS for April_P&amp;L Expanded March" xfId="1621"/>
    <cellStyle name="_MIS for April_Personnel" xfId="1622"/>
    <cellStyle name="_MIS for April_S&amp;D and Marketing" xfId="1623"/>
    <cellStyle name="_MIS for April_Service Model" xfId="1624"/>
    <cellStyle name="_MIS for April_South F&amp;F" xfId="1625"/>
    <cellStyle name="_MIS for April_Subs Model" xfId="1626"/>
    <cellStyle name="_MIS Formats final Feb 08" xfId="1627"/>
    <cellStyle name="_MIS Formats final Feb 08_6.Volumes BM 30.06.2009" xfId="1628"/>
    <cellStyle name="_MIS Formats final Feb 08_6.Volumes BM 30.06.2009_Consolidated Profit  Loss account - Region Wise - April 10" xfId="1629"/>
    <cellStyle name="_MIS Formats final Feb 08_6.Volumes BM 30.06.2009_Consolidated Profit  Loss account Nov'09-Region Wise" xfId="1630"/>
    <cellStyle name="_MIS Formats final Feb 08_Copy of Volume Split - FY 2009-10" xfId="1631"/>
    <cellStyle name="_MIS Formats final Feb 08_Escorts Amritsar - Nov'09 Concall" xfId="1632"/>
    <cellStyle name="_MIS_Nov'07" xfId="1633"/>
    <cellStyle name="_mis03.08.2004" xfId="1634"/>
    <cellStyle name="_mis041104" xfId="1635"/>
    <cellStyle name="_mis141004" xfId="1636"/>
    <cellStyle name="_MIS15092004" xfId="1637"/>
    <cellStyle name="_mis181104" xfId="1638"/>
    <cellStyle name="_mis201004" xfId="1639"/>
    <cellStyle name="_mis230904" xfId="1640"/>
    <cellStyle name="_mis281004-1" xfId="1641"/>
    <cellStyle name="_MIS29092004" xfId="1642"/>
    <cellStyle name="_mis301104" xfId="1643"/>
    <cellStyle name="_mis311004" xfId="1644"/>
    <cellStyle name="_MIScollection fromat" xfId="1645"/>
    <cellStyle name="_MIScollection fromat10.9.2004" xfId="1646"/>
    <cellStyle name="—_Mobile_demographics" xfId="1647"/>
    <cellStyle name="_Mobility QonQ1" xfId="1648"/>
    <cellStyle name="_Mobility QonQ1_FBT &amp; Amortisation" xfId="1649"/>
    <cellStyle name="_Mobility QonQ1_P&amp;L Expanded" xfId="1650"/>
    <cellStyle name="_Mobility QonQ1_P&amp;L Expanded March" xfId="1651"/>
    <cellStyle name="_Monthly Flash Analysis" xfId="1652"/>
    <cellStyle name="_Monthly Management account_Hyperion_China" xfId="1653"/>
    <cellStyle name="_Monthly P &amp; L account for FY 0405 as budgeted" xfId="1654"/>
    <cellStyle name="_Monthly Revenue w.e.f Mar-04" xfId="1655"/>
    <cellStyle name="_Monthly Revenue w.e.f Mar-04 New" xfId="1656"/>
    <cellStyle name="_Movement of Fixed Assets-Final" xfId="1657"/>
    <cellStyle name="_MP F&amp;F Mar 06" xfId="1658"/>
    <cellStyle name="_MP F&amp;F Mar 06_FBT &amp; Amortisation" xfId="1659"/>
    <cellStyle name="_MP F&amp;F Mar 06_Network" xfId="1660"/>
    <cellStyle name="_MP F&amp;F Mar 06_P&amp;L Expanded" xfId="1661"/>
    <cellStyle name="_MP F&amp;F Mar 06_P&amp;L Expanded March" xfId="1662"/>
    <cellStyle name="_MP F&amp;F Mar 06_Personnel" xfId="1663"/>
    <cellStyle name="_MP F&amp;F Mar 06_S&amp;D and Marketing" xfId="1664"/>
    <cellStyle name="_MP F&amp;F Mar 06_Service Model" xfId="1665"/>
    <cellStyle name="_MP F&amp;F Mar 06_South F&amp;F" xfId="1666"/>
    <cellStyle name="_MP F&amp;F Mar 06_Subs Model" xfId="1667"/>
    <cellStyle name="_MP Unit Budget 03.03.05ytd KPI" xfId="1668"/>
    <cellStyle name="_MP Unit Budget 03.03.05ytd KPI_FBT &amp; Amortisation" xfId="1669"/>
    <cellStyle name="_MP Unit Budget 03.03.05ytd KPI_Network" xfId="1670"/>
    <cellStyle name="_MP Unit Budget 03.03.05ytd KPI_P&amp;L Expanded" xfId="1671"/>
    <cellStyle name="_MP Unit Budget 03.03.05ytd KPI_P&amp;L Expanded March" xfId="1672"/>
    <cellStyle name="_MP Unit Budget 03.03.05ytd KPI_Personnel" xfId="1673"/>
    <cellStyle name="_MP Unit Budget 03.03.05ytd KPI_S&amp;D and Marketing" xfId="1674"/>
    <cellStyle name="_MP Unit Budget 03.03.05ytd KPI_Service Model" xfId="1675"/>
    <cellStyle name="_MP Unit Budget 03.03.05ytd KPI_South F&amp;F" xfId="1676"/>
    <cellStyle name="_MP Unit Budget 03.03.05ytd KPI_Subs Model" xfId="1677"/>
    <cellStyle name="_MTM - 31.12.04" xfId="1678"/>
    <cellStyle name="_MTM - 31.12.04 - Sarin" xfId="1679"/>
    <cellStyle name="_MTM - 31.12.04 - Sarin_FBT &amp; Amortisation" xfId="1680"/>
    <cellStyle name="_MTM - 31.12.04 - Sarin_Network" xfId="1681"/>
    <cellStyle name="_MTM - 31.12.04 - Sarin_P&amp;L Expanded" xfId="1682"/>
    <cellStyle name="_MTM - 31.12.04 - Sarin_P&amp;L Expanded March" xfId="1683"/>
    <cellStyle name="_MTM - 31.12.04 - Sarin_Personnel" xfId="1684"/>
    <cellStyle name="_MTM - 31.12.04 - Sarin_S&amp;D and Marketing" xfId="1685"/>
    <cellStyle name="_MTM - 31.12.04 - Sarin_Service Model" xfId="1686"/>
    <cellStyle name="_MTM - 31.12.04 - Sarin_South F&amp;F" xfId="1687"/>
    <cellStyle name="_MTM - 31.12.04 - Sarin_Subs Model" xfId="1688"/>
    <cellStyle name="_MTM - 31.12.04_FBT &amp; Amortisation" xfId="1689"/>
    <cellStyle name="_MTM - 31.12.04_P&amp;L Expanded" xfId="1690"/>
    <cellStyle name="_MTM - 31.12.04_P&amp;L Expanded March" xfId="1691"/>
    <cellStyle name="_MTM - 31.12.04_Personnel" xfId="1692"/>
    <cellStyle name="_MTM - 31.12.04_S&amp;D and Marketing" xfId="1693"/>
    <cellStyle name="_MTM - 31.12.04_Service Model" xfId="1694"/>
    <cellStyle name="_MTM - 31.12.04_South F&amp;F" xfId="1695"/>
    <cellStyle name="_MTM - 31.12.04_Subs Model" xfId="1696"/>
    <cellStyle name="_Multiple" xfId="1697"/>
    <cellStyle name="_Multiple_Allegri Pavarotti 20juin base case" xfId="1698"/>
    <cellStyle name="_Multiple_Betas and Colocation Rates" xfId="1699"/>
    <cellStyle name="_Multiple_Book_commissaires_Sept12" xfId="1700"/>
    <cellStyle name="_Multiple_CHARTERHOUSE OPERATING MODEL- Revised July 25" xfId="1701"/>
    <cellStyle name="_Multiple_CSC IT Services update presentation version" xfId="1702"/>
    <cellStyle name="_Multiple_model for lehman 19jul02" xfId="1703"/>
    <cellStyle name="_Multiple_pi5" xfId="1704"/>
    <cellStyle name="_Multiple_Revised Downside Case 25 July" xfId="1705"/>
    <cellStyle name="_Multiple_surbid4 cloture" xfId="1706"/>
    <cellStyle name="_Multiple_surbid4 cloture_1" xfId="1707"/>
    <cellStyle name="_Multiple_surbid4 cloture_1_noos 2001 results 11jul01" xfId="1708"/>
    <cellStyle name="_Multiple_tropicos5" xfId="1709"/>
    <cellStyle name="_Multiple_valuation report_Sept10b" xfId="1710"/>
    <cellStyle name="_Multiple_voice1.xls Chart 1" xfId="1711"/>
    <cellStyle name="_MultipleSpace" xfId="1712"/>
    <cellStyle name="_MultipleSpace_Betas and Colocation Rates" xfId="1713"/>
    <cellStyle name="_MultipleSpace_CHARTERHOUSE OPERATING MODEL- Revised July 25" xfId="1714"/>
    <cellStyle name="_MultipleSpace_model for lehman 19jul02" xfId="1715"/>
    <cellStyle name="_MultipleSpace_noos 2001 results 11jul01" xfId="1716"/>
    <cellStyle name="_MultipleSpace_pi5" xfId="1717"/>
    <cellStyle name="_MultipleSpace_Revised Downside Case 25 July" xfId="1718"/>
    <cellStyle name="_MultipleSpace_surbid4 cloture" xfId="1719"/>
    <cellStyle name="_MultipleSpace_surbid4 cloture_1" xfId="1720"/>
    <cellStyle name="_MultipleSpace_surbid4 cloture_1_noos 2001 results 11jul01" xfId="1721"/>
    <cellStyle name="_MultipleSpace_tropicos5" xfId="1722"/>
    <cellStyle name="_MultipleSpace_voice1.xls Chart 1" xfId="1723"/>
    <cellStyle name="_My Excel annexures" xfId="1724"/>
    <cellStyle name="_Myanmar - Top 15 &amp; new products QIII QIV'07" xfId="1725"/>
    <cellStyle name="_Myanmar - Top 15 &amp; new products QIII QIV'07_RLL Standalone results 10 August 2010 - Final" xfId="1726"/>
    <cellStyle name="_N5_Other Liabilities_FBD" xfId="1727"/>
    <cellStyle name="_nat" xfId="1728"/>
    <cellStyle name="_Natarajan_MAPA_April04" xfId="1729"/>
    <cellStyle name="_Natarajan_MAPA_April04_FBT &amp; Amortisation" xfId="1730"/>
    <cellStyle name="_Natarajan_MAPA_April04_P&amp;L Expanded" xfId="1731"/>
    <cellStyle name="_Natarajan_MAPA_April04_P&amp;L Expanded March" xfId="1732"/>
    <cellStyle name="_Natarajan_MAPA_April04_Personnel" xfId="1733"/>
    <cellStyle name="_Natarajan_MAPA_April04_S&amp;D and Marketing" xfId="1734"/>
    <cellStyle name="_Natarajan_MAPA_April04_Service Model" xfId="1735"/>
    <cellStyle name="_Natarajan_MAPA_April04_South F&amp;F" xfId="1736"/>
    <cellStyle name="_Natarajan_MAPA_April04_Subs Model" xfId="1737"/>
    <cellStyle name="_NCR" xfId="1738"/>
    <cellStyle name="_NCR Budget Ver 8" xfId="1739"/>
    <cellStyle name="_NCR Budget Ver 8_FBT &amp; Amortisation" xfId="1740"/>
    <cellStyle name="_NCR Budget Ver 8_Network" xfId="1741"/>
    <cellStyle name="_NCR Budget Ver 8_P&amp;L Expanded" xfId="1742"/>
    <cellStyle name="_NCR Budget Ver 8_P&amp;L Expanded March" xfId="1743"/>
    <cellStyle name="_NCR Budget Ver 8_Personnel" xfId="1744"/>
    <cellStyle name="_NCR Budget Ver 8_S&amp;D and Marketing" xfId="1745"/>
    <cellStyle name="_NCR Budget Ver 8_Service Model" xfId="1746"/>
    <cellStyle name="_NCR Budget Ver 8_South F&amp;F" xfId="1747"/>
    <cellStyle name="_NCR Budget Ver 8_Subs Model" xfId="1748"/>
    <cellStyle name="_NCR_FBT &amp; Amortisation" xfId="1749"/>
    <cellStyle name="_NCR_P&amp;L Expanded" xfId="1750"/>
    <cellStyle name="_NCR_P&amp;L Expanded March" xfId="1751"/>
    <cellStyle name="_NCR_Personnel" xfId="1752"/>
    <cellStyle name="_NCR_S&amp;D and Marketing" xfId="1753"/>
    <cellStyle name="_NCR_Service Model" xfId="1754"/>
    <cellStyle name="_NCR_South F&amp;F" xfId="1755"/>
    <cellStyle name="_NCR_Subs Model" xfId="1756"/>
    <cellStyle name="_Network Budget 04-05 - Wireline" xfId="1757"/>
    <cellStyle name="_Network Capex &amp; Opex Module - Circle" xfId="1758"/>
    <cellStyle name="_Network Opex Expenses as of August end" xfId="1759"/>
    <cellStyle name="_Networks_Rates details" xfId="1760"/>
    <cellStyle name="_New Microsoft Excel Worksheet" xfId="1761"/>
    <cellStyle name="_NLD F&amp;F - Nov'06" xfId="1762"/>
    <cellStyle name="_NLD Flash &amp; Forecast - Dec 06" xfId="1763"/>
    <cellStyle name="_NLD Flash &amp; Forecast - Sept'06" xfId="1764"/>
    <cellStyle name="_NLD Health Check Jul'06.v2" xfId="1765"/>
    <cellStyle name="_NLD Unit Budget Format" xfId="1766"/>
    <cellStyle name="_North Review Docket Aug F&amp;F" xfId="1767"/>
    <cellStyle name="_North Review Docket June F&amp;F" xfId="1768"/>
    <cellStyle name="_Note on Max Balance" xfId="1769"/>
    <cellStyle name="_NOTES" xfId="1770"/>
    <cellStyle name="_NOTES_1" xfId="1771"/>
    <cellStyle name="_NOTES_2" xfId="1772"/>
    <cellStyle name="_NOTES_3" xfId="1773"/>
    <cellStyle name="_NOTES_4" xfId="1774"/>
    <cellStyle name="_NOTES_5" xfId="1775"/>
    <cellStyle name="_NOTES_6" xfId="1776"/>
    <cellStyle name="_NOTES_7" xfId="1777"/>
    <cellStyle name="_NOTES_8" xfId="1778"/>
    <cellStyle name="_Nov" xfId="1779"/>
    <cellStyle name="_Nov 2006 Flash - MOBILITY (Circle Submission) f" xfId="1780"/>
    <cellStyle name="_Nov 2006 Flash - MOBILITY (Circle Submission) with AES Grouping" xfId="1781"/>
    <cellStyle name="_NOV 2009" xfId="1782"/>
    <cellStyle name="_Nov_FBT &amp; Amortisation" xfId="1783"/>
    <cellStyle name="_Nov_P&amp;L Expanded" xfId="1784"/>
    <cellStyle name="_Nov_P&amp;L Expanded March" xfId="1785"/>
    <cellStyle name="_Nov_Personnel" xfId="1786"/>
    <cellStyle name="_Nov_S&amp;D and Marketing" xfId="1787"/>
    <cellStyle name="_Nov_Service Model" xfId="1788"/>
    <cellStyle name="_Nov_South F&amp;F" xfId="1789"/>
    <cellStyle name="_Nov_Subs Model" xfId="1790"/>
    <cellStyle name="_Nov'04 Projected Revenue" xfId="1791"/>
    <cellStyle name="_Nov'07_P&amp;L" xfId="1792"/>
    <cellStyle name="_NPI TDS FY 2006-2007" xfId="1793"/>
    <cellStyle name="_Observations 08.09.07" xfId="1794"/>
    <cellStyle name="_Oct" xfId="1795"/>
    <cellStyle name="_OCT 2009" xfId="1796"/>
    <cellStyle name="_OCT TDS" xfId="1797"/>
    <cellStyle name="_Oct_FBT &amp; Amortisation" xfId="1798"/>
    <cellStyle name="_Oct_P&amp;L Expanded" xfId="1799"/>
    <cellStyle name="_Oct_P&amp;L Expanded March" xfId="1800"/>
    <cellStyle name="_Oct_Personnel" xfId="1801"/>
    <cellStyle name="_Oct_S&amp;D and Marketing" xfId="1802"/>
    <cellStyle name="_Oct_Service Model" xfId="1803"/>
    <cellStyle name="_Oct_South F&amp;F" xfId="1804"/>
    <cellStyle name="_Oct_Subs Model" xfId="1805"/>
    <cellStyle name="_Oct'04 Projected Revenue" xfId="1806"/>
    <cellStyle name="_old depreciation rate impact" xfId="1807"/>
    <cellStyle name="_Open Items-4 May 2007" xfId="1808"/>
    <cellStyle name="_Operating Lease JUNE-04" xfId="1809"/>
    <cellStyle name="_Operating Model 3rd round - Version 14 - CSFB and Lehman" xfId="1810"/>
    <cellStyle name="_Operative Lease Detail- JUlNE-05(UPD)" xfId="1811"/>
    <cellStyle name="_Operative Lease Detail-APR-05(UPDATED)" xfId="1812"/>
    <cellStyle name="_Operative Lease Detail-MAR-05" xfId="1813"/>
    <cellStyle name="_Operative Lease Detail-MAY-05(UPD)" xfId="1814"/>
    <cellStyle name="_OPEX" xfId="1815"/>
    <cellStyle name="_Opex Schedules NLD" xfId="1816"/>
    <cellStyle name="_Opex Trends sheet - ILD- MAPA Format" xfId="1817"/>
    <cellStyle name="_Opex_11" xfId="1818"/>
    <cellStyle name="_Opex_11_FBT &amp; Amortisation" xfId="1819"/>
    <cellStyle name="_Opex_11_Network" xfId="1820"/>
    <cellStyle name="_Opex_11_P&amp;L Expanded" xfId="1821"/>
    <cellStyle name="_Opex_11_P&amp;L Expanded March" xfId="1822"/>
    <cellStyle name="_Opex_11_Personnel" xfId="1823"/>
    <cellStyle name="_Opex_11_S&amp;D and Marketing" xfId="1824"/>
    <cellStyle name="_Opex_11_Service Model" xfId="1825"/>
    <cellStyle name="_Opex_11_South F&amp;F" xfId="1826"/>
    <cellStyle name="_Opex_11_Subs Model" xfId="1827"/>
    <cellStyle name="_OPEX_FBT &amp; Amortisation" xfId="1828"/>
    <cellStyle name="_OPEX_P&amp;L Expanded" xfId="1829"/>
    <cellStyle name="_OPEX_P&amp;L Expanded March" xfId="1830"/>
    <cellStyle name="_OPEX_Personnel" xfId="1831"/>
    <cellStyle name="_OPEX_S&amp;D and Marketing" xfId="1832"/>
    <cellStyle name="_OPEX_Service Model" xfId="1833"/>
    <cellStyle name="_OPEX_South F&amp;F" xfId="1834"/>
    <cellStyle name="_OPEX_Subs Model" xfId="1835"/>
    <cellStyle name="_Other Liabilities_Escorts Faridabad" xfId="1836"/>
    <cellStyle name="_Other than P&amp;M Schedules-Haryana-April 2005" xfId="1837"/>
    <cellStyle name="_Other than P&amp;M Schedules-Haryana-May 2005" xfId="1838"/>
    <cellStyle name="_Other than PM Schedules-Haryana-Feb 2005" xfId="1839"/>
    <cellStyle name="_Other than PM Schedules-Haryana-Jan 2005" xfId="1840"/>
    <cellStyle name="_Other than PM Schedules-Haryana-March 2005" xfId="1841"/>
    <cellStyle name="_Outstanding Report as on 091204" xfId="1842"/>
    <cellStyle name="_P &amp; L January 2008 (on new MAG)" xfId="1843"/>
    <cellStyle name="_P&amp;L July-02 " xfId="1844"/>
    <cellStyle name="_P&amp;L July-02 _1" xfId="1845"/>
    <cellStyle name="_P&amp;L May-02 " xfId="1846"/>
    <cellStyle name="_P&amp;L May-02 _1" xfId="1847"/>
    <cellStyle name="_P&amp;L Nov-02" xfId="1848"/>
    <cellStyle name="_P&amp;L Nov-02 with NTC f" xfId="1849"/>
    <cellStyle name="_P&amp;L Nov-02 with NTC f_1" xfId="1850"/>
    <cellStyle name="_P&amp;L Nov-02_1" xfId="1851"/>
    <cellStyle name="_P&amp;LMobility" xfId="1852"/>
    <cellStyle name="_P&amp;LMobility_FBT &amp; Amortisation" xfId="1853"/>
    <cellStyle name="_P&amp;LMobility_P&amp;L Expanded" xfId="1854"/>
    <cellStyle name="_P&amp;LMobility_P&amp;L Expanded March" xfId="1855"/>
    <cellStyle name="_P&amp;LMobility_Personnel" xfId="1856"/>
    <cellStyle name="_P&amp;LMobility_S&amp;D and Marketing" xfId="1857"/>
    <cellStyle name="_P&amp;LMobility_Service Model" xfId="1858"/>
    <cellStyle name="_P&amp;LMobility_South F&amp;F" xfId="1859"/>
    <cellStyle name="_P&amp;LMobility_Subs Model" xfId="1860"/>
    <cellStyle name="_P&amp;Lwith NTC &amp; Rajpura" xfId="1861"/>
    <cellStyle name="_P&amp;Lwith NTC &amp; Rajpura_1" xfId="1862"/>
    <cellStyle name="_P&amp;Lwith NTC &amp; RajpuraFeb04" xfId="1863"/>
    <cellStyle name="_P&amp;Lwith NTC &amp; RajpuraFeb04_1" xfId="1864"/>
    <cellStyle name="_Payroll Variation" xfId="1865"/>
    <cellStyle name="_Payroll Variation (Apr'04-May'04) MP" xfId="1866"/>
    <cellStyle name="_Payroll Variation (Apr'04-May'04) MP_Audit template schedule_LR Sept 2008 (2)" xfId="1867"/>
    <cellStyle name="_Payroll Variation_Audit template schedule_LR Sept 2008 (2)" xfId="1868"/>
    <cellStyle name="_Payroll Variation-Nov-04" xfId="1869"/>
    <cellStyle name="_Payroll Variation-Nov-04_Audit template schedule_LR Sept 2008 (2)" xfId="1870"/>
    <cellStyle name="_PAYROLL_&amp;_INTERLOC_SCHEDULE_30 NOV09_FINAL" xfId="1871"/>
    <cellStyle name="_PAYROLL_&amp;_INTERLOC_SCHEDULE_AUG09" xfId="1872"/>
    <cellStyle name="_PAYROLL_&amp;_INTERLOC_SCHEDULE_JULY09" xfId="1873"/>
    <cellStyle name="_pendig car 07-08FINAL" xfId="1874"/>
    <cellStyle name="_Percent" xfId="1875"/>
    <cellStyle name="_Percent modified" xfId="1876"/>
    <cellStyle name="_Percent modified shaded" xfId="1877"/>
    <cellStyle name="_Percent modified underline" xfId="1878"/>
    <cellStyle name="_Percent_Betas and Colocation Rates" xfId="1879"/>
    <cellStyle name="_Percent_CHARTERHOUSE OPERATING MODEL- Revised July 25" xfId="1880"/>
    <cellStyle name="_Percent_model for lehman 19jul02" xfId="1881"/>
    <cellStyle name="_Percent_pi5" xfId="1882"/>
    <cellStyle name="_Percent_Revised Downside Case 25 July" xfId="1883"/>
    <cellStyle name="_Percent_surbid4 cloture" xfId="1884"/>
    <cellStyle name="_Percent_surbid4 cloture_noos 2001 results 11jul01" xfId="1885"/>
    <cellStyle name="_PercentSpace" xfId="1886"/>
    <cellStyle name="_PercentSpace_Betas and Colocation Rates" xfId="1887"/>
    <cellStyle name="_Period 13 entires" xfId="1888"/>
    <cellStyle name="_Pf  ESI  Supernnuation" xfId="1889"/>
    <cellStyle name="_PF Analytical-Format" xfId="1890"/>
    <cellStyle name="_PF Analytical-Format_Schedule Template_Limited Review" xfId="1891"/>
    <cellStyle name="_PF-SEP-04" xfId="1892"/>
    <cellStyle name="_PF-SEP-04_Audit template schedule_LR Sept 2008 (2)" xfId="1893"/>
    <cellStyle name="_PIH March 2005" xfId="1894"/>
    <cellStyle name="_PIH-3CD-ANNEX 1-10-RECO" xfId="1895"/>
    <cellStyle name="_PLI Analytical-NLD" xfId="1896"/>
    <cellStyle name="_PLI Analytical-NLD_Audit template schedule_LR Sept 2008 (2)" xfId="1897"/>
    <cellStyle name="_PO ISSUE IN JULY-04" xfId="1898"/>
    <cellStyle name="_PO ISSUE IN NOV" xfId="1899"/>
    <cellStyle name="_proposed entry" xfId="1900"/>
    <cellStyle name="_Prov Cap-PB-Nov-04" xfId="1901"/>
    <cellStyle name="_Prov. for Infra  _ Jan to Mar '05 _Del entry 20.04.2005" xfId="1902"/>
    <cellStyle name="_Provision and IUC Expense and Income of current year" xfId="1903"/>
    <cellStyle name="_Provision and IUC Expense and Income of current year_Audit template schedule_LR Sept 2008 (2)" xfId="1904"/>
    <cellStyle name="_Provision for Infra Material August 05" xfId="1905"/>
    <cellStyle name="_Provision for Infra Material July 05-FINAL" xfId="1906"/>
    <cellStyle name="_Provision for Infra May-June-05" xfId="1907"/>
    <cellStyle name="_Provision reversal" xfId="1908"/>
    <cellStyle name="_Provision Tracking sheet" xfId="1909"/>
    <cellStyle name="_Provisional Capitalisation-PB-Sep-04" xfId="1910"/>
    <cellStyle name="_PSI BSNL FY 2006-07" xfId="1911"/>
    <cellStyle name="_QII Formats_07" xfId="1912"/>
    <cellStyle name="_QII Formats_07_RLL Standalone results 10 August 2010 - Final" xfId="1913"/>
    <cellStyle name="_Rajashan Reporting Capex Report Nov-04" xfId="1914"/>
    <cellStyle name="_Rajasthan Capex Report - Phase I" xfId="1915"/>
    <cellStyle name="_Rajiv_Branch List 1" xfId="1916"/>
    <cellStyle name="_Ratio Final" xfId="1917"/>
    <cellStyle name="_Rayban FAR" xfId="1918"/>
    <cellStyle name="_RCPL-BS-Mar 2004  Final (for Circulation)" xfId="1919"/>
    <cellStyle name="_Recon with FAR " xfId="1920"/>
    <cellStyle name="_Reconciliation of Operationg vs Reporting as on Dec-04" xfId="1921"/>
    <cellStyle name="_Reinstatement Delhi _Final_March'05.0.5xls" xfId="1922"/>
    <cellStyle name="_Reinstatement of Ericssion" xfId="1923"/>
    <cellStyle name="_Reinstatement of Ericssion Jun-05 Delhi" xfId="1924"/>
    <cellStyle name="_Reinstatement of Forex Creditors June'05_Delhi" xfId="1925"/>
    <cellStyle name="_Reinstatement of Other Vendorsxls" xfId="1926"/>
    <cellStyle name="_Reinstatement Others Vendors - Aug 05" xfId="1927"/>
    <cellStyle name="_Related Party Console Ktk" xfId="1928"/>
    <cellStyle name="_Related Party- corp" xfId="1929"/>
    <cellStyle name="_Related Party Details Apr-05" xfId="1930"/>
    <cellStyle name="_Related Party Details DEC04 final" xfId="1931"/>
    <cellStyle name="_Related Party Details June-05" xfId="1932"/>
    <cellStyle name="_Related Party Details Mar-05" xfId="1933"/>
    <cellStyle name="_Related Party Details May-05" xfId="1934"/>
    <cellStyle name="_Related party PBC(Final)" xfId="1935"/>
    <cellStyle name="_Related Party Workpaper" xfId="1936"/>
    <cellStyle name="_Related-Party Tran-12months" xfId="1937"/>
    <cellStyle name="_Related-Party Trans-15months" xfId="1938"/>
    <cellStyle name="_Rev" xfId="1939"/>
    <cellStyle name="_Revenue MIS" xfId="1940"/>
    <cellStyle name="_revenue MIS 060105" xfId="1941"/>
    <cellStyle name="_Revenue MIS 311204" xfId="1942"/>
    <cellStyle name="_Revenue MIS as of 091204" xfId="1943"/>
    <cellStyle name="_Revenue MIS as of 300904" xfId="1944"/>
    <cellStyle name="_REVENUE MIS as on 010904" xfId="1945"/>
    <cellStyle name="_Revenue MIS revised as of 300904" xfId="1946"/>
    <cellStyle name="_Revenue MTD &amp; YTD as on 060105" xfId="1947"/>
    <cellStyle name="_revenue MTD &amp; YTD as on 130105" xfId="1948"/>
    <cellStyle name="_REVENUE QTY FOR Q2 FOR BOOKING4" xfId="1949"/>
    <cellStyle name="_Revenue Reco Jugnu Aug 04" xfId="1950"/>
    <cellStyle name="_Revenue Reco Jugnu Aug 04_Audit template schedule_LR Sept 2008 (2)" xfId="1951"/>
    <cellStyle name="_Revenue Recognition Calculation_v2" xfId="1952"/>
    <cellStyle name="_Revenue Recognition Calculation_v4" xfId="1953"/>
    <cellStyle name="_Revenue Recognition Calculation_vPPV4" xfId="1954"/>
    <cellStyle name="_Reversal of Reinstatement Working" xfId="1955"/>
    <cellStyle name="_Revised ERA Reco" xfId="1956"/>
    <cellStyle name="_RGNL BS 03-04  (Base data 2)" xfId="1957"/>
    <cellStyle name="_RGNL BS March  05" xfId="1958"/>
    <cellStyle name="_RIC - Summary July 05 BS and P&amp;L      Final" xfId="1959"/>
    <cellStyle name="_RIC &amp; RCIL Consolidated -March 2005               9" xfId="1960"/>
    <cellStyle name="_RIC Provisional- Dec  2006    Final" xfId="1961"/>
    <cellStyle name="_RIC Provisional- Sep  2006    11 Given to Conso on 17.10.06" xfId="1962"/>
    <cellStyle name="_RIC-DEC 2004" xfId="1963"/>
    <cellStyle name="_Salary June 2004.xls-1" xfId="1964"/>
    <cellStyle name="_Salary reg May 04" xfId="1965"/>
    <cellStyle name="_Sale 28-02-2006" xfId="1966"/>
    <cellStyle name="_SALE OF FIXED ASSETS DURING(JAN  TO DEC 2004)" xfId="1967"/>
    <cellStyle name="_satff welfare and Recruitment Training" xfId="1968"/>
    <cellStyle name="_satff welfare and Recruitment Training_Audit template schedule_LR Sept 2008 (2)" xfId="1969"/>
    <cellStyle name="_Sch 4 &amp; IAS Delhi Aug _05 " xfId="1970"/>
    <cellStyle name="_Sch 4 &amp; IAS Delhi JuL _05 " xfId="1971"/>
    <cellStyle name="_Sch 4 &amp; IAS Delhi Jun _05 Revised Final Final  post audit" xfId="1972"/>
    <cellStyle name="_Sch 4 &amp; IAS Delhi May -05" xfId="1973"/>
    <cellStyle name="_Sch 4 &amp; IAS Delhi Sep _05 " xfId="1974"/>
    <cellStyle name="_Sch VI-Apr-Mar09 upto 11062009-3rd Cut Audit" xfId="1975"/>
    <cellStyle name="_Sch-Aug'05-Anjali D" xfId="1976"/>
    <cellStyle name="_Sch-Aug'05-Anjali D_Audit template schedule_LR Sept 2008 (2)" xfId="1977"/>
    <cellStyle name="_Schedule of Channel Security-Mar-05" xfId="1978"/>
    <cellStyle name="_Schedule of CWIP Advance (106019)-March 2004" xfId="1979"/>
    <cellStyle name="_Schedule of Sundry Creditors Capital Goods-HAR-Dec 04" xfId="1980"/>
    <cellStyle name="_Schedules required" xfId="1981"/>
    <cellStyle name="_Schedules required_Schedule Template_Limited Review" xfId="1982"/>
    <cellStyle name="_SCHEDULES TEMPLATE INFOTEL - Sep 04_Rev" xfId="1983"/>
    <cellStyle name="_SCHEDULES TEMPLATE INFOTEL - Sep 04_Rev_Schedule Template_Limited Review" xfId="1984"/>
    <cellStyle name="_SCHEDULES TEMPLATE MOBILITY_DEL" xfId="1985"/>
    <cellStyle name="_Sec 212 - Report" xfId="1986"/>
    <cellStyle name="_Sec 40A(2)" xfId="1987"/>
    <cellStyle name="_Sections" xfId="1988"/>
    <cellStyle name="_Sep-03 Capital committment Rajasthan Final" xfId="1989"/>
    <cellStyle name="_Sep'04 Projected Revenue" xfId="1990"/>
    <cellStyle name="_Service Tax to Kanika" xfId="1991"/>
    <cellStyle name="_Sheet1" xfId="1992"/>
    <cellStyle name="_Sheet1_Audit template schedule_LR Sept 2008 (2)" xfId="1993"/>
    <cellStyle name="_Sheet1_Audit_template_schedule_(Tower_vision) (Final)" xfId="1994"/>
    <cellStyle name="_Sheet1_Schedule Template_Limited Review" xfId="1995"/>
    <cellStyle name="_Site Cost Working" xfId="1996"/>
    <cellStyle name="_Site Sharing - Expense" xfId="1997"/>
    <cellStyle name="_Site Sharing - Expense_Audit template schedule_LR Sept 2008 (2)" xfId="1998"/>
    <cellStyle name="_Site Wise Analysis-Jul to Sep05" xfId="1999"/>
    <cellStyle name="_Sitewise Analysis June'05-Delhi" xfId="2000"/>
    <cellStyle name="_SMW-4 &amp; I2I IRU Revenue_Sep_06" xfId="2001"/>
    <cellStyle name="_SMW-4 &amp; I2I IRU Revenue_Sep_06_Audit template schedule_LR Sept 2008 (2)" xfId="2002"/>
    <cellStyle name="_Stand aloneTB Mar 08" xfId="2003"/>
    <cellStyle name="_status of schedules_new" xfId="2004"/>
    <cellStyle name="_status of schedules_new_Schedule Template_Limited Review" xfId="2005"/>
    <cellStyle name="_SubHeading" xfId="2006"/>
    <cellStyle name="_SubHeading_Betas and Colocation Rates" xfId="2007"/>
    <cellStyle name="_Table" xfId="2008"/>
    <cellStyle name="_Table_Betas and Colocation Rates" xfId="2009"/>
    <cellStyle name="_TableHead" xfId="2010"/>
    <cellStyle name="_TableHead centre across sel" xfId="2011"/>
    <cellStyle name="_TableHead no border" xfId="2012"/>
    <cellStyle name="_TableRowBorder" xfId="2013"/>
    <cellStyle name="_TableRowHead" xfId="2014"/>
    <cellStyle name="_TableSuperHead" xfId="2015"/>
    <cellStyle name="_TableSuperHead_Betas and Colocation Rates" xfId="2016"/>
    <cellStyle name="_Tax Audit -3CD-UPE-2004-05" xfId="2017"/>
    <cellStyle name="_Tax Audit -3CD-UPE-2004-05(n)" xfId="2018"/>
    <cellStyle name="_TAX AUDIT IPSPL" xfId="2019"/>
    <cellStyle name="_Tax Audit Schedule FA" xfId="2020"/>
    <cellStyle name="_Tax Audit Schedules" xfId="2021"/>
    <cellStyle name="_Tax on fixed assets_1-12'08" xfId="2022"/>
    <cellStyle name="_Tax on Fixed Assets_1-9'08" xfId="2023"/>
    <cellStyle name="_Tax_Adt_Annexures_2005" xfId="2024"/>
    <cellStyle name="_Tax_Adt_Annexures_2005 (2)" xfId="2025"/>
    <cellStyle name="_Taxation March 07" xfId="2026"/>
    <cellStyle name="_TB 310306 Final" xfId="2027"/>
    <cellStyle name="_TB APR''07" xfId="2028"/>
    <cellStyle name="_TB-HKGAAP REPORTING  OPERATING BOOKS-JUN 04" xfId="2029"/>
    <cellStyle name="_Template - Long Distance_Rev - 1.0" xfId="2030"/>
    <cellStyle name="_Template - Long Distance_Rev - 1.0_Audit template schedule_LR Sept 2008 (2)" xfId="2031"/>
    <cellStyle name="_Template Site Cost-March 2005" xfId="2032"/>
    <cellStyle name="_Tgts 85Ki-working 08 West" xfId="2033"/>
    <cellStyle name="_Tgts 85Ki-working 08 West_Brake Disc schedule" xfId="2034"/>
    <cellStyle name="_Thailand - Top 15 &amp; new products QIII QIV'07" xfId="2035"/>
    <cellStyle name="_Thailand - Top 15 &amp; new products QIII QIV'07_RLL Standalone results 10 August 2010 - Final" xfId="2036"/>
    <cellStyle name="_TOP 10 Creditors  Debtors ( Har)" xfId="2037"/>
    <cellStyle name="_Top 10 Debtors Ageing Apr-05" xfId="2038"/>
    <cellStyle name="_Transation_Type_Templete for Credit Note" xfId="2039"/>
    <cellStyle name="_Trial Balance -   OSOB AND RSOB AND HKGAAP DEC2-04 AUDITORS" xfId="2040"/>
    <cellStyle name="_Trial Dec-04" xfId="2041"/>
    <cellStyle name="_Ukraine -Products &amp; WC LE Q3_Q4" xfId="2042"/>
    <cellStyle name="_Ukraine -Products &amp; WC LE Q3_Q4_RLL Standalone results 10 August 2010 - Final" xfId="2043"/>
    <cellStyle name="_Unexecuted WOPO as on 31.03.06( Jul-Mar-06)" xfId="2044"/>
    <cellStyle name="_UNPAID balance as on 31-mar-04" xfId="2045"/>
    <cellStyle name="_UNPAID balance as on 31-mar-04_Audit template schedule_LR Sept 2008 (2)" xfId="2046"/>
    <cellStyle name="_Updated Ecl-3(i)" xfId="2047"/>
    <cellStyle name="_UPFRONT_PAYMENT31.08.2004" xfId="2048"/>
    <cellStyle name="_Vietnam - Top Products &amp; WC - QIII QIV'07" xfId="2049"/>
    <cellStyle name="_Vietnam - Top Products &amp; WC - QIII QIV'07_RLL Standalone results 10 August 2010 - Final" xfId="2050"/>
    <cellStyle name="_Voice revenue reco" xfId="2051"/>
    <cellStyle name="_VSNL revenue -Fiber sale working" xfId="2052"/>
    <cellStyle name="_VSNL revenue -Fiber sale working_Schedule Template_Limited Review" xfId="2053"/>
    <cellStyle name="_VSNL revenue Revised file by samir" xfId="2054"/>
    <cellStyle name="_VSNL revenue Revised file by samir_Schedule Template_Limited Review" xfId="2055"/>
    <cellStyle name="_Wireline O&amp;M Actuals-April to July" xfId="2056"/>
    <cellStyle name="_WL first 154 BANs incl nw_26072004 Circlewise EBITDA(As discussed with PB)" xfId="2057"/>
    <cellStyle name="_Working" xfId="2058"/>
    <cellStyle name="_Working Capital Prj" xfId="2059"/>
    <cellStyle name="_Working Capital Prj_RLL Standalone results 10 August 2010 - Final" xfId="2060"/>
    <cellStyle name="_working po ARUN" xfId="2061"/>
    <cellStyle name="_Working_Brake Disc schedule" xfId="2062"/>
    <cellStyle name="_Workingfile01" xfId="2063"/>
    <cellStyle name="_Workingfile01_RLL Standalone results 10 August 2010 - Final" xfId="2064"/>
    <cellStyle name="_Worksheet in   Bonus Provision 06-07" xfId="2065"/>
    <cellStyle name="_Worksheet in   TB consolidated - RIPL" xfId="2066"/>
    <cellStyle name="_Worksheet in   Test of Details (DU)" xfId="2067"/>
    <cellStyle name="_Worksheet in (C) 5680 FAR-Depn Computation" xfId="2068"/>
    <cellStyle name="_Worksheet in (C) 8133 Revenue recognised and KPL-PY" xfId="2069"/>
    <cellStyle name="_Worksheet in (C) 8331 BSNL - GR Sheet" xfId="2070"/>
    <cellStyle name="_Worksheet in (C) 8341 BSNL - GR Sheet" xfId="2071"/>
    <cellStyle name="_Worksheet in (C) 9001 Annexure-C-3cd" xfId="2072"/>
    <cellStyle name="_Worksheet in (C) 9002 Annexure-E &amp; J-3cd" xfId="2073"/>
    <cellStyle name="_Worksheet in 2241 Notes to Accounts Main Sheet" xfId="2074"/>
    <cellStyle name="_Worksheet in 5434 Inventory 31.03.08  for DHS  Final (10.6" xfId="2075"/>
    <cellStyle name="_Worksheet in 5612 Depreciation - IT Act" xfId="2076"/>
    <cellStyle name="_Worksheet in 5642 Fixed Asset Register" xfId="2077"/>
    <cellStyle name="_Worksheet in 5644 Tax Dep 06_Final" xfId="2078"/>
    <cellStyle name="_Worksheet in 6411 FBT-Final" xfId="2079"/>
    <cellStyle name="_Worksheet in 6512 Deffered Tax Working FY 2007-08" xfId="2080"/>
    <cellStyle name="_Worksheet in 6540 Deferred Tax workings" xfId="2081"/>
    <cellStyle name="_Worksheet in 6540 Deferred Tax workings12.04.07" xfId="2082"/>
    <cellStyle name="_Worksheet in 8556 IT Computation FY2006-07" xfId="2083"/>
    <cellStyle name="_Worksheet in 8700 tax reco" xfId="2084"/>
    <cellStyle name="_Worksheet in 8745 Deff" xfId="2085"/>
    <cellStyle name="_Worksheet in 8747 MAT Working D07" xfId="2086"/>
    <cellStyle name="_Worksheet in 8751 MAT Working - Mar,08 Final" xfId="2087"/>
    <cellStyle name="_Worksheet in 8754 IT &amp; WT Computation" xfId="2088"/>
    <cellStyle name="_WP - SUAD" xfId="2089"/>
    <cellStyle name="_Written back" xfId="2090"/>
    <cellStyle name="_最終版09(1).3.30常務会（TIR再建計画）-03-27－①" xfId="2091"/>
    <cellStyle name="_東風日産P32E車見積依頼書070510" xfId="2092"/>
    <cellStyle name="_東風日産P32E車見積依頼書070510_09.2.10見直しTIR業績・事業再建(案3)" xfId="2093"/>
    <cellStyle name="_東風日産P32E車見積依頼書070510_09.2.10見直しTIR業績・事業再建(案3)_09-09　(Final)2nd'09 sales plan" xfId="2094"/>
    <cellStyle name="_東風日産P32E車見積依頼書070510_09.2.10見直しTIR業績・事業再建(案3)_31－Augst)　Latest 2nd Half 09-08　Sales　Plan　２nd-'09 OP" xfId="2095"/>
    <cellStyle name="_東風日産P32E車見積依頼書070510_09.2.10見直しTIR業績・事業再建(案3)_Book1" xfId="2096"/>
    <cellStyle name="_東風日産P32E車見積依頼書070510_09.2.10見直しTIR業績・事業再建(案3)_Book3" xfId="2097"/>
    <cellStyle name="_東風日産P32E車見積依頼書070510_09.2.10見直しTIR業績・事業再建(案3)_REVISED SALES REPORT-JUN'09 (最新）(Goto San)" xfId="2098"/>
    <cellStyle name="_東風日産P32E車見積依頼書070510_09.2.10見直しTIR業績・事業再建(案3)_SALES REPORT FORECASTING, SALES FORECASTING, PRICE LSIT &amp; OTHERS" xfId="2099"/>
    <cellStyle name="_東風日産P32E車見積依頼書070510_09.2.10見直しTIR業績・事業再建(案3)_SALES REPORT FORECASTING, SALES FORECASTING, PRICE LSIT &amp; OTHERS-latest" xfId="2100"/>
    <cellStyle name="_東風日産P32E車見積依頼書070510_09.2.10見直しTIR業績・事業再建(案3)_SALES SUMMARY (PO DETAILS, REPORTS, FORECASTING &amp; OTHERS) FOR FY 10~11" xfId="2101"/>
    <cellStyle name="_東風日産P32E車見積依頼書070510_09.2.25 TIR再建（最終案）-事業部" xfId="2102"/>
    <cellStyle name="_東風日産P32E車見積依頼書070510_09.2.25 TIR再建（最終案）-事業部_09-09　(Final)2nd'09 sales plan" xfId="2103"/>
    <cellStyle name="_東風日産P32E車見積依頼書070510_09.2.25 TIR再建（最終案）-事業部_31－Augst)　Latest 2nd Half 09-08　Sales　Plan　２nd-'09 OP" xfId="2104"/>
    <cellStyle name="_東風日産P32E車見積依頼書070510_09.2.25 TIR再建（最終案）-事業部_Book1" xfId="2105"/>
    <cellStyle name="_東風日産P32E車見積依頼書070510_09.2.25 TIR再建（最終案）-事業部_Book3" xfId="2106"/>
    <cellStyle name="_東風日産P32E車見積依頼書070510_09.2.25 TIR再建（最終案）-事業部_REVISED SALES REPORT-JUN'09 (最新）(Goto San)" xfId="2107"/>
    <cellStyle name="_東風日産P32E車見積依頼書070510_09.2.25 TIR再建（最終案）-事業部_SALES REPORT FORECASTING, SALES FORECASTING, PRICE LSIT &amp; OTHERS" xfId="2108"/>
    <cellStyle name="_東風日産P32E車見積依頼書070510_09.2.25 TIR再建（最終案）-事業部_SALES REPORT FORECASTING, SALES FORECASTING, PRICE LSIT &amp; OTHERS-latest" xfId="2109"/>
    <cellStyle name="_東風日産P32E車見積依頼書070510_09.2.25 TIR再建（最終案）-事業部_SALES SUMMARY (PO DETAILS, REPORTS, FORECASTING &amp; OTHERS) FOR FY 10~11" xfId="2110"/>
    <cellStyle name="_東風日産P32E車見積依頼書070510_09.2.25TIR事業再建(案1)" xfId="2111"/>
    <cellStyle name="_東風日産P32E車見積依頼書070510_09.2.25TIR事業再建(案1)_09-09　(Final)2nd'09 sales plan" xfId="2112"/>
    <cellStyle name="_東風日産P32E車見積依頼書070510_09.2.25TIR事業再建(案1)_31－Augst)　Latest 2nd Half 09-08　Sales　Plan　２nd-'09 OP" xfId="2113"/>
    <cellStyle name="_東風日産P32E車見積依頼書070510_09.2.25TIR事業再建(案1)_Book1" xfId="2114"/>
    <cellStyle name="_東風日産P32E車見積依頼書070510_09.2.25TIR事業再建(案1)_Book3" xfId="2115"/>
    <cellStyle name="_東風日産P32E車見積依頼書070510_09.2.25TIR事業再建(案1)_REVISED SALES REPORT-JUN'09 (最新）(Goto San)" xfId="2116"/>
    <cellStyle name="_東風日産P32E車見積依頼書070510_09.2.25TIR事業再建(案1)_SALES REPORT FORECASTING, SALES FORECASTING, PRICE LSIT &amp; OTHERS" xfId="2117"/>
    <cellStyle name="_東風日産P32E車見積依頼書070510_09.2.25TIR事業再建(案1)_SALES REPORT FORECASTING, SALES FORECASTING, PRICE LSIT &amp; OTHERS-latest" xfId="2118"/>
    <cellStyle name="_東風日産P32E車見積依頼書070510_09.2.25TIR事業再建(案1)_SALES SUMMARY (PO DETAILS, REPORTS, FORECASTING &amp; OTHERS) FOR FY 10~11" xfId="2119"/>
    <cellStyle name="_東風日産P32E車見積依頼書070510_09.3.13 TIR再建（最終案2)" xfId="2120"/>
    <cellStyle name="_東風日産P32E車見積依頼書070510_09.3.13 TIR再建（最終案2)_09-09　(Final)2nd'09 sales plan" xfId="2121"/>
    <cellStyle name="_東風日産P32E車見積依頼書070510_09.3.13 TIR再建（最終案2)_31－Augst)　Latest 2nd Half 09-08　Sales　Plan　２nd-'09 OP" xfId="2122"/>
    <cellStyle name="_東風日産P32E車見積依頼書070510_09.3.13 TIR再建（最終案2)_Book1" xfId="2123"/>
    <cellStyle name="_東風日産P32E車見積依頼書070510_09.3.13 TIR再建（最終案2)_Book3" xfId="2124"/>
    <cellStyle name="_東風日産P32E車見積依頼書070510_09.3.13 TIR再建（最終案2)_REVISED SALES REPORT-JUN'09 (最新）(Goto San)" xfId="2125"/>
    <cellStyle name="_東風日産P32E車見積依頼書070510_09.3.13 TIR再建（最終案2)_SALES REPORT FORECASTING, SALES FORECASTING, PRICE LSIT &amp; OTHERS" xfId="2126"/>
    <cellStyle name="_東風日産P32E車見積依頼書070510_09.3.13 TIR再建（最終案2)_SALES REPORT FORECASTING, SALES FORECASTING, PRICE LSIT &amp; OTHERS-latest" xfId="2127"/>
    <cellStyle name="_東風日産P32E車見積依頼書070510_09.3.13 TIR再建（最終案2)_SALES SUMMARY (PO DETAILS, REPORTS, FORECASTING &amp; OTHERS) FOR FY 10~11" xfId="2128"/>
    <cellStyle name="_東風日産P32E車見積依頼書070510_090219TIR再FS用台数" xfId="2129"/>
    <cellStyle name="_東風日産P32E車見積依頼書070510_090219TIR再FS用台数_09-09　(Final)2nd'09 sales plan" xfId="2130"/>
    <cellStyle name="_東風日産P32E車見積依頼書070510_090219TIR再FS用台数_31－Augst)　Latest 2nd Half 09-08　Sales　Plan　２nd-'09 OP" xfId="2131"/>
    <cellStyle name="_東風日産P32E車見積依頼書070510_090219TIR再FS用台数_Book1" xfId="2132"/>
    <cellStyle name="_東風日産P32E車見積依頼書070510_090219TIR再FS用台数_Book3" xfId="2133"/>
    <cellStyle name="_東風日産P32E車見積依頼書070510_090219TIR再FS用台数_REVISED SALES REPORT-JUN'09 (最新）(Goto San)" xfId="2134"/>
    <cellStyle name="_東風日産P32E車見積依頼書070510_090219TIR再FS用台数_SALES REPORT FORECASTING, SALES FORECASTING, PRICE LSIT &amp; OTHERS" xfId="2135"/>
    <cellStyle name="_東風日産P32E車見積依頼書070510_090219TIR再FS用台数_SALES REPORT FORECASTING, SALES FORECASTING, PRICE LSIT &amp; OTHERS-latest" xfId="2136"/>
    <cellStyle name="_東風日産P32E車見積依頼書070510_090219TIR再FS用台数_SALES SUMMARY (PO DETAILS, REPORTS, FORECASTING &amp; OTHERS) FOR FY 10~11" xfId="2137"/>
    <cellStyle name="_東風日産P32E車見積依頼書070510_090331　取締役会　売上設定明細" xfId="2138"/>
    <cellStyle name="_東風日産P32E車見積依頼書070510_090331　取締役会　売上設定明細_09-09　(Final)2nd'09 sales plan" xfId="2139"/>
    <cellStyle name="_東風日産P32E車見積依頼書070510_090331　取締役会　売上設定明細_31－Augst)　Latest 2nd Half 09-08　Sales　Plan　２nd-'09 OP" xfId="2140"/>
    <cellStyle name="_東風日産P32E車見積依頼書070510_090331　取締役会　売上設定明細_Book1" xfId="2141"/>
    <cellStyle name="_東風日産P32E車見積依頼書070510_090331　取締役会　売上設定明細_Book3" xfId="2142"/>
    <cellStyle name="_東風日産P32E車見積依頼書070510_090331　取締役会　売上設定明細_REVISED SALES REPORT-JUN'09 (最新）(Goto San)" xfId="2143"/>
    <cellStyle name="_東風日産P32E車見積依頼書070510_090331　取締役会　売上設定明細_SALES REPORT FORECASTING, SALES FORECASTING, PRICE LSIT &amp; OTHERS" xfId="2144"/>
    <cellStyle name="_東風日産P32E車見積依頼書070510_090331　取締役会　売上設定明細_SALES REPORT FORECASTING, SALES FORECASTING, PRICE LSIT &amp; OTHERS-latest" xfId="2145"/>
    <cellStyle name="_東風日産P32E車見積依頼書070510_090331　取締役会　売上設定明細_SALES SUMMARY (PO DETAILS, REPORTS, FORECASTING &amp; OTHERS) FOR FY 10~11" xfId="2146"/>
    <cellStyle name="_東風日産P32E車見積依頼書070510_090402 08出荷実績" xfId="2147"/>
    <cellStyle name="_東風日産P32E車見積依頼書070510_090402 08出荷実績_09-09　(Final)2nd'09 sales plan" xfId="2148"/>
    <cellStyle name="_東風日産P32E車見積依頼書070510_090402 08出荷実績_31－Augst)　Latest 2nd Half 09-08　Sales　Plan　２nd-'09 OP" xfId="2149"/>
    <cellStyle name="_東風日産P32E車見積依頼書070510_090402 08出荷実績_Book1" xfId="2150"/>
    <cellStyle name="_東風日産P32E車見積依頼書070510_090402 08出荷実績_Book3" xfId="2151"/>
    <cellStyle name="_東風日産P32E車見積依頼書070510_090402 08出荷実績_REVISED SALES REPORT-JUN'09 (最新）(Goto San)" xfId="2152"/>
    <cellStyle name="_東風日産P32E車見積依頼書070510_090402 08出荷実績_SALES REPORT FORECASTING, SALES FORECASTING, PRICE LSIT &amp; OTHERS" xfId="2153"/>
    <cellStyle name="_東風日産P32E車見積依頼書070510_090402 08出荷実績_SALES REPORT FORECASTING, SALES FORECASTING, PRICE LSIT &amp; OTHERS-latest" xfId="2154"/>
    <cellStyle name="_東風日産P32E車見積依頼書070510_090402 08出荷実績_SALES SUMMARY (PO DETAILS, REPORTS, FORECASTING &amp; OTHERS) FOR FY 10~11" xfId="2155"/>
    <cellStyle name="_東風日産P32E車見積依頼書070510_09-09　(Final)2nd'09 sales plan" xfId="2156"/>
    <cellStyle name="_東風日産P32E車見積依頼書070510_09-2-19　11：50 TIR再FS用売上計画" xfId="2157"/>
    <cellStyle name="_東風日産P32E車見積依頼書070510_09-2-19　11：50 TIR再FS用売上計画_09-09　(Final)2nd'09 sales plan" xfId="2158"/>
    <cellStyle name="_東風日産P32E車見積依頼書070510_09-2-19　11：50 TIR再FS用売上計画_31－Augst)　Latest 2nd Half 09-08　Sales　Plan　２nd-'09 OP" xfId="2159"/>
    <cellStyle name="_東風日産P32E車見積依頼書070510_09-2-19　11：50 TIR再FS用売上計画_Book1" xfId="2160"/>
    <cellStyle name="_東風日産P32E車見積依頼書070510_09-2-19　11：50 TIR再FS用売上計画_Book3" xfId="2161"/>
    <cellStyle name="_東風日産P32E車見積依頼書070510_09-2-19　11：50 TIR再FS用売上計画_REVISED SALES REPORT-JUN'09 (最新）(Goto San)" xfId="2162"/>
    <cellStyle name="_東風日産P32E車見積依頼書070510_09-2-19　11：50 TIR再FS用売上計画_SALES REPORT FORECASTING, SALES FORECASTING, PRICE LSIT &amp; OTHERS" xfId="2163"/>
    <cellStyle name="_東風日産P32E車見積依頼書070510_09-2-19　11：50 TIR再FS用売上計画_SALES REPORT FORECASTING, SALES FORECASTING, PRICE LSIT &amp; OTHERS-latest" xfId="2164"/>
    <cellStyle name="_東風日産P32E車見積依頼書070510_09-2-19　11：50 TIR再FS用売上計画_SALES SUMMARY (PO DETAILS, REPORTS, FORECASTING &amp; OTHERS) FOR FY 10~11" xfId="2165"/>
    <cellStyle name="_東風日産P32E車見積依頼書070510_2009月別売上計画" xfId="2166"/>
    <cellStyle name="_東風日産P32E車見積依頼書070510_2009月別売上計画_09-09　(Final)2nd'09 sales plan" xfId="2167"/>
    <cellStyle name="_東風日産P32E車見積依頼書070510_2009月別売上計画_31－Augst)　Latest 2nd Half 09-08　Sales　Plan　２nd-'09 OP" xfId="2168"/>
    <cellStyle name="_東風日産P32E車見積依頼書070510_2009月別売上計画_Book1" xfId="2169"/>
    <cellStyle name="_東風日産P32E車見積依頼書070510_2009月別売上計画_Book3" xfId="2170"/>
    <cellStyle name="_東風日産P32E車見積依頼書070510_2009月別売上計画_REVISED SALES REPORT-JUN'09 (最新）(Goto San)" xfId="2171"/>
    <cellStyle name="_東風日産P32E車見積依頼書070510_2009月別売上計画_SALES REPORT FORECASTING, SALES FORECASTING, PRICE LSIT &amp; OTHERS" xfId="2172"/>
    <cellStyle name="_東風日産P32E車見積依頼書070510_2009月別売上計画_SALES REPORT FORECASTING, SALES FORECASTING, PRICE LSIT &amp; OTHERS-latest" xfId="2173"/>
    <cellStyle name="_東風日産P32E車見積依頼書070510_2009月別売上計画_SALES SUMMARY (PO DETAILS, REPORTS, FORECASTING &amp; OTHERS) FOR FY 10~11" xfId="2174"/>
    <cellStyle name="_東風日産P32E車見積依頼書070510_3-13TIR再建-営業添付資料" xfId="2175"/>
    <cellStyle name="_東風日産P32E車見積依頼書070510_3-13TIR再建-営業添付資料_09-09　(Final)2nd'09 sales plan" xfId="2176"/>
    <cellStyle name="_東風日産P32E車見積依頼書070510_3-13TIR再建-営業添付資料_31－Augst)　Latest 2nd Half 09-08　Sales　Plan　２nd-'09 OP" xfId="2177"/>
    <cellStyle name="_東風日産P32E車見積依頼書070510_3-13TIR再建-営業添付資料_Book1" xfId="2178"/>
    <cellStyle name="_東風日産P32E車見積依頼書070510_3-13TIR再建-営業添付資料_Book3" xfId="2179"/>
    <cellStyle name="_東風日産P32E車見積依頼書070510_3-13TIR再建-営業添付資料_REVISED SALES REPORT-JUN'09 (最新）(Goto San)" xfId="2180"/>
    <cellStyle name="_東風日産P32E車見積依頼書070510_3-13TIR再建-営業添付資料_SALES REPORT FORECASTING, SALES FORECASTING, PRICE LSIT &amp; OTHERS" xfId="2181"/>
    <cellStyle name="_東風日産P32E車見積依頼書070510_3-13TIR再建-営業添付資料_SALES REPORT FORECASTING, SALES FORECASTING, PRICE LSIT &amp; OTHERS-latest" xfId="2182"/>
    <cellStyle name="_東風日産P32E車見積依頼書070510_3-13TIR再建-営業添付資料_SALES SUMMARY (PO DETAILS, REPORTS, FORECASTING &amp; OTHERS) FOR FY 10~11" xfId="2183"/>
    <cellStyle name="_東風日産P32E車見積依頼書070510_3-13TIR再建-営業添付資料_Sheet3" xfId="2184"/>
    <cellStyle name="_東風日産P32E車見積依頼書070510_3-13TIR再建-営業添付資料_Sheet3_09-09　(Final)2nd'09 sales plan" xfId="2185"/>
    <cellStyle name="_東風日産P32E車見積依頼書070510_3-13TIR再建-営業添付資料_Sheet3_31－Augst)　Latest 2nd Half 09-08　Sales　Plan　２nd-'09 OP" xfId="2186"/>
    <cellStyle name="_東風日産P32E車見積依頼書070510_3-13TIR再建-営業添付資料_Sheet3_Book1" xfId="2187"/>
    <cellStyle name="_東風日産P32E車見積依頼書070510_3-13TIR再建-営業添付資料_Sheet3_Book3" xfId="2188"/>
    <cellStyle name="_東風日産P32E車見積依頼書070510_3-13TIR再建-営業添付資料_Sheet3_REVISED SALES REPORT-JUN'09 (最新）(Goto San)" xfId="2189"/>
    <cellStyle name="_東風日産P32E車見積依頼書070510_3-13TIR再建-営業添付資料_Sheet3_SALES REPORT FORECASTING, SALES FORECASTING, PRICE LSIT &amp; OTHERS" xfId="2190"/>
    <cellStyle name="_東風日産P32E車見積依頼書070510_3-13TIR再建-営業添付資料_Sheet3_SALES REPORT FORECASTING, SALES FORECASTING, PRICE LSIT &amp; OTHERS-latest" xfId="2191"/>
    <cellStyle name="_東風日産P32E車見積依頼書070510_3-13TIR再建-営業添付資料_Sheet3_SALES SUMMARY (PO DETAILS, REPORTS, FORECASTING &amp; OTHERS) FOR FY 10~11" xfId="2192"/>
    <cellStyle name="_東風日産P32E車見積依頼書070510_3-13TIR再建-営業資料その３" xfId="2193"/>
    <cellStyle name="_東風日産P32E車見積依頼書070510_3-13TIR再建-営業資料その３_09-09　(Final)2nd'09 sales plan" xfId="2194"/>
    <cellStyle name="_東風日産P32E車見積依頼書070510_3-13TIR再建-営業資料その３_31－Augst)　Latest 2nd Half 09-08　Sales　Plan　２nd-'09 OP" xfId="2195"/>
    <cellStyle name="_東風日産P32E車見積依頼書070510_3-13TIR再建-営業資料その３_Book1" xfId="2196"/>
    <cellStyle name="_東風日産P32E車見積依頼書070510_3-13TIR再建-営業資料その３_Book3" xfId="2197"/>
    <cellStyle name="_東風日産P32E車見積依頼書070510_3-13TIR再建-営業資料その３_REVISED SALES REPORT-JUN'09 (最新）(Goto San)" xfId="2198"/>
    <cellStyle name="_東風日産P32E車見積依頼書070510_3-13TIR再建-営業資料その３_SALES REPORT FORECASTING, SALES FORECASTING, PRICE LSIT &amp; OTHERS" xfId="2199"/>
    <cellStyle name="_東風日産P32E車見積依頼書070510_3-13TIR再建-営業資料その３_SALES REPORT FORECASTING, SALES FORECASTING, PRICE LSIT &amp; OTHERS-latest" xfId="2200"/>
    <cellStyle name="_東風日産P32E車見積依頼書070510_3-13TIR再建-営業資料その３_SALES SUMMARY (PO DETAILS, REPORTS, FORECASTING &amp; OTHERS) FOR FY 10~11" xfId="2201"/>
    <cellStyle name="_東風日産P32E車見積依頼書070510_3-13TIR再建-営業資料その３_Sheet3" xfId="2202"/>
    <cellStyle name="_東風日産P32E車見積依頼書070510_3-13TIR再建-営業資料その３_Sheet3_09-09　(Final)2nd'09 sales plan" xfId="2203"/>
    <cellStyle name="_東風日産P32E車見積依頼書070510_3-13TIR再建-営業資料その３_Sheet3_31－Augst)　Latest 2nd Half 09-08　Sales　Plan　２nd-'09 OP" xfId="2204"/>
    <cellStyle name="_東風日産P32E車見積依頼書070510_3-13TIR再建-営業資料その３_Sheet3_Book1" xfId="2205"/>
    <cellStyle name="_東風日産P32E車見積依頼書070510_3-13TIR再建-営業資料その３_Sheet3_Book3" xfId="2206"/>
    <cellStyle name="_東風日産P32E車見積依頼書070510_3-13TIR再建-営業資料その３_Sheet3_REVISED SALES REPORT-JUN'09 (最新）(Goto San)" xfId="2207"/>
    <cellStyle name="_東風日産P32E車見積依頼書070510_3-13TIR再建-営業資料その３_Sheet3_SALES REPORT FORECASTING, SALES FORECASTING, PRICE LSIT &amp; OTHERS" xfId="2208"/>
    <cellStyle name="_東風日産P32E車見積依頼書070510_3-13TIR再建-営業資料その３_Sheet3_SALES REPORT FORECASTING, SALES FORECASTING, PRICE LSIT &amp; OTHERS-latest" xfId="2209"/>
    <cellStyle name="_東風日産P32E車見積依頼書070510_3-13TIR再建-営業資料その３_Sheet3_SALES SUMMARY (PO DETAILS, REPORTS, FORECASTING &amp; OTHERS) FOR FY 10~11" xfId="2210"/>
    <cellStyle name="_東風日産P32E車見積依頼書070510_31－Augst)　Latest 2nd Half 09-08　Sales　Plan　２nd-'09 OP" xfId="2211"/>
    <cellStyle name="_東風日産P32E車見積依頼書070510_Book1" xfId="2212"/>
    <cellStyle name="_東風日産P32E車見積依頼書070510_Book3" xfId="2213"/>
    <cellStyle name="_東風日産P32E車見積依頼書070510_REVISED SALES REPORT-JUN'09 (最新）(Goto San)" xfId="2214"/>
    <cellStyle name="_東風日産P32E車見積依頼書070510_SALES REPORT FORECASTING, SALES FORECASTING, PRICE LSIT &amp; OTHERS" xfId="2215"/>
    <cellStyle name="_東風日産P32E車見積依頼書070510_SALES REPORT FORECASTING, SALES FORECASTING, PRICE LSIT &amp; OTHERS-latest" xfId="2216"/>
    <cellStyle name="_東風日産P32E車見積依頼書070510_SALES SUMMARY (PO DETAILS, REPORTS, FORECASTING &amp; OTHERS) FOR FY 10~11" xfId="2217"/>
    <cellStyle name="_東風日産P32E車見積依頼書070510_コピー ～ 09.2.17見直しTIR業績・事業再建(案5)" xfId="2218"/>
    <cellStyle name="_東風日産P32E車見積依頼書070510_コピー ～ 09.2.17見直しTIR業績・事業再建(案5)_09-09　(Final)2nd'09 sales plan" xfId="2219"/>
    <cellStyle name="_東風日産P32E車見積依頼書070510_コピー ～ 09.2.17見直しTIR業績・事業再建(案5)_31－Augst)　Latest 2nd Half 09-08　Sales　Plan　２nd-'09 OP" xfId="2220"/>
    <cellStyle name="_東風日産P32E車見積依頼書070510_コピー ～ 09.2.17見直しTIR業績・事業再建(案5)_Book1" xfId="2221"/>
    <cellStyle name="_東風日産P32E車見積依頼書070510_コピー ～ 09.2.17見直しTIR業績・事業再建(案5)_Book3" xfId="2222"/>
    <cellStyle name="_東風日産P32E車見積依頼書070510_コピー ～ 09.2.17見直しTIR業績・事業再建(案5)_REVISED SALES REPORT-JUN'09 (最新）(Goto San)" xfId="2223"/>
    <cellStyle name="_東風日産P32E車見積依頼書070510_コピー ～ 09.2.17見直しTIR業績・事業再建(案5)_SALES REPORT FORECASTING, SALES FORECASTING, PRICE LSIT &amp; OTHERS" xfId="2224"/>
    <cellStyle name="_東風日産P32E車見積依頼書070510_コピー ～ 09.2.17見直しTIR業績・事業再建(案5)_SALES REPORT FORECASTING, SALES FORECASTING, PRICE LSIT &amp; OTHERS-latest" xfId="2225"/>
    <cellStyle name="_東風日産P32E車見積依頼書070510_コピー ～ 09.2.17見直しTIR業績・事業再建(案5)_SALES SUMMARY (PO DETAILS, REPORTS, FORECASTING &amp; OTHERS) FOR FY 10~11" xfId="2226"/>
    <cellStyle name="_東風日産P32E車見積依頼書070510_最終版09(1).3.30常務会（TIR再建計画）-03-27－①" xfId="2227"/>
    <cellStyle name="_東風日産P32E車見積依頼書070510_最終版09(1).3.30常務会（TIR再建計画）-03-27－①_09-09　(Final)2nd'09 sales plan" xfId="2228"/>
    <cellStyle name="_東風日産P32E車見積依頼書070510_最終版09(1).3.30常務会（TIR再建計画）-03-27－①_31－Augst)　Latest 2nd Half 09-08　Sales　Plan　２nd-'09 OP" xfId="2229"/>
    <cellStyle name="_東風日産P32E車見積依頼書070510_最終版09(1).3.30常務会（TIR再建計画）-03-27－①_Book1" xfId="2230"/>
    <cellStyle name="_東風日産P32E車見積依頼書070510_最終版09(1).3.30常務会（TIR再建計画）-03-27－①_Book3" xfId="2231"/>
    <cellStyle name="_東風日産P32E車見積依頼書070510_最終版09(1).3.30常務会（TIR再建計画）-03-27－①_REVISED SALES REPORT-JUN'09 (最新）(Goto San)" xfId="2232"/>
    <cellStyle name="_東風日産P32E車見積依頼書070510_最終版09(1).3.30常務会（TIR再建計画）-03-27－①_SALES REPORT FORECASTING, SALES FORECASTING, PRICE LSIT &amp; OTHERS" xfId="2233"/>
    <cellStyle name="_東風日産P32E車見積依頼書070510_最終版09(1).3.30常務会（TIR再建計画）-03-27－①_SALES REPORT FORECASTING, SALES FORECASTING, PRICE LSIT &amp; OTHERS-latest" xfId="2234"/>
    <cellStyle name="_東風日産P32E車見積依頼書070510_最終版09(1).3.30常務会（TIR再建計画）-03-27－①_SALES SUMMARY (PO DETAILS, REPORTS, FORECASTING &amp; OTHERS) FOR FY 10~11" xfId="2235"/>
    <cellStyle name="’E‰Y [0.00]_laroux" xfId="2236"/>
    <cellStyle name="’Ê‰Ý [0.00]_laroux" xfId="2237"/>
    <cellStyle name="’E‰Y_laroux" xfId="2238"/>
    <cellStyle name="’Ê‰Ý_laroux" xfId="2239"/>
    <cellStyle name="’E‰Y_laroux_Inventory_valuation" xfId="2240"/>
    <cellStyle name="’Ê‰Ý_laroux_Inventory_valuation" xfId="2241"/>
    <cellStyle name="’E‰Y_laroux_purchaseforesale" xfId="2242"/>
    <cellStyle name="’Ê‰Ý_laroux_purchaseforesale" xfId="2243"/>
    <cellStyle name="’ส [0.00]_ArticleMacro" xfId="2244"/>
    <cellStyle name="’ส_ArticleMacro" xfId="2245"/>
    <cellStyle name="」」" xfId="2246"/>
    <cellStyle name="」」 2" xfId="2247"/>
    <cellStyle name="+27.577+36" xfId="2248"/>
    <cellStyle name="=C:\WINDOWS\SYSTEM32\COMMAND.COM" xfId="2249"/>
    <cellStyle name="=C:\WINNT\SYSTEM32\COMMAND.COM" xfId="2250"/>
    <cellStyle name="=C:\WINNT\SYSTEM32\COMMAND.COM 2" xfId="2251"/>
    <cellStyle name="=C:\WINNT35\SYSTEM32\COMMAND.COM" xfId="2252"/>
    <cellStyle name="=F:\WINNT\SYSTEM32\COMMAND.COM" xfId="2253"/>
    <cellStyle name="△백분율" xfId="2254"/>
    <cellStyle name="△콤마" xfId="2255"/>
    <cellStyle name="µÚ¿¡ ¿À´Â ÇÏÀÌÆÛ¸µÅ©" xfId="2256"/>
    <cellStyle name="•W€_Electrical" xfId="2257"/>
    <cellStyle name="•W_@”\๊——•\P" xfId="2258"/>
    <cellStyle name="\¦ÏÝÌnCp[N" xfId="2259"/>
    <cellStyle name="\¦ÏÝÌnCp[N 10" xfId="2260"/>
    <cellStyle name="\¦ÏÝÌnCp[N 2" xfId="2261"/>
    <cellStyle name="\¦ÏÝÌnCp[N 3" xfId="2262"/>
    <cellStyle name="\¦ÏÝÌnCp[N 4" xfId="2263"/>
    <cellStyle name="\¦ÏÝÌnCp[N 5" xfId="2264"/>
    <cellStyle name="\¦ÏÝÌnCp[N 6" xfId="2265"/>
    <cellStyle name="\¦ÏÝÌnCp[N 7" xfId="2266"/>
    <cellStyle name="\¦ÏÝÌnCp[N 8" xfId="2267"/>
    <cellStyle name="\¦ÏÝÌnCp[N 9" xfId="2268"/>
    <cellStyle name="…ๆุ่ [0.00]_ArticleMacro" xfId="2269"/>
    <cellStyle name="…ๆุ่_ArticleMacro" xfId="2270"/>
    <cellStyle name="ÊÝ [0.00]_127ã\ZÄiocéæj" xfId="2271"/>
    <cellStyle name="ÊÝ_127ã\ZÄiocéæj" xfId="2272"/>
    <cellStyle name="fEñY [0.00]_??AN2O‹?T" xfId="2273"/>
    <cellStyle name="fEñY_??AN2O‹?T" xfId="2274"/>
    <cellStyle name="nCp[N" xfId="2275"/>
    <cellStyle name="nCp[N 10" xfId="2276"/>
    <cellStyle name="nCp[N 2" xfId="2277"/>
    <cellStyle name="nCp[N 3" xfId="2278"/>
    <cellStyle name="nCp[N 4" xfId="2279"/>
    <cellStyle name="nCp[N 5" xfId="2280"/>
    <cellStyle name="nCp[N 6" xfId="2281"/>
    <cellStyle name="nCp[N 7" xfId="2282"/>
    <cellStyle name="nCp[N 8" xfId="2283"/>
    <cellStyle name="nCp[N 9" xfId="2284"/>
    <cellStyle name="W_¢P¿" xfId="2285"/>
    <cellStyle name="0,0_x000d__x000a_NA_x000d__x000a_" xfId="2286"/>
    <cellStyle name="00" xfId="2287"/>
    <cellStyle name="000" xfId="2288"/>
    <cellStyle name="000'" xfId="2289"/>
    <cellStyle name="01(1).xls]CiHand" xfId="2290"/>
    <cellStyle name="01(1).xls]L&amp;Ads" xfId="2291"/>
    <cellStyle name="1" xfId="2292"/>
    <cellStyle name="1_4W(New Model )2008xls" xfId="2293"/>
    <cellStyle name="1_Inventory_valuation" xfId="2294"/>
    <cellStyle name="1_purchaseforesale" xfId="2295"/>
    <cellStyle name="1_コピー ～ コピー ～ ID ２PSE企資料" xfId="2296"/>
    <cellStyle name="1_コピー ～ コピー ～ ID ２PSE企資料_SGA PRESS" xfId="2297"/>
    <cellStyle name="100" xfId="2298"/>
    <cellStyle name="11-Feb-05" xfId="2299"/>
    <cellStyle name="11-JAN-05" xfId="2300"/>
    <cellStyle name="12B" xfId="2301"/>
    <cellStyle name="12U" xfId="2302"/>
    <cellStyle name="130299" xfId="2303"/>
    <cellStyle name="13-JAN-05" xfId="2304"/>
    <cellStyle name="14B" xfId="2305"/>
    <cellStyle name="15" xfId="2306"/>
    <cellStyle name="16-DEC-05" xfId="2307"/>
    <cellStyle name="17-JAN-05" xfId="2308"/>
    <cellStyle name="18B" xfId="2309"/>
    <cellStyle name="¹éºÐÀ²_±âÅ¸" xfId="2310"/>
    <cellStyle name="1-JAN-05" xfId="2311"/>
    <cellStyle name="2" xfId="2312"/>
    <cellStyle name="20% - Accent1 2" xfId="2313"/>
    <cellStyle name="20% - Accent1 3" xfId="2314"/>
    <cellStyle name="20% - Accent1 4" xfId="2315"/>
    <cellStyle name="20% - Accent2 2" xfId="2316"/>
    <cellStyle name="20% - Accent2 3" xfId="2317"/>
    <cellStyle name="20% - Accent2 4" xfId="2318"/>
    <cellStyle name="20% - Accent3 2" xfId="2319"/>
    <cellStyle name="20% - Accent3 3" xfId="2320"/>
    <cellStyle name="20% - Accent3 4" xfId="2321"/>
    <cellStyle name="20% - Accent4 2" xfId="2322"/>
    <cellStyle name="20% - Accent4 3" xfId="2323"/>
    <cellStyle name="20% - Accent4 4" xfId="2324"/>
    <cellStyle name="20% - Accent5 2" xfId="2325"/>
    <cellStyle name="20% - Accent5 3" xfId="2326"/>
    <cellStyle name="20% - Accent5 4" xfId="2327"/>
    <cellStyle name="20% - Accent6 2" xfId="2328"/>
    <cellStyle name="20% - Accent6 3" xfId="2329"/>
    <cellStyle name="20% - Accent6 4" xfId="2330"/>
    <cellStyle name="20% - Акцент1" xfId="2331"/>
    <cellStyle name="20% - Акцент2" xfId="2332"/>
    <cellStyle name="20% - Акцент3" xfId="2333"/>
    <cellStyle name="20% - Акцент4" xfId="2334"/>
    <cellStyle name="20% - Акцент5" xfId="2335"/>
    <cellStyle name="20% - Акцент6" xfId="2336"/>
    <cellStyle name="20% - アクセント 1" xfId="2337"/>
    <cellStyle name="20% - アクセント 1 2" xfId="2338"/>
    <cellStyle name="20% - アクセント 1_Fixed Assets Register.Dec'11üiImpairment)+prorate+journal" xfId="2339"/>
    <cellStyle name="20% - アクセント 2" xfId="2340"/>
    <cellStyle name="20% - アクセント 2 2" xfId="2341"/>
    <cellStyle name="20% - アクセント 2_Fixed Assets Register.Dec'11üiImpairment)+prorate+journal" xfId="2342"/>
    <cellStyle name="20% - アクセント 3" xfId="2343"/>
    <cellStyle name="20% - アクセント 3 2" xfId="2344"/>
    <cellStyle name="20% - アクセント 3_Fixed Assets Register.Dec'11üiImpairment)+prorate+journal" xfId="2345"/>
    <cellStyle name="20% - アクセント 4" xfId="2346"/>
    <cellStyle name="20% - アクセント 4 2" xfId="2347"/>
    <cellStyle name="20% - アクセント 4_Fixed Assets Register.Dec'11üiImpairment)+prorate+journal" xfId="2348"/>
    <cellStyle name="20% - アクセント 5" xfId="2349"/>
    <cellStyle name="20% - アクセント 5 2" xfId="2350"/>
    <cellStyle name="20% - アクセント 5_Fixed Assets Register.Dec'11üiImpairment)+prorate+journal" xfId="2351"/>
    <cellStyle name="20% - アクセント 6" xfId="2352"/>
    <cellStyle name="20% - アクセント 6 2" xfId="2353"/>
    <cellStyle name="20% - アクセント 6_Fixed Assets Register.Dec'11üiImpairment)+prorate+journal" xfId="2354"/>
    <cellStyle name="20-JAN-05" xfId="2355"/>
    <cellStyle name="24BU" xfId="2356"/>
    <cellStyle name="2-JAN-05" xfId="2357"/>
    <cellStyle name="3" xfId="2358"/>
    <cellStyle name="3$" xfId="2359"/>
    <cellStyle name="4" xfId="2360"/>
    <cellStyle name="40% - Accent1 2" xfId="2361"/>
    <cellStyle name="40% - Accent1 3" xfId="2362"/>
    <cellStyle name="40% - Accent1 4" xfId="2363"/>
    <cellStyle name="40% - Accent2 2" xfId="2364"/>
    <cellStyle name="40% - Accent2 3" xfId="2365"/>
    <cellStyle name="40% - Accent2 4" xfId="2366"/>
    <cellStyle name="40% - Accent3 2" xfId="2367"/>
    <cellStyle name="40% - Accent3 3" xfId="2368"/>
    <cellStyle name="40% - Accent3 4" xfId="2369"/>
    <cellStyle name="40% - Accent4 2" xfId="2370"/>
    <cellStyle name="40% - Accent4 3" xfId="2371"/>
    <cellStyle name="40% - Accent4 4" xfId="2372"/>
    <cellStyle name="40% - Accent5 2" xfId="2373"/>
    <cellStyle name="40% - Accent5 3" xfId="2374"/>
    <cellStyle name="40% - Accent5 4" xfId="2375"/>
    <cellStyle name="40% - Accent6 2" xfId="2376"/>
    <cellStyle name="40% - Accent6 3" xfId="2377"/>
    <cellStyle name="40% - Accent6 4" xfId="2378"/>
    <cellStyle name="40% - Акцент1" xfId="2379"/>
    <cellStyle name="40% - Акцент2" xfId="2380"/>
    <cellStyle name="40% - Акцент3" xfId="2381"/>
    <cellStyle name="40% - Акцент4" xfId="2382"/>
    <cellStyle name="40% - Акцент5" xfId="2383"/>
    <cellStyle name="40% - Акцент6" xfId="2384"/>
    <cellStyle name="40% - アクセント 1" xfId="2385"/>
    <cellStyle name="40% - アクセント 1 2" xfId="2386"/>
    <cellStyle name="40% - アクセント 1_Fixed Assets Register.Dec'11üiImpairment)+prorate+journal" xfId="2387"/>
    <cellStyle name="40% - アクセント 2" xfId="2388"/>
    <cellStyle name="40% - アクセント 2 2" xfId="2389"/>
    <cellStyle name="40% - アクセント 2_Fixed Assets Register.Dec'11üiImpairment)+prorate+journal" xfId="2390"/>
    <cellStyle name="40% - アクセント 3" xfId="2391"/>
    <cellStyle name="40% - アクセント 3 2" xfId="2392"/>
    <cellStyle name="40% - アクセント 3_Fixed Assets Register.Dec'11üiImpairment)+prorate+journal" xfId="2393"/>
    <cellStyle name="40% - アクセント 4" xfId="2394"/>
    <cellStyle name="40% - アクセント 4 2" xfId="2395"/>
    <cellStyle name="40% - アクセント 4_Fixed Assets Register.Dec'11üiImpairment)+prorate+journal" xfId="2396"/>
    <cellStyle name="40% - アクセント 5" xfId="2397"/>
    <cellStyle name="40% - アクセント 5 2" xfId="2398"/>
    <cellStyle name="40% - アクセント 5_Fixed Assets Register.Dec'11üiImpairment)+prorate+journal" xfId="2399"/>
    <cellStyle name="40% - アクセント 6" xfId="2400"/>
    <cellStyle name="40% - アクセント 6 2" xfId="2401"/>
    <cellStyle name="40% - アクセント 6_Fixed Assets Register.Dec'11üiImpairment)+prorate+journal" xfId="2402"/>
    <cellStyle name="5-JAN-05" xfId="2403"/>
    <cellStyle name="60% - Accent1 2" xfId="2404"/>
    <cellStyle name="60% - Accent1 3" xfId="2405"/>
    <cellStyle name="60% - Accent1 4" xfId="2406"/>
    <cellStyle name="60% - Accent2 2" xfId="2407"/>
    <cellStyle name="60% - Accent2 3" xfId="2408"/>
    <cellStyle name="60% - Accent2 4" xfId="2409"/>
    <cellStyle name="60% - Accent3 2" xfId="2410"/>
    <cellStyle name="60% - Accent3 3" xfId="2411"/>
    <cellStyle name="60% - Accent3 4" xfId="2412"/>
    <cellStyle name="60% - Accent4 2" xfId="2413"/>
    <cellStyle name="60% - Accent4 3" xfId="2414"/>
    <cellStyle name="60% - Accent4 4" xfId="2415"/>
    <cellStyle name="60% - Accent5 2" xfId="2416"/>
    <cellStyle name="60% - Accent5 3" xfId="2417"/>
    <cellStyle name="60% - Accent5 4" xfId="2418"/>
    <cellStyle name="60% - Accent6 2" xfId="2419"/>
    <cellStyle name="60% - Accent6 3" xfId="2420"/>
    <cellStyle name="60% - Accent6 4" xfId="2421"/>
    <cellStyle name="60% - Акцент1" xfId="2422"/>
    <cellStyle name="60% - Акцент2" xfId="2423"/>
    <cellStyle name="60% - Акцент3" xfId="2424"/>
    <cellStyle name="60% - Акцент4" xfId="2425"/>
    <cellStyle name="60% - Акцент5" xfId="2426"/>
    <cellStyle name="60% - Акцент6" xfId="2427"/>
    <cellStyle name="60% - アクセント 1" xfId="2428"/>
    <cellStyle name="60% - アクセント 1 2" xfId="2429"/>
    <cellStyle name="60% - アクセント 1_Fixed Assets Register.Dec'11üiImpairment)+prorate+journal" xfId="2430"/>
    <cellStyle name="60% - アクセント 2" xfId="2431"/>
    <cellStyle name="60% - アクセント 2 2" xfId="2432"/>
    <cellStyle name="60% - アクセント 2_Fixed Assets Register.Dec'11üiImpairment)+prorate+journal" xfId="2433"/>
    <cellStyle name="60% - アクセント 3" xfId="2434"/>
    <cellStyle name="60% - アクセント 3 2" xfId="2435"/>
    <cellStyle name="60% - アクセント 3_Fixed Assets Register.Dec'11üiImpairment)+prorate+journal" xfId="2436"/>
    <cellStyle name="60% - アクセント 4" xfId="2437"/>
    <cellStyle name="60% - アクセント 4 2" xfId="2438"/>
    <cellStyle name="60% - アクセント 4_Fixed Assets Register.Dec'11üiImpairment)+prorate+journal" xfId="2439"/>
    <cellStyle name="60% - アクセント 5" xfId="2440"/>
    <cellStyle name="60% - アクセント 5 2" xfId="2441"/>
    <cellStyle name="60% - アクセント 5_Fixed Assets Register.Dec'11üiImpairment)+prorate+journal" xfId="2442"/>
    <cellStyle name="60% - アクセント 6" xfId="2443"/>
    <cellStyle name="60% - アクセント 6 2" xfId="2444"/>
    <cellStyle name="60% - アクセント 6_Fixed Assets Register.Dec'11üiImpairment)+prorate+journal" xfId="2445"/>
    <cellStyle name="6-JAN-05" xfId="2446"/>
    <cellStyle name="75" xfId="2447"/>
    <cellStyle name="8I" xfId="2448"/>
    <cellStyle name="9" xfId="2449"/>
    <cellStyle name="9_Draft Financial Nikon 2009-10" xfId="2450"/>
    <cellStyle name="9999/99/99" xfId="2451"/>
    <cellStyle name="a" xfId="2452"/>
    <cellStyle name="A satisfied Microsoft Office user" xfId="2453"/>
    <cellStyle name="abc" xfId="2454"/>
    <cellStyle name="Accent1 - 20%" xfId="2455"/>
    <cellStyle name="Accent1 - 40%" xfId="2456"/>
    <cellStyle name="Accent1 - 60%" xfId="2457"/>
    <cellStyle name="Accent1 2" xfId="2458"/>
    <cellStyle name="Accent1 3" xfId="2459"/>
    <cellStyle name="Accent1 4" xfId="2460"/>
    <cellStyle name="Accent2 - 20%" xfId="2461"/>
    <cellStyle name="Accent2 - 40%" xfId="2462"/>
    <cellStyle name="Accent2 - 60%" xfId="2463"/>
    <cellStyle name="Accent2 2" xfId="2464"/>
    <cellStyle name="Accent2 3" xfId="2465"/>
    <cellStyle name="Accent2 4" xfId="2466"/>
    <cellStyle name="Accent3 - 20%" xfId="2467"/>
    <cellStyle name="Accent3 - 40%" xfId="2468"/>
    <cellStyle name="Accent3 - 60%" xfId="2469"/>
    <cellStyle name="Accent3 2" xfId="2470"/>
    <cellStyle name="Accent3 3" xfId="2471"/>
    <cellStyle name="Accent3 4" xfId="2472"/>
    <cellStyle name="Accent4 - 20%" xfId="2473"/>
    <cellStyle name="Accent4 - 40%" xfId="2474"/>
    <cellStyle name="Accent4 - 60%" xfId="2475"/>
    <cellStyle name="Accent4 2" xfId="2476"/>
    <cellStyle name="Accent4 3" xfId="2477"/>
    <cellStyle name="Accent4 4" xfId="2478"/>
    <cellStyle name="Accent5 - 20%" xfId="2479"/>
    <cellStyle name="Accent5 - 40%" xfId="2480"/>
    <cellStyle name="Accent5 - 60%" xfId="2481"/>
    <cellStyle name="Accent5 2" xfId="2482"/>
    <cellStyle name="Accent5 3" xfId="2483"/>
    <cellStyle name="Accent5 4" xfId="2484"/>
    <cellStyle name="Accent6 - 20%" xfId="2485"/>
    <cellStyle name="Accent6 - 40%" xfId="2486"/>
    <cellStyle name="Accent6 - 60%" xfId="2487"/>
    <cellStyle name="Accent6 2" xfId="2488"/>
    <cellStyle name="Accent6 3" xfId="2489"/>
    <cellStyle name="Accent6 4" xfId="2490"/>
    <cellStyle name="Account title" xfId="2491"/>
    <cellStyle name="accounting" xfId="2492"/>
    <cellStyle name="Activity" xfId="2493"/>
    <cellStyle name="ÅëÈ­ [0]_¿ï»êÈ­·Â ±â±¸Á¶Á÷Ç¥" xfId="2494"/>
    <cellStyle name="AeE­ [0]_INQUIRY ¿µ¾÷AßAø " xfId="2495"/>
    <cellStyle name="ÅëÈ­_¿ï»êÈ­·Â ±â±¸Á¶Á÷Ç¥" xfId="2496"/>
    <cellStyle name="AeE­_INQUIRY ¿µ¾÷AßAø " xfId="2497"/>
    <cellStyle name="AFE" xfId="2498"/>
    <cellStyle name="Albacom" xfId="2499"/>
    <cellStyle name="Andre's Title" xfId="2500"/>
    <cellStyle name="args.style" xfId="2501"/>
    <cellStyle name="Arial" xfId="2502"/>
    <cellStyle name="Arial 10" xfId="2503"/>
    <cellStyle name="Arial 12" xfId="2504"/>
    <cellStyle name="Arial_Book1" xfId="2505"/>
    <cellStyle name="ÄÞ¸¶ [0]_´Ü°èº° ±¸Ãà¾È" xfId="2506"/>
    <cellStyle name="AÞ¸¶ [0]_INQUIRY ¿?¾÷AßAø " xfId="2507"/>
    <cellStyle name="ÄÞ¸¶_´Ü°èº° ±¸Ãà¾È" xfId="2508"/>
    <cellStyle name="AÞ¸¶_INQUIRY ¿?¾÷AßAø " xfId="2509"/>
    <cellStyle name="Aus $.00" xfId="2510"/>
    <cellStyle name="Bad 2" xfId="2511"/>
    <cellStyle name="Bad 3" xfId="2512"/>
    <cellStyle name="Bad 4" xfId="2513"/>
    <cellStyle name="Binlik Ayrac?_Sayfa1" xfId="2514"/>
    <cellStyle name="Binlik Ayracı_Sayfa1" xfId="2515"/>
    <cellStyle name="BLACK" xfId="2516"/>
    <cellStyle name="BlackStrike" xfId="2517"/>
    <cellStyle name="BlackText" xfId="2518"/>
    <cellStyle name="Blank" xfId="2519"/>
    <cellStyle name="BlankP" xfId="2520"/>
    <cellStyle name="BLU" xfId="2521"/>
    <cellStyle name="Blue" xfId="2522"/>
    <cellStyle name="blue currency" xfId="2523"/>
    <cellStyle name="BLUE date" xfId="2524"/>
    <cellStyle name="blue$00" xfId="2525"/>
    <cellStyle name="BLUE_BLT_6_51" xfId="2526"/>
    <cellStyle name="Body" xfId="2527"/>
    <cellStyle name="bold big" xfId="2528"/>
    <cellStyle name="BoldText" xfId="2529"/>
    <cellStyle name="Border" xfId="2530"/>
    <cellStyle name="Border Heavy" xfId="2531"/>
    <cellStyle name="Border Thin" xfId="2532"/>
    <cellStyle name="Border, Bottom" xfId="2533"/>
    <cellStyle name="Border, Left" xfId="2534"/>
    <cellStyle name="Border, Right" xfId="2535"/>
    <cellStyle name="Border, Top" xfId="2536"/>
    <cellStyle name="Border1" xfId="2537"/>
    <cellStyle name="Border2" xfId="2538"/>
    <cellStyle name="Border3" xfId="2539"/>
    <cellStyle name="bordino" xfId="2540"/>
    <cellStyle name="Brand Align Left Text" xfId="2541"/>
    <cellStyle name="Brand Default" xfId="2542"/>
    <cellStyle name="Brand Percent" xfId="2543"/>
    <cellStyle name="Brand Source" xfId="2544"/>
    <cellStyle name="Brand Subtitle with Underline" xfId="2545"/>
    <cellStyle name="Brand Subtitle without Underline" xfId="2546"/>
    <cellStyle name="Brand Title" xfId="2547"/>
    <cellStyle name="brd" xfId="2548"/>
    <cellStyle name="British Pound" xfId="2549"/>
    <cellStyle name="BuiltOpt_Content" xfId="2550"/>
    <cellStyle name="bullet" xfId="2551"/>
    <cellStyle name="Business Description" xfId="2552"/>
    <cellStyle name="C" xfId="2553"/>
    <cellStyle name="C?AØ_¿?¾÷CoE² " xfId="2554"/>
    <cellStyle name="Ç¥ÁØ_´çÃÊ±¸ÀÔ»ý»ê" xfId="2555"/>
    <cellStyle name="C￥AØ_¿μ¾÷CoE² " xfId="2556"/>
    <cellStyle name="Calc C - Style1" xfId="2557"/>
    <cellStyle name="Calc C - Style2" xfId="2558"/>
    <cellStyle name="Calc C - Style3" xfId="2559"/>
    <cellStyle name="Calc C - Style4" xfId="2560"/>
    <cellStyle name="Calc C - Style5" xfId="2561"/>
    <cellStyle name="Calc C - Style6" xfId="2562"/>
    <cellStyle name="Calc C - Style7" xfId="2563"/>
    <cellStyle name="Calc C - Style8" xfId="2564"/>
    <cellStyle name="Calc Currency (0)" xfId="2565"/>
    <cellStyle name="Calc Currency (0) 10" xfId="2566"/>
    <cellStyle name="Calc Currency (0) 11" xfId="2567"/>
    <cellStyle name="Calc Currency (0) 11 2" xfId="2568"/>
    <cellStyle name="Calc Currency (0) 12" xfId="2569"/>
    <cellStyle name="Calc Currency (0) 12 2" xfId="2570"/>
    <cellStyle name="Calc Currency (0) 13" xfId="2571"/>
    <cellStyle name="Calc Currency (0) 13 2" xfId="2572"/>
    <cellStyle name="Calc Currency (0) 14" xfId="2573"/>
    <cellStyle name="Calc Currency (0) 14 2" xfId="2574"/>
    <cellStyle name="Calc Currency (0) 15" xfId="2575"/>
    <cellStyle name="Calc Currency (0) 15 2" xfId="2576"/>
    <cellStyle name="Calc Currency (0) 2" xfId="2577"/>
    <cellStyle name="Calc Currency (0) 2 2" xfId="2578"/>
    <cellStyle name="Calc Currency (0) 2 3" xfId="2579"/>
    <cellStyle name="Calc Currency (0) 2 4" xfId="2580"/>
    <cellStyle name="Calc Currency (0) 3" xfId="2581"/>
    <cellStyle name="Calc Currency (0) 3 2" xfId="2582"/>
    <cellStyle name="Calc Currency (0) 3 3" xfId="2583"/>
    <cellStyle name="Calc Currency (0) 3 4" xfId="2584"/>
    <cellStyle name="Calc Currency (0) 4" xfId="2585"/>
    <cellStyle name="Calc Currency (0) 4 2" xfId="2586"/>
    <cellStyle name="Calc Currency (0) 4 3" xfId="2587"/>
    <cellStyle name="Calc Currency (0) 4 4" xfId="2588"/>
    <cellStyle name="Calc Currency (0) 5" xfId="2589"/>
    <cellStyle name="Calc Currency (0) 5 2" xfId="2590"/>
    <cellStyle name="Calc Currency (0) 5 3" xfId="2591"/>
    <cellStyle name="Calc Currency (0) 5 4" xfId="2592"/>
    <cellStyle name="Calc Currency (0) 6" xfId="2593"/>
    <cellStyle name="Calc Currency (0) 7" xfId="2594"/>
    <cellStyle name="Calc Currency (0) 8" xfId="2595"/>
    <cellStyle name="Calc Currency (0) 9" xfId="2596"/>
    <cellStyle name="Calc Currency (0)_Balance Sheet (11-12)" xfId="2597"/>
    <cellStyle name="Calc Currency (2)" xfId="2598"/>
    <cellStyle name="Calc Percent (0)" xfId="2599"/>
    <cellStyle name="Calc Percent (1)" xfId="2600"/>
    <cellStyle name="Calc Percent (2)" xfId="2601"/>
    <cellStyle name="Calc Units (0)" xfId="2602"/>
    <cellStyle name="Calc Units (1)" xfId="2603"/>
    <cellStyle name="Calc Units (2)" xfId="2604"/>
    <cellStyle name="Calculated" xfId="2605"/>
    <cellStyle name="Calculation 2" xfId="2606"/>
    <cellStyle name="Calculation 3" xfId="2607"/>
    <cellStyle name="Calculation 4" xfId="2608"/>
    <cellStyle name="Case" xfId="2609"/>
    <cellStyle name="category" xfId="2610"/>
    <cellStyle name="Center Across" xfId="2611"/>
    <cellStyle name="Center Across Columns" xfId="2612"/>
    <cellStyle name="Center Heading across cells" xfId="2613"/>
    <cellStyle name="Centered Heading" xfId="2614"/>
    <cellStyle name="Changeable" xfId="2615"/>
    <cellStyle name="Chart Title" xfId="2616"/>
    <cellStyle name="ChartingText" xfId="2617"/>
    <cellStyle name="check" xfId="2618"/>
    <cellStyle name="Check Cell 2" xfId="2619"/>
    <cellStyle name="Check Cell 3" xfId="2620"/>
    <cellStyle name="Check Cell 4" xfId="2621"/>
    <cellStyle name="CHUONG" xfId="2622"/>
    <cellStyle name="ÇÏÀÌÆÛ¸µÅ©" xfId="2623"/>
    <cellStyle name="Co. Names" xfId="2624"/>
    <cellStyle name="Co. Names - Bold" xfId="2625"/>
    <cellStyle name="Co. Names_accretion dilution" xfId="2626"/>
    <cellStyle name="COL HEADINGS" xfId="2627"/>
    <cellStyle name="ColHeading" xfId="2628"/>
    <cellStyle name="Collegamento ipertestuale" xfId="2629"/>
    <cellStyle name="Collegamento ipertestuale visitato" xfId="2630"/>
    <cellStyle name="Collegamento ipertestuale_BDG 2007 ILPEA PARAMOUNT-Final-Luca" xfId="2631"/>
    <cellStyle name="Column Head 1" xfId="2632"/>
    <cellStyle name="Column Head 2" xfId="2633"/>
    <cellStyle name="Column Heading" xfId="2634"/>
    <cellStyle name="Column Heading (across cells)" xfId="2635"/>
    <cellStyle name="Column Heading_Allrite Financials 0108" xfId="2636"/>
    <cellStyle name="Column title" xfId="2637"/>
    <cellStyle name="Column title i" xfId="2638"/>
    <cellStyle name="Column_Title" xfId="2639"/>
    <cellStyle name="ColumnHeaderNormal" xfId="2640"/>
    <cellStyle name="ColumnTop" xfId="2641"/>
    <cellStyle name="Coࡵma_laroux_S" xfId="2642"/>
    <cellStyle name="CombinedVol_Data" xfId="2643"/>
    <cellStyle name="Comma" xfId="1" builtinId="3"/>
    <cellStyle name="Comma  - Style1" xfId="2644"/>
    <cellStyle name="Comma  - Style1 10" xfId="2645"/>
    <cellStyle name="Comma  - Style1 11" xfId="2646"/>
    <cellStyle name="Comma  - Style1 12" xfId="2647"/>
    <cellStyle name="Comma  - Style1 13" xfId="2648"/>
    <cellStyle name="Comma  - Style1 14" xfId="2649"/>
    <cellStyle name="Comma  - Style1 15" xfId="2650"/>
    <cellStyle name="Comma  - Style1 16" xfId="2651"/>
    <cellStyle name="Comma  - Style1 17" xfId="2652"/>
    <cellStyle name="Comma  - Style1 18" xfId="2653"/>
    <cellStyle name="Comma  - Style1 19" xfId="2654"/>
    <cellStyle name="Comma  - Style1 2" xfId="2655"/>
    <cellStyle name="Comma  - Style1 20" xfId="2656"/>
    <cellStyle name="Comma  - Style1 21" xfId="2657"/>
    <cellStyle name="Comma  - Style1 22" xfId="2658"/>
    <cellStyle name="Comma  - Style1 23" xfId="2659"/>
    <cellStyle name="Comma  - Style1 24" xfId="2660"/>
    <cellStyle name="Comma  - Style1 25" xfId="2661"/>
    <cellStyle name="Comma  - Style1 26" xfId="2662"/>
    <cellStyle name="Comma  - Style1 27" xfId="2663"/>
    <cellStyle name="Comma  - Style1 28" xfId="2664"/>
    <cellStyle name="Comma  - Style1 29" xfId="2665"/>
    <cellStyle name="Comma  - Style1 3" xfId="2666"/>
    <cellStyle name="Comma  - Style1 30" xfId="2667"/>
    <cellStyle name="Comma  - Style1 31" xfId="2668"/>
    <cellStyle name="Comma  - Style1 32" xfId="2669"/>
    <cellStyle name="Comma  - Style1 33" xfId="2670"/>
    <cellStyle name="Comma  - Style1 34" xfId="2671"/>
    <cellStyle name="Comma  - Style1 35" xfId="2672"/>
    <cellStyle name="Comma  - Style1 36" xfId="2673"/>
    <cellStyle name="Comma  - Style1 37" xfId="2674"/>
    <cellStyle name="Comma  - Style1 38" xfId="2675"/>
    <cellStyle name="Comma  - Style1 4" xfId="2676"/>
    <cellStyle name="Comma  - Style1 5" xfId="2677"/>
    <cellStyle name="Comma  - Style1 6" xfId="2678"/>
    <cellStyle name="Comma  - Style1 7" xfId="2679"/>
    <cellStyle name="Comma  - Style1 8" xfId="2680"/>
    <cellStyle name="Comma  - Style1 9" xfId="2681"/>
    <cellStyle name="Comma  - Style1_L (TDS Delay)1" xfId="2682"/>
    <cellStyle name="Comma  - Style2" xfId="2683"/>
    <cellStyle name="Comma  - Style2 10" xfId="2684"/>
    <cellStyle name="Comma  - Style2 11" xfId="2685"/>
    <cellStyle name="Comma  - Style2 12" xfId="2686"/>
    <cellStyle name="Comma  - Style2 13" xfId="2687"/>
    <cellStyle name="Comma  - Style2 14" xfId="2688"/>
    <cellStyle name="Comma  - Style2 15" xfId="2689"/>
    <cellStyle name="Comma  - Style2 16" xfId="2690"/>
    <cellStyle name="Comma  - Style2 17" xfId="2691"/>
    <cellStyle name="Comma  - Style2 18" xfId="2692"/>
    <cellStyle name="Comma  - Style2 19" xfId="2693"/>
    <cellStyle name="Comma  - Style2 2" xfId="2694"/>
    <cellStyle name="Comma  - Style2 20" xfId="2695"/>
    <cellStyle name="Comma  - Style2 21" xfId="2696"/>
    <cellStyle name="Comma  - Style2 22" xfId="2697"/>
    <cellStyle name="Comma  - Style2 23" xfId="2698"/>
    <cellStyle name="Comma  - Style2 24" xfId="2699"/>
    <cellStyle name="Comma  - Style2 25" xfId="2700"/>
    <cellStyle name="Comma  - Style2 26" xfId="2701"/>
    <cellStyle name="Comma  - Style2 27" xfId="2702"/>
    <cellStyle name="Comma  - Style2 28" xfId="2703"/>
    <cellStyle name="Comma  - Style2 29" xfId="2704"/>
    <cellStyle name="Comma  - Style2 3" xfId="2705"/>
    <cellStyle name="Comma  - Style2 30" xfId="2706"/>
    <cellStyle name="Comma  - Style2 31" xfId="2707"/>
    <cellStyle name="Comma  - Style2 32" xfId="2708"/>
    <cellStyle name="Comma  - Style2 33" xfId="2709"/>
    <cellStyle name="Comma  - Style2 34" xfId="2710"/>
    <cellStyle name="Comma  - Style2 35" xfId="2711"/>
    <cellStyle name="Comma  - Style2 36" xfId="2712"/>
    <cellStyle name="Comma  - Style2 37" xfId="2713"/>
    <cellStyle name="Comma  - Style2 38" xfId="2714"/>
    <cellStyle name="Comma  - Style2 4" xfId="2715"/>
    <cellStyle name="Comma  - Style2 5" xfId="2716"/>
    <cellStyle name="Comma  - Style2 6" xfId="2717"/>
    <cellStyle name="Comma  - Style2 7" xfId="2718"/>
    <cellStyle name="Comma  - Style2 8" xfId="2719"/>
    <cellStyle name="Comma  - Style2 9" xfId="2720"/>
    <cellStyle name="Comma  - Style2_L (TDS Delay)1" xfId="2721"/>
    <cellStyle name="Comma  - Style3" xfId="2722"/>
    <cellStyle name="Comma  - Style3 10" xfId="2723"/>
    <cellStyle name="Comma  - Style3 11" xfId="2724"/>
    <cellStyle name="Comma  - Style3 12" xfId="2725"/>
    <cellStyle name="Comma  - Style3 13" xfId="2726"/>
    <cellStyle name="Comma  - Style3 14" xfId="2727"/>
    <cellStyle name="Comma  - Style3 15" xfId="2728"/>
    <cellStyle name="Comma  - Style3 16" xfId="2729"/>
    <cellStyle name="Comma  - Style3 17" xfId="2730"/>
    <cellStyle name="Comma  - Style3 18" xfId="2731"/>
    <cellStyle name="Comma  - Style3 19" xfId="2732"/>
    <cellStyle name="Comma  - Style3 2" xfId="2733"/>
    <cellStyle name="Comma  - Style3 20" xfId="2734"/>
    <cellStyle name="Comma  - Style3 21" xfId="2735"/>
    <cellStyle name="Comma  - Style3 22" xfId="2736"/>
    <cellStyle name="Comma  - Style3 23" xfId="2737"/>
    <cellStyle name="Comma  - Style3 24" xfId="2738"/>
    <cellStyle name="Comma  - Style3 25" xfId="2739"/>
    <cellStyle name="Comma  - Style3 26" xfId="2740"/>
    <cellStyle name="Comma  - Style3 27" xfId="2741"/>
    <cellStyle name="Comma  - Style3 28" xfId="2742"/>
    <cellStyle name="Comma  - Style3 29" xfId="2743"/>
    <cellStyle name="Comma  - Style3 3" xfId="2744"/>
    <cellStyle name="Comma  - Style3 30" xfId="2745"/>
    <cellStyle name="Comma  - Style3 31" xfId="2746"/>
    <cellStyle name="Comma  - Style3 32" xfId="2747"/>
    <cellStyle name="Comma  - Style3 33" xfId="2748"/>
    <cellStyle name="Comma  - Style3 34" xfId="2749"/>
    <cellStyle name="Comma  - Style3 35" xfId="2750"/>
    <cellStyle name="Comma  - Style3 36" xfId="2751"/>
    <cellStyle name="Comma  - Style3 37" xfId="2752"/>
    <cellStyle name="Comma  - Style3 38" xfId="2753"/>
    <cellStyle name="Comma  - Style3 4" xfId="2754"/>
    <cellStyle name="Comma  - Style3 5" xfId="2755"/>
    <cellStyle name="Comma  - Style3 6" xfId="2756"/>
    <cellStyle name="Comma  - Style3 7" xfId="2757"/>
    <cellStyle name="Comma  - Style3 8" xfId="2758"/>
    <cellStyle name="Comma  - Style3 9" xfId="2759"/>
    <cellStyle name="Comma  - Style3_L (TDS Delay)1" xfId="2760"/>
    <cellStyle name="Comma  - Style4" xfId="2761"/>
    <cellStyle name="Comma  - Style4 10" xfId="2762"/>
    <cellStyle name="Comma  - Style4 11" xfId="2763"/>
    <cellStyle name="Comma  - Style4 12" xfId="2764"/>
    <cellStyle name="Comma  - Style4 13" xfId="2765"/>
    <cellStyle name="Comma  - Style4 14" xfId="2766"/>
    <cellStyle name="Comma  - Style4 15" xfId="2767"/>
    <cellStyle name="Comma  - Style4 16" xfId="2768"/>
    <cellStyle name="Comma  - Style4 17" xfId="2769"/>
    <cellStyle name="Comma  - Style4 18" xfId="2770"/>
    <cellStyle name="Comma  - Style4 19" xfId="2771"/>
    <cellStyle name="Comma  - Style4 2" xfId="2772"/>
    <cellStyle name="Comma  - Style4 20" xfId="2773"/>
    <cellStyle name="Comma  - Style4 21" xfId="2774"/>
    <cellStyle name="Comma  - Style4 22" xfId="2775"/>
    <cellStyle name="Comma  - Style4 23" xfId="2776"/>
    <cellStyle name="Comma  - Style4 24" xfId="2777"/>
    <cellStyle name="Comma  - Style4 25" xfId="2778"/>
    <cellStyle name="Comma  - Style4 26" xfId="2779"/>
    <cellStyle name="Comma  - Style4 27" xfId="2780"/>
    <cellStyle name="Comma  - Style4 28" xfId="2781"/>
    <cellStyle name="Comma  - Style4 29" xfId="2782"/>
    <cellStyle name="Comma  - Style4 3" xfId="2783"/>
    <cellStyle name="Comma  - Style4 30" xfId="2784"/>
    <cellStyle name="Comma  - Style4 31" xfId="2785"/>
    <cellStyle name="Comma  - Style4 32" xfId="2786"/>
    <cellStyle name="Comma  - Style4 33" xfId="2787"/>
    <cellStyle name="Comma  - Style4 34" xfId="2788"/>
    <cellStyle name="Comma  - Style4 35" xfId="2789"/>
    <cellStyle name="Comma  - Style4 36" xfId="2790"/>
    <cellStyle name="Comma  - Style4 37" xfId="2791"/>
    <cellStyle name="Comma  - Style4 38" xfId="2792"/>
    <cellStyle name="Comma  - Style4 4" xfId="2793"/>
    <cellStyle name="Comma  - Style4 5" xfId="2794"/>
    <cellStyle name="Comma  - Style4 6" xfId="2795"/>
    <cellStyle name="Comma  - Style4 7" xfId="2796"/>
    <cellStyle name="Comma  - Style4 8" xfId="2797"/>
    <cellStyle name="Comma  - Style4 9" xfId="2798"/>
    <cellStyle name="Comma  - Style4_L (TDS Delay)1" xfId="2799"/>
    <cellStyle name="Comma  - Style5" xfId="2800"/>
    <cellStyle name="Comma  - Style5 10" xfId="2801"/>
    <cellStyle name="Comma  - Style5 11" xfId="2802"/>
    <cellStyle name="Comma  - Style5 12" xfId="2803"/>
    <cellStyle name="Comma  - Style5 13" xfId="2804"/>
    <cellStyle name="Comma  - Style5 14" xfId="2805"/>
    <cellStyle name="Comma  - Style5 15" xfId="2806"/>
    <cellStyle name="Comma  - Style5 16" xfId="2807"/>
    <cellStyle name="Comma  - Style5 17" xfId="2808"/>
    <cellStyle name="Comma  - Style5 18" xfId="2809"/>
    <cellStyle name="Comma  - Style5 19" xfId="2810"/>
    <cellStyle name="Comma  - Style5 2" xfId="2811"/>
    <cellStyle name="Comma  - Style5 20" xfId="2812"/>
    <cellStyle name="Comma  - Style5 21" xfId="2813"/>
    <cellStyle name="Comma  - Style5 22" xfId="2814"/>
    <cellStyle name="Comma  - Style5 23" xfId="2815"/>
    <cellStyle name="Comma  - Style5 24" xfId="2816"/>
    <cellStyle name="Comma  - Style5 25" xfId="2817"/>
    <cellStyle name="Comma  - Style5 26" xfId="2818"/>
    <cellStyle name="Comma  - Style5 27" xfId="2819"/>
    <cellStyle name="Comma  - Style5 28" xfId="2820"/>
    <cellStyle name="Comma  - Style5 29" xfId="2821"/>
    <cellStyle name="Comma  - Style5 3" xfId="2822"/>
    <cellStyle name="Comma  - Style5 30" xfId="2823"/>
    <cellStyle name="Comma  - Style5 31" xfId="2824"/>
    <cellStyle name="Comma  - Style5 32" xfId="2825"/>
    <cellStyle name="Comma  - Style5 33" xfId="2826"/>
    <cellStyle name="Comma  - Style5 34" xfId="2827"/>
    <cellStyle name="Comma  - Style5 35" xfId="2828"/>
    <cellStyle name="Comma  - Style5 36" xfId="2829"/>
    <cellStyle name="Comma  - Style5 37" xfId="2830"/>
    <cellStyle name="Comma  - Style5 38" xfId="2831"/>
    <cellStyle name="Comma  - Style5 4" xfId="2832"/>
    <cellStyle name="Comma  - Style5 5" xfId="2833"/>
    <cellStyle name="Comma  - Style5 6" xfId="2834"/>
    <cellStyle name="Comma  - Style5 7" xfId="2835"/>
    <cellStyle name="Comma  - Style5 8" xfId="2836"/>
    <cellStyle name="Comma  - Style5 9" xfId="2837"/>
    <cellStyle name="Comma  - Style5_L (TDS Delay)1" xfId="2838"/>
    <cellStyle name="Comma  - Style6" xfId="2839"/>
    <cellStyle name="Comma  - Style6 10" xfId="2840"/>
    <cellStyle name="Comma  - Style6 11" xfId="2841"/>
    <cellStyle name="Comma  - Style6 12" xfId="2842"/>
    <cellStyle name="Comma  - Style6 13" xfId="2843"/>
    <cellStyle name="Comma  - Style6 14" xfId="2844"/>
    <cellStyle name="Comma  - Style6 15" xfId="2845"/>
    <cellStyle name="Comma  - Style6 16" xfId="2846"/>
    <cellStyle name="Comma  - Style6 17" xfId="2847"/>
    <cellStyle name="Comma  - Style6 18" xfId="2848"/>
    <cellStyle name="Comma  - Style6 19" xfId="2849"/>
    <cellStyle name="Comma  - Style6 2" xfId="2850"/>
    <cellStyle name="Comma  - Style6 20" xfId="2851"/>
    <cellStyle name="Comma  - Style6 21" xfId="2852"/>
    <cellStyle name="Comma  - Style6 22" xfId="2853"/>
    <cellStyle name="Comma  - Style6 23" xfId="2854"/>
    <cellStyle name="Comma  - Style6 24" xfId="2855"/>
    <cellStyle name="Comma  - Style6 25" xfId="2856"/>
    <cellStyle name="Comma  - Style6 26" xfId="2857"/>
    <cellStyle name="Comma  - Style6 27" xfId="2858"/>
    <cellStyle name="Comma  - Style6 28" xfId="2859"/>
    <cellStyle name="Comma  - Style6 29" xfId="2860"/>
    <cellStyle name="Comma  - Style6 3" xfId="2861"/>
    <cellStyle name="Comma  - Style6 30" xfId="2862"/>
    <cellStyle name="Comma  - Style6 31" xfId="2863"/>
    <cellStyle name="Comma  - Style6 32" xfId="2864"/>
    <cellStyle name="Comma  - Style6 33" xfId="2865"/>
    <cellStyle name="Comma  - Style6 34" xfId="2866"/>
    <cellStyle name="Comma  - Style6 35" xfId="2867"/>
    <cellStyle name="Comma  - Style6 36" xfId="2868"/>
    <cellStyle name="Comma  - Style6 37" xfId="2869"/>
    <cellStyle name="Comma  - Style6 38" xfId="2870"/>
    <cellStyle name="Comma  - Style6 4" xfId="2871"/>
    <cellStyle name="Comma  - Style6 5" xfId="2872"/>
    <cellStyle name="Comma  - Style6 6" xfId="2873"/>
    <cellStyle name="Comma  - Style6 7" xfId="2874"/>
    <cellStyle name="Comma  - Style6 8" xfId="2875"/>
    <cellStyle name="Comma  - Style6 9" xfId="2876"/>
    <cellStyle name="Comma  - Style6_L (TDS Delay)1" xfId="2877"/>
    <cellStyle name="Comma  - Style7" xfId="2878"/>
    <cellStyle name="Comma  - Style7 10" xfId="2879"/>
    <cellStyle name="Comma  - Style7 11" xfId="2880"/>
    <cellStyle name="Comma  - Style7 12" xfId="2881"/>
    <cellStyle name="Comma  - Style7 13" xfId="2882"/>
    <cellStyle name="Comma  - Style7 14" xfId="2883"/>
    <cellStyle name="Comma  - Style7 15" xfId="2884"/>
    <cellStyle name="Comma  - Style7 16" xfId="2885"/>
    <cellStyle name="Comma  - Style7 17" xfId="2886"/>
    <cellStyle name="Comma  - Style7 18" xfId="2887"/>
    <cellStyle name="Comma  - Style7 19" xfId="2888"/>
    <cellStyle name="Comma  - Style7 2" xfId="2889"/>
    <cellStyle name="Comma  - Style7 20" xfId="2890"/>
    <cellStyle name="Comma  - Style7 21" xfId="2891"/>
    <cellStyle name="Comma  - Style7 22" xfId="2892"/>
    <cellStyle name="Comma  - Style7 23" xfId="2893"/>
    <cellStyle name="Comma  - Style7 24" xfId="2894"/>
    <cellStyle name="Comma  - Style7 25" xfId="2895"/>
    <cellStyle name="Comma  - Style7 26" xfId="2896"/>
    <cellStyle name="Comma  - Style7 27" xfId="2897"/>
    <cellStyle name="Comma  - Style7 28" xfId="2898"/>
    <cellStyle name="Comma  - Style7 29" xfId="2899"/>
    <cellStyle name="Comma  - Style7 3" xfId="2900"/>
    <cellStyle name="Comma  - Style7 30" xfId="2901"/>
    <cellStyle name="Comma  - Style7 31" xfId="2902"/>
    <cellStyle name="Comma  - Style7 32" xfId="2903"/>
    <cellStyle name="Comma  - Style7 33" xfId="2904"/>
    <cellStyle name="Comma  - Style7 34" xfId="2905"/>
    <cellStyle name="Comma  - Style7 35" xfId="2906"/>
    <cellStyle name="Comma  - Style7 36" xfId="2907"/>
    <cellStyle name="Comma  - Style7 37" xfId="2908"/>
    <cellStyle name="Comma  - Style7 38" xfId="2909"/>
    <cellStyle name="Comma  - Style7 4" xfId="2910"/>
    <cellStyle name="Comma  - Style7 5" xfId="2911"/>
    <cellStyle name="Comma  - Style7 6" xfId="2912"/>
    <cellStyle name="Comma  - Style7 7" xfId="2913"/>
    <cellStyle name="Comma  - Style7 8" xfId="2914"/>
    <cellStyle name="Comma  - Style7 9" xfId="2915"/>
    <cellStyle name="Comma  - Style7_L (TDS Delay)1" xfId="2916"/>
    <cellStyle name="Comma  - Style8" xfId="2917"/>
    <cellStyle name="Comma  - Style8 10" xfId="2918"/>
    <cellStyle name="Comma  - Style8 11" xfId="2919"/>
    <cellStyle name="Comma  - Style8 12" xfId="2920"/>
    <cellStyle name="Comma  - Style8 13" xfId="2921"/>
    <cellStyle name="Comma  - Style8 14" xfId="2922"/>
    <cellStyle name="Comma  - Style8 15" xfId="2923"/>
    <cellStyle name="Comma  - Style8 16" xfId="2924"/>
    <cellStyle name="Comma  - Style8 17" xfId="2925"/>
    <cellStyle name="Comma  - Style8 18" xfId="2926"/>
    <cellStyle name="Comma  - Style8 19" xfId="2927"/>
    <cellStyle name="Comma  - Style8 2" xfId="2928"/>
    <cellStyle name="Comma  - Style8 20" xfId="2929"/>
    <cellStyle name="Comma  - Style8 21" xfId="2930"/>
    <cellStyle name="Comma  - Style8 22" xfId="2931"/>
    <cellStyle name="Comma  - Style8 23" xfId="2932"/>
    <cellStyle name="Comma  - Style8 24" xfId="2933"/>
    <cellStyle name="Comma  - Style8 25" xfId="2934"/>
    <cellStyle name="Comma  - Style8 26" xfId="2935"/>
    <cellStyle name="Comma  - Style8 27" xfId="2936"/>
    <cellStyle name="Comma  - Style8 28" xfId="2937"/>
    <cellStyle name="Comma  - Style8 29" xfId="2938"/>
    <cellStyle name="Comma  - Style8 3" xfId="2939"/>
    <cellStyle name="Comma  - Style8 30" xfId="2940"/>
    <cellStyle name="Comma  - Style8 31" xfId="2941"/>
    <cellStyle name="Comma  - Style8 32" xfId="2942"/>
    <cellStyle name="Comma  - Style8 33" xfId="2943"/>
    <cellStyle name="Comma  - Style8 34" xfId="2944"/>
    <cellStyle name="Comma  - Style8 35" xfId="2945"/>
    <cellStyle name="Comma  - Style8 36" xfId="2946"/>
    <cellStyle name="Comma  - Style8 37" xfId="2947"/>
    <cellStyle name="Comma  - Style8 38" xfId="2948"/>
    <cellStyle name="Comma  - Style8 4" xfId="2949"/>
    <cellStyle name="Comma  - Style8 5" xfId="2950"/>
    <cellStyle name="Comma  - Style8 6" xfId="2951"/>
    <cellStyle name="Comma  - Style8 7" xfId="2952"/>
    <cellStyle name="Comma  - Style8 8" xfId="2953"/>
    <cellStyle name="Comma  - Style8 9" xfId="2954"/>
    <cellStyle name="Comma  - Style8_L (TDS Delay)1" xfId="2955"/>
    <cellStyle name="Comma [0] 2" xfId="2956"/>
    <cellStyle name="Comma [0] 3" xfId="2957"/>
    <cellStyle name="Comma [0] 3 2" xfId="2958"/>
    <cellStyle name="Comma [0] 3 3" xfId="2959"/>
    <cellStyle name="Comma [0] 4" xfId="2960"/>
    <cellStyle name="Comma [0] 5" xfId="2961"/>
    <cellStyle name="Comma [00]" xfId="2962"/>
    <cellStyle name="Comma [1]" xfId="2963"/>
    <cellStyle name="Comma [2]" xfId="2964"/>
    <cellStyle name="Comma [3]" xfId="2965"/>
    <cellStyle name="Comma 0" xfId="2966"/>
    <cellStyle name="Comma 0*" xfId="2967"/>
    <cellStyle name="Comma 0_2002 Segments by Quarter" xfId="2968"/>
    <cellStyle name="Comma 10" xfId="2969"/>
    <cellStyle name="Comma 10 2" xfId="2970"/>
    <cellStyle name="Comma 10 3" xfId="2971"/>
    <cellStyle name="Comma 10 4" xfId="2972"/>
    <cellStyle name="Comma 10 5" xfId="2973"/>
    <cellStyle name="Comma 10 5 2" xfId="2974"/>
    <cellStyle name="Comma 10 6" xfId="2975"/>
    <cellStyle name="Comma 11" xfId="2976"/>
    <cellStyle name="Comma 11 2" xfId="2977"/>
    <cellStyle name="Comma 11 3" xfId="2978"/>
    <cellStyle name="Comma 11 4" xfId="2979"/>
    <cellStyle name="Comma 11 5" xfId="2980"/>
    <cellStyle name="Comma 11 9" xfId="2981"/>
    <cellStyle name="Comma 12" xfId="2982"/>
    <cellStyle name="Comma 12 2" xfId="2983"/>
    <cellStyle name="Comma 12 3" xfId="2984"/>
    <cellStyle name="Comma 12 4" xfId="2985"/>
    <cellStyle name="Comma 13" xfId="2986"/>
    <cellStyle name="Comma 13 2" xfId="2987"/>
    <cellStyle name="Comma 13 3" xfId="2988"/>
    <cellStyle name="Comma 13 4" xfId="2989"/>
    <cellStyle name="Comma 13 5" xfId="2990"/>
    <cellStyle name="Comma 14" xfId="2991"/>
    <cellStyle name="Comma 14 2" xfId="2992"/>
    <cellStyle name="Comma 14 2 2" xfId="2993"/>
    <cellStyle name="Comma 14 3" xfId="2994"/>
    <cellStyle name="Comma 14 4" xfId="2995"/>
    <cellStyle name="Comma 14 5" xfId="2996"/>
    <cellStyle name="Comma 15" xfId="2997"/>
    <cellStyle name="Comma 15 2" xfId="2998"/>
    <cellStyle name="Comma 15 3" xfId="2999"/>
    <cellStyle name="Comma 15 4" xfId="3000"/>
    <cellStyle name="Comma 15 5" xfId="3001"/>
    <cellStyle name="Comma 15 6" xfId="3002"/>
    <cellStyle name="Comma 15 6 2" xfId="3003"/>
    <cellStyle name="Comma 16" xfId="3004"/>
    <cellStyle name="Comma 16 2" xfId="3005"/>
    <cellStyle name="Comma 16 3" xfId="3006"/>
    <cellStyle name="Comma 16 4" xfId="3007"/>
    <cellStyle name="Comma 17" xfId="3008"/>
    <cellStyle name="Comma 17 2" xfId="3009"/>
    <cellStyle name="Comma 17 3" xfId="3010"/>
    <cellStyle name="Comma 17 4" xfId="3011"/>
    <cellStyle name="Comma 18" xfId="3012"/>
    <cellStyle name="Comma 18 2" xfId="3013"/>
    <cellStyle name="Comma 18 3" xfId="3014"/>
    <cellStyle name="Comma 18 4" xfId="3015"/>
    <cellStyle name="Comma 19" xfId="3016"/>
    <cellStyle name="Comma 19 2" xfId="3017"/>
    <cellStyle name="Comma 19 3" xfId="3018"/>
    <cellStyle name="Comma 19 4" xfId="3019"/>
    <cellStyle name="Comma 2" xfId="3"/>
    <cellStyle name="Comma 2 10" xfId="3020"/>
    <cellStyle name="Comma 2 2" xfId="7"/>
    <cellStyle name="Comma 2 2 2" xfId="10"/>
    <cellStyle name="Comma 2 2 2 2" xfId="3021"/>
    <cellStyle name="Comma 2 2 3" xfId="3022"/>
    <cellStyle name="Comma 2 2 4" xfId="3023"/>
    <cellStyle name="Comma 2 2 5" xfId="3024"/>
    <cellStyle name="Comma 2 3" xfId="42"/>
    <cellStyle name="Comma 2 3 2" xfId="3025"/>
    <cellStyle name="Comma 2 4" xfId="49"/>
    <cellStyle name="Comma 2 5" xfId="53"/>
    <cellStyle name="Comma 2 59" xfId="3026"/>
    <cellStyle name="Comma 2 6" xfId="55"/>
    <cellStyle name="Comma 2 7" xfId="3027"/>
    <cellStyle name="Comma 2 8" xfId="3028"/>
    <cellStyle name="Comma 2 9" xfId="3029"/>
    <cellStyle name="Comma 20" xfId="3030"/>
    <cellStyle name="Comma 20 2" xfId="3031"/>
    <cellStyle name="Comma 20 3" xfId="3032"/>
    <cellStyle name="Comma 20 4" xfId="3033"/>
    <cellStyle name="Comma 21" xfId="3034"/>
    <cellStyle name="Comma 21 2" xfId="3035"/>
    <cellStyle name="Comma 21 3" xfId="3036"/>
    <cellStyle name="Comma 21 4" xfId="3037"/>
    <cellStyle name="Comma 21 5" xfId="3038"/>
    <cellStyle name="Comma 21 5 2" xfId="3039"/>
    <cellStyle name="Comma 22" xfId="3040"/>
    <cellStyle name="Comma 22 2" xfId="3041"/>
    <cellStyle name="Comma 22 3" xfId="3042"/>
    <cellStyle name="Comma 22 4" xfId="3043"/>
    <cellStyle name="Comma 23" xfId="3044"/>
    <cellStyle name="Comma 23 2" xfId="3045"/>
    <cellStyle name="Comma 23 3" xfId="3046"/>
    <cellStyle name="Comma 23 4" xfId="3047"/>
    <cellStyle name="Comma 24" xfId="3048"/>
    <cellStyle name="Comma 24 2" xfId="3049"/>
    <cellStyle name="Comma 24 3" xfId="3050"/>
    <cellStyle name="Comma 24 4" xfId="3051"/>
    <cellStyle name="Comma 25" xfId="3052"/>
    <cellStyle name="Comma 26" xfId="3053"/>
    <cellStyle name="Comma 26 2" xfId="3054"/>
    <cellStyle name="Comma 26 3" xfId="3055"/>
    <cellStyle name="Comma 26 4" xfId="3056"/>
    <cellStyle name="Comma 27" xfId="3057"/>
    <cellStyle name="Comma 27 2" xfId="3058"/>
    <cellStyle name="Comma 27 3" xfId="3059"/>
    <cellStyle name="Comma 27 4" xfId="3060"/>
    <cellStyle name="Comma 28" xfId="3061"/>
    <cellStyle name="Comma 28 2" xfId="3062"/>
    <cellStyle name="Comma 28 3" xfId="3063"/>
    <cellStyle name="Comma 28 4" xfId="3064"/>
    <cellStyle name="Comma 29" xfId="3065"/>
    <cellStyle name="Comma 29 2" xfId="3066"/>
    <cellStyle name="Comma 29 3" xfId="3067"/>
    <cellStyle name="Comma 29 4" xfId="3068"/>
    <cellStyle name="Comma 3" xfId="13"/>
    <cellStyle name="Comma 3 2" xfId="3069"/>
    <cellStyle name="Comma 3 2 2" xfId="3070"/>
    <cellStyle name="Comma 3 2 3" xfId="3071"/>
    <cellStyle name="Comma 3 3" xfId="3072"/>
    <cellStyle name="Comma 3 4" xfId="3073"/>
    <cellStyle name="Comma 3 5" xfId="3074"/>
    <cellStyle name="Comma 3 6" xfId="3075"/>
    <cellStyle name="Comma 3 7" xfId="3076"/>
    <cellStyle name="Comma 3 8" xfId="3077"/>
    <cellStyle name="Comma 3_Draft Financial Nikon 2009-10" xfId="3078"/>
    <cellStyle name="Comma 30" xfId="3079"/>
    <cellStyle name="Comma 30 2" xfId="3080"/>
    <cellStyle name="Comma 30 3" xfId="3081"/>
    <cellStyle name="Comma 30 4" xfId="3082"/>
    <cellStyle name="Comma 31" xfId="3083"/>
    <cellStyle name="Comma 31 2" xfId="3084"/>
    <cellStyle name="Comma 31 3" xfId="3085"/>
    <cellStyle name="Comma 31 4" xfId="3086"/>
    <cellStyle name="Comma 32" xfId="3087"/>
    <cellStyle name="Comma 32 2" xfId="3088"/>
    <cellStyle name="Comma 32 3" xfId="3089"/>
    <cellStyle name="Comma 32 4" xfId="3090"/>
    <cellStyle name="Comma 33" xfId="3091"/>
    <cellStyle name="Comma 33 2" xfId="3092"/>
    <cellStyle name="Comma 33 3" xfId="3093"/>
    <cellStyle name="Comma 33 4" xfId="3094"/>
    <cellStyle name="Comma 33 5" xfId="4917"/>
    <cellStyle name="Comma 34" xfId="3095"/>
    <cellStyle name="Comma 34 2" xfId="3096"/>
    <cellStyle name="Comma 34 3" xfId="3097"/>
    <cellStyle name="Comma 34 4" xfId="3098"/>
    <cellStyle name="Comma 35" xfId="3099"/>
    <cellStyle name="Comma 35 2" xfId="3100"/>
    <cellStyle name="Comma 35 3" xfId="3101"/>
    <cellStyle name="Comma 35 4" xfId="3102"/>
    <cellStyle name="Comma 36" xfId="3103"/>
    <cellStyle name="Comma 36 2" xfId="3104"/>
    <cellStyle name="Comma 36 3" xfId="3105"/>
    <cellStyle name="Comma 36 4" xfId="3106"/>
    <cellStyle name="Comma 37" xfId="3107"/>
    <cellStyle name="Comma 37 2" xfId="3108"/>
    <cellStyle name="Comma 37 3" xfId="3109"/>
    <cellStyle name="Comma 37 4" xfId="3110"/>
    <cellStyle name="Comma 38" xfId="3111"/>
    <cellStyle name="Comma 39" xfId="3112"/>
    <cellStyle name="Comma 4" xfId="31"/>
    <cellStyle name="Comma 4 2" xfId="3113"/>
    <cellStyle name="Comma 4 3" xfId="3114"/>
    <cellStyle name="Comma 4 4" xfId="3115"/>
    <cellStyle name="Comma 4 5" xfId="3116"/>
    <cellStyle name="Comma 4 6" xfId="3117"/>
    <cellStyle name="Comma 4 7" xfId="3118"/>
    <cellStyle name="Comma 40" xfId="3119"/>
    <cellStyle name="Comma 41" xfId="3120"/>
    <cellStyle name="Comma 42" xfId="3121"/>
    <cellStyle name="Comma 42 2" xfId="3122"/>
    <cellStyle name="Comma 43" xfId="3123"/>
    <cellStyle name="Comma 44" xfId="3124"/>
    <cellStyle name="Comma 45" xfId="3125"/>
    <cellStyle name="Comma 46" xfId="3126"/>
    <cellStyle name="Comma 47" xfId="3127"/>
    <cellStyle name="Comma 48" xfId="3128"/>
    <cellStyle name="Comma 49" xfId="3129"/>
    <cellStyle name="Comma 5" xfId="3130"/>
    <cellStyle name="Comma 5 2" xfId="3131"/>
    <cellStyle name="Comma 5 3" xfId="3132"/>
    <cellStyle name="Comma 5 4" xfId="3133"/>
    <cellStyle name="Comma 5 5" xfId="3134"/>
    <cellStyle name="Comma 5 6" xfId="3135"/>
    <cellStyle name="Comma 5 7" xfId="3136"/>
    <cellStyle name="Comma 5 8" xfId="3137"/>
    <cellStyle name="Comma 5_Draft Financial Nikon 2009-10" xfId="3138"/>
    <cellStyle name="Comma 50" xfId="3139"/>
    <cellStyle name="Comma 51" xfId="3140"/>
    <cellStyle name="Comma 52" xfId="3141"/>
    <cellStyle name="Comma 53" xfId="3142"/>
    <cellStyle name="Comma 54" xfId="3143"/>
    <cellStyle name="Comma 55" xfId="3144"/>
    <cellStyle name="Comma 56" xfId="3145"/>
    <cellStyle name="Comma 56 2" xfId="3146"/>
    <cellStyle name="Comma 57" xfId="3147"/>
    <cellStyle name="Comma 58" xfId="4916"/>
    <cellStyle name="Comma 6" xfId="33"/>
    <cellStyle name="Comma 6 2" xfId="3148"/>
    <cellStyle name="Comma 6 2 2" xfId="3149"/>
    <cellStyle name="Comma 6 3" xfId="3150"/>
    <cellStyle name="Comma 6 4" xfId="3151"/>
    <cellStyle name="Comma 6_Draft Financial Nikon 2009-10" xfId="3152"/>
    <cellStyle name="Comma 7" xfId="3153"/>
    <cellStyle name="Comma 7 2" xfId="3154"/>
    <cellStyle name="Comma 7 3" xfId="3155"/>
    <cellStyle name="Comma 7 4" xfId="3156"/>
    <cellStyle name="Comma 8" xfId="3157"/>
    <cellStyle name="Comma 8 2" xfId="3158"/>
    <cellStyle name="Comma 8 3" xfId="3159"/>
    <cellStyle name="Comma 8 4" xfId="3160"/>
    <cellStyle name="Comma 8_Draft Financial Nikon 2009-10" xfId="3161"/>
    <cellStyle name="Comma 9" xfId="4"/>
    <cellStyle name="Comma 9 2" xfId="3162"/>
    <cellStyle name="Comma 9 2 2" xfId="3163"/>
    <cellStyle name="Comma 9 3" xfId="3164"/>
    <cellStyle name="Comma 9 4" xfId="3165"/>
    <cellStyle name="Comma ã0î" xfId="3166"/>
    <cellStyle name="Comma Input" xfId="3167"/>
    <cellStyle name="comma zerodec" xfId="3168"/>
    <cellStyle name="Comma[2]" xfId="3169"/>
    <cellStyle name="Comma0" xfId="3170"/>
    <cellStyle name="Comma0 - Modelo1" xfId="3171"/>
    <cellStyle name="Comma0 - Style1" xfId="3172"/>
    <cellStyle name="Comma1 - Modelo2" xfId="3173"/>
    <cellStyle name="Comma1 - Style1" xfId="3174"/>
    <cellStyle name="Comma1 - Style2" xfId="3175"/>
    <cellStyle name="Commax" xfId="3176"/>
    <cellStyle name="Company" xfId="3177"/>
    <cellStyle name="Company Name" xfId="3178"/>
    <cellStyle name="Compresso" xfId="3179"/>
    <cellStyle name="COMPS" xfId="3180"/>
    <cellStyle name="Copied" xfId="3181"/>
    <cellStyle name="Copied 2" xfId="3182"/>
    <cellStyle name="Copied 2 2" xfId="3183"/>
    <cellStyle name="Copied 2 3" xfId="3184"/>
    <cellStyle name="Copied 2 4" xfId="3185"/>
    <cellStyle name="Copied 3" xfId="3186"/>
    <cellStyle name="Copied 3 2" xfId="3187"/>
    <cellStyle name="Copied 3 3" xfId="3188"/>
    <cellStyle name="Copied 3 4" xfId="3189"/>
    <cellStyle name="Copied 4" xfId="3190"/>
    <cellStyle name="Copied 4 2" xfId="3191"/>
    <cellStyle name="Copied 4 3" xfId="3192"/>
    <cellStyle name="Copied 4 4" xfId="3193"/>
    <cellStyle name="Copied 5" xfId="3194"/>
    <cellStyle name="Copied 5 2" xfId="3195"/>
    <cellStyle name="Copied 5 3" xfId="3196"/>
    <cellStyle name="Copied 5 4" xfId="3197"/>
    <cellStyle name="Copied 6" xfId="3198"/>
    <cellStyle name="Copied 7" xfId="3199"/>
    <cellStyle name="Copied 8" xfId="3200"/>
    <cellStyle name="Copied 9" xfId="3201"/>
    <cellStyle name="COST1" xfId="3202"/>
    <cellStyle name="CRORE" xfId="3203"/>
    <cellStyle name="CRORE2 - Style2" xfId="3204"/>
    <cellStyle name="CurRatio" xfId="3205"/>
    <cellStyle name="Curren - Style2" xfId="3206"/>
    <cellStyle name="Curren - Style3" xfId="3207"/>
    <cellStyle name="Curren - Style4" xfId="3208"/>
    <cellStyle name="Currency" xfId="4933" builtinId="4"/>
    <cellStyle name="Currency $" xfId="3209"/>
    <cellStyle name="Currency [00]" xfId="3210"/>
    <cellStyle name="Currency [1]" xfId="3211"/>
    <cellStyle name="Currency [2]" xfId="3212"/>
    <cellStyle name="Currency [3]" xfId="3213"/>
    <cellStyle name="Currency 0" xfId="3214"/>
    <cellStyle name="Currency 2" xfId="3215"/>
    <cellStyle name="Currency 3" xfId="3216"/>
    <cellStyle name="Currency Input" xfId="3217"/>
    <cellStyle name="Currency[2]" xfId="3218"/>
    <cellStyle name="Currency0" xfId="3219"/>
    <cellStyle name="Currency1" xfId="3220"/>
    <cellStyle name="Currency1Blue" xfId="3221"/>
    <cellStyle name="Currency2" xfId="3222"/>
    <cellStyle name="Currsmall" xfId="3223"/>
    <cellStyle name="CUSTOM" xfId="3224"/>
    <cellStyle name="Custom - Style1" xfId="3225"/>
    <cellStyle name="Custom - Style8" xfId="3226"/>
    <cellStyle name="custom_IMPAIR testing" xfId="3227"/>
    <cellStyle name="Dark Title" xfId="3228"/>
    <cellStyle name="dash" xfId="3229"/>
    <cellStyle name="Data" xfId="3230"/>
    <cellStyle name="Data   - Style2" xfId="3231"/>
    <cellStyle name="Data Link" xfId="3232"/>
    <cellStyle name="data pull" xfId="3233"/>
    <cellStyle name="data_Balance Sheet (11-12)" xfId="3234"/>
    <cellStyle name="Date" xfId="3235"/>
    <cellStyle name="Date [] yht" xfId="3236"/>
    <cellStyle name="Date Aligned" xfId="3237"/>
    <cellStyle name="Date i" xfId="3238"/>
    <cellStyle name="Date Short" xfId="3239"/>
    <cellStyle name="Date_~0193880" xfId="3240"/>
    <cellStyle name="Date1" xfId="3241"/>
    <cellStyle name="Day" xfId="3242"/>
    <cellStyle name="dd/mm/yy" xfId="3243"/>
    <cellStyle name="Dec_$_1" xfId="3244"/>
    <cellStyle name="Define your own named style" xfId="3245"/>
    <cellStyle name="DELTA" xfId="3246"/>
    <cellStyle name="Dezimal [0]_!!!GO" xfId="3247"/>
    <cellStyle name="Dezimal_ Magirus " xfId="3248"/>
    <cellStyle name="Dia" xfId="3249"/>
    <cellStyle name="DMMMY" xfId="3250"/>
    <cellStyle name="Dollar (zero dec)" xfId="3251"/>
    <cellStyle name="Dollar1" xfId="3252"/>
    <cellStyle name="Dollar1Blue" xfId="3253"/>
    <cellStyle name="Dollar2" xfId="3254"/>
    <cellStyle name="Dollars" xfId="3255"/>
    <cellStyle name="Dotted Line" xfId="3256"/>
    <cellStyle name="Double Accounting" xfId="3257"/>
    <cellStyle name="DoubleOnly" xfId="3258"/>
    <cellStyle name="DOWNFOOT" xfId="3259"/>
    <cellStyle name="Draw lines around data in range" xfId="3260"/>
    <cellStyle name="Draw shadow and lines within range" xfId="3261"/>
    <cellStyle name="Dziesiętny_P Ls_Poland_August 2007" xfId="3262"/>
    <cellStyle name="e xerox" xfId="3263"/>
    <cellStyle name="E&amp;Y House" xfId="3264"/>
    <cellStyle name="Edited_Data" xfId="3265"/>
    <cellStyle name="Emphasis 1" xfId="3266"/>
    <cellStyle name="Emphasis 2" xfId="3267"/>
    <cellStyle name="Emphasis 3" xfId="3268"/>
    <cellStyle name="Empty" xfId="3269"/>
    <cellStyle name="Encabez1" xfId="3270"/>
    <cellStyle name="Encabez2" xfId="3271"/>
    <cellStyle name="Enlarge title text, yellow on blue" xfId="3272"/>
    <cellStyle name="Enter Currency (0)" xfId="3273"/>
    <cellStyle name="Enter Currency (2)" xfId="3274"/>
    <cellStyle name="Enter Units (0)" xfId="3275"/>
    <cellStyle name="Enter Units (1)" xfId="3276"/>
    <cellStyle name="Enter Units (2)" xfId="3277"/>
    <cellStyle name="Entered" xfId="3278"/>
    <cellStyle name="Entered 2" xfId="3279"/>
    <cellStyle name="Entered 2 2" xfId="3280"/>
    <cellStyle name="Entered 2 3" xfId="3281"/>
    <cellStyle name="Entered 2 4" xfId="3282"/>
    <cellStyle name="Entered 3" xfId="3283"/>
    <cellStyle name="Entered 3 2" xfId="3284"/>
    <cellStyle name="Entered 3 3" xfId="3285"/>
    <cellStyle name="Entered 3 4" xfId="3286"/>
    <cellStyle name="Entered 4" xfId="3287"/>
    <cellStyle name="Entered 4 2" xfId="3288"/>
    <cellStyle name="Entered 4 3" xfId="3289"/>
    <cellStyle name="Entered 4 4" xfId="3290"/>
    <cellStyle name="Entered 5" xfId="3291"/>
    <cellStyle name="Entered 5 2" xfId="3292"/>
    <cellStyle name="Entered 5 3" xfId="3293"/>
    <cellStyle name="Entered 5 4" xfId="3294"/>
    <cellStyle name="Entered 6" xfId="3295"/>
    <cellStyle name="Entered 7" xfId="3296"/>
    <cellStyle name="Entered 8" xfId="3297"/>
    <cellStyle name="Entered 9" xfId="3298"/>
    <cellStyle name="Entry" xfId="3299"/>
    <cellStyle name="EOL" xfId="3300"/>
    <cellStyle name="Estimated_Data" xfId="3301"/>
    <cellStyle name="Euro" xfId="3302"/>
    <cellStyle name="Explanatory Text 2" xfId="3303"/>
    <cellStyle name="Explanatory Text 3" xfId="3304"/>
    <cellStyle name="Explanatory Text 4" xfId="3305"/>
    <cellStyle name="EYtext" xfId="3306"/>
    <cellStyle name="F2" xfId="3307"/>
    <cellStyle name="F2 - Style3" xfId="3308"/>
    <cellStyle name="F3" xfId="3309"/>
    <cellStyle name="F4" xfId="3310"/>
    <cellStyle name="F5" xfId="3311"/>
    <cellStyle name="F6" xfId="3312"/>
    <cellStyle name="F7" xfId="3313"/>
    <cellStyle name="F8" xfId="3314"/>
    <cellStyle name="FEATURE" xfId="3315"/>
    <cellStyle name="FF_EURO" xfId="3316"/>
    <cellStyle name="Fijo" xfId="3317"/>
    <cellStyle name="Financiero" xfId="3318"/>
    <cellStyle name="Fixed" xfId="3319"/>
    <cellStyle name="Fixed1 - Style1" xfId="3320"/>
    <cellStyle name="Fixlong" xfId="3321"/>
    <cellStyle name="Followed Hyperlink 4" xfId="3322"/>
    <cellStyle name="FOOTER - Style1" xfId="3323"/>
    <cellStyle name="Footnote" xfId="3324"/>
    <cellStyle name="footnote2" xfId="3325"/>
    <cellStyle name="Footnotes" xfId="3326"/>
    <cellStyle name="Forecast_Data" xfId="3327"/>
    <cellStyle name="FORM" xfId="3328"/>
    <cellStyle name="Format a column of totals" xfId="3329"/>
    <cellStyle name="Format a row of totals" xfId="3330"/>
    <cellStyle name="Format text as bold, black on yellow" xfId="3331"/>
    <cellStyle name="Formula" xfId="3332"/>
    <cellStyle name="Formule" xfId="3333"/>
    <cellStyle name="Formule%1" xfId="3334"/>
    <cellStyle name="FormuleNb0" xfId="3335"/>
    <cellStyle name="FormuleNb1" xfId="3336"/>
    <cellStyle name="FormuleNb2" xfId="3337"/>
    <cellStyle name="fourdecplace" xfId="3338"/>
    <cellStyle name="g:prcrsNMGB:A1..NMGB:W48" xfId="3339"/>
    <cellStyle name="ge" xfId="3340"/>
    <cellStyle name="general" xfId="3341"/>
    <cellStyle name="GIALLO" xfId="3342"/>
    <cellStyle name="Global" xfId="3343"/>
    <cellStyle name="Good 2" xfId="3344"/>
    <cellStyle name="Good 3" xfId="3345"/>
    <cellStyle name="Good 4" xfId="3346"/>
    <cellStyle name="Green" xfId="3347"/>
    <cellStyle name="Grey" xfId="3348"/>
    <cellStyle name="grigio" xfId="3349"/>
    <cellStyle name="H 2" xfId="3350"/>
    <cellStyle name="ha" xfId="3351"/>
    <cellStyle name="Hand" xfId="3352"/>
    <cellStyle name="Hard Percent" xfId="3353"/>
    <cellStyle name="HC" xfId="3354"/>
    <cellStyle name="HEADER" xfId="3355"/>
    <cellStyle name="Header1" xfId="3356"/>
    <cellStyle name="Header2" xfId="3357"/>
    <cellStyle name="Headers" xfId="3358"/>
    <cellStyle name="Heading" xfId="3359"/>
    <cellStyle name="Heading 1 2" xfId="3360"/>
    <cellStyle name="Heading 1 3" xfId="3361"/>
    <cellStyle name="Heading 1 4" xfId="3362"/>
    <cellStyle name="Heading 2 2" xfId="3363"/>
    <cellStyle name="Heading 2 3" xfId="3364"/>
    <cellStyle name="Heading 2 4" xfId="3365"/>
    <cellStyle name="Heading 3 2" xfId="3366"/>
    <cellStyle name="Heading 3 3" xfId="3367"/>
    <cellStyle name="Heading 3 4" xfId="3368"/>
    <cellStyle name="Heading 4 2" xfId="3369"/>
    <cellStyle name="Heading 4 3" xfId="3370"/>
    <cellStyle name="Heading 4 4" xfId="3371"/>
    <cellStyle name="Heading Left" xfId="3372"/>
    <cellStyle name="Heading No Underline" xfId="3373"/>
    <cellStyle name="Heading Right" xfId="3374"/>
    <cellStyle name="Heading With Underline" xfId="3375"/>
    <cellStyle name="Heading1" xfId="3376"/>
    <cellStyle name="Heading2" xfId="3377"/>
    <cellStyle name="Heading3" xfId="3378"/>
    <cellStyle name="HeadingS" xfId="3379"/>
    <cellStyle name="headoption" xfId="3380"/>
    <cellStyle name="Hheader" xfId="3381"/>
    <cellStyle name="HIDARI太罫" xfId="3382"/>
    <cellStyle name="Hidden" xfId="3383"/>
    <cellStyle name="Hide" xfId="3384"/>
    <cellStyle name="HIGHLIGHT" xfId="3385"/>
    <cellStyle name="Hoa-Scholl" xfId="3386"/>
    <cellStyle name="Hyperlink 2" xfId="3387"/>
    <cellStyle name="Hyperlink 3" xfId="3388"/>
    <cellStyle name="Hypertextový odkaz" xfId="3389"/>
    <cellStyle name="IBM(401K)" xfId="3390"/>
    <cellStyle name="ij" xfId="3391"/>
    <cellStyle name="Indent" xfId="3392"/>
    <cellStyle name="Indent 10" xfId="3393"/>
    <cellStyle name="Indent 11" xfId="3394"/>
    <cellStyle name="Indent 12" xfId="3395"/>
    <cellStyle name="Indent 13" xfId="3396"/>
    <cellStyle name="Indent 14" xfId="3397"/>
    <cellStyle name="Indent 15" xfId="3398"/>
    <cellStyle name="Indent 16" xfId="3399"/>
    <cellStyle name="Indent 17" xfId="3400"/>
    <cellStyle name="Indent 18" xfId="3401"/>
    <cellStyle name="Indent 19" xfId="3402"/>
    <cellStyle name="Indent 2" xfId="3403"/>
    <cellStyle name="Indent 20" xfId="3404"/>
    <cellStyle name="Indent 21" xfId="3405"/>
    <cellStyle name="Indent 22" xfId="3406"/>
    <cellStyle name="Indent 23" xfId="3407"/>
    <cellStyle name="Indent 24" xfId="3408"/>
    <cellStyle name="Indent 25" xfId="3409"/>
    <cellStyle name="Indent 26" xfId="3410"/>
    <cellStyle name="Indent 27" xfId="3411"/>
    <cellStyle name="Indent 28" xfId="3412"/>
    <cellStyle name="Indent 29" xfId="3413"/>
    <cellStyle name="Indent 3" xfId="3414"/>
    <cellStyle name="Indent 30" xfId="3415"/>
    <cellStyle name="Indent 31" xfId="3416"/>
    <cellStyle name="Indent 32" xfId="3417"/>
    <cellStyle name="Indent 33" xfId="3418"/>
    <cellStyle name="Indent 34" xfId="3419"/>
    <cellStyle name="Indent 35" xfId="3420"/>
    <cellStyle name="Indent 36" xfId="3421"/>
    <cellStyle name="Indent 37" xfId="3422"/>
    <cellStyle name="Indent 38" xfId="3423"/>
    <cellStyle name="Indent 4" xfId="3424"/>
    <cellStyle name="Indent 5" xfId="3425"/>
    <cellStyle name="Indent 6" xfId="3426"/>
    <cellStyle name="Indent 7" xfId="3427"/>
    <cellStyle name="Indent 8" xfId="3428"/>
    <cellStyle name="Indent 9" xfId="3429"/>
    <cellStyle name="Indent_Draft Financial Nikon 2009-10" xfId="3430"/>
    <cellStyle name="Indian Amount" xfId="3431"/>
    <cellStyle name="Indice" xfId="3432"/>
    <cellStyle name="Input [yellow]" xfId="3433"/>
    <cellStyle name="Input 2" xfId="3434"/>
    <cellStyle name="Input 3" xfId="3435"/>
    <cellStyle name="Input 4" xfId="3436"/>
    <cellStyle name="Input1" xfId="3437"/>
    <cellStyle name="Input2" xfId="3438"/>
    <cellStyle name="Input-parametri" xfId="3439"/>
    <cellStyle name="Input-parametri [00]" xfId="3440"/>
    <cellStyle name="Input-parametri i" xfId="3441"/>
    <cellStyle name="Input-rivinumero" xfId="3442"/>
    <cellStyle name="Input-tausta" xfId="3443"/>
    <cellStyle name="INR" xfId="3444"/>
    <cellStyle name="inr (thousand)" xfId="3445"/>
    <cellStyle name="inr (thousands)" xfId="3446"/>
    <cellStyle name="inr(thousand)" xfId="3447"/>
    <cellStyle name="inr.ps" xfId="3448"/>
    <cellStyle name="INR_Details for Meeting" xfId="3449"/>
    <cellStyle name="INR-PS" xfId="3450"/>
    <cellStyle name="Integer" xfId="3451"/>
    <cellStyle name="Intl Coal Data" xfId="3452"/>
    <cellStyle name="Invisible" xfId="3453"/>
    <cellStyle name="Italics" xfId="3454"/>
    <cellStyle name="Item" xfId="3455"/>
    <cellStyle name="Item Descriptions" xfId="3456"/>
    <cellStyle name="Item Descriptions - Bold" xfId="3457"/>
    <cellStyle name="Item Descriptions_Balance Sheet (11-12)" xfId="3458"/>
    <cellStyle name="Item_Current" xfId="3459"/>
    <cellStyle name="item2" xfId="3460"/>
    <cellStyle name="ItemTypeClass" xfId="3461"/>
    <cellStyle name="J401K" xfId="3462"/>
    <cellStyle name="JJMMM" xfId="3463"/>
    <cellStyle name="Kaava" xfId="3464"/>
    <cellStyle name="Komma [0]_laroux" xfId="3465"/>
    <cellStyle name="Komma_laroux" xfId="3466"/>
    <cellStyle name="kopregel" xfId="3467"/>
    <cellStyle name="Labels - Style3" xfId="3468"/>
    <cellStyle name="Lable8Left" xfId="3469"/>
    <cellStyle name="lacs" xfId="3470"/>
    <cellStyle name="Lakh" xfId="3471"/>
    <cellStyle name="Lakh (0)" xfId="3472"/>
    <cellStyle name="Lakh_Admin Exp Upto July 05" xfId="3473"/>
    <cellStyle name="LakhLac" xfId="3474"/>
    <cellStyle name="LakhNeg" xfId="3475"/>
    <cellStyle name="LakhNeg (0)" xfId="3476"/>
    <cellStyle name="Ledger 17 x 11 in" xfId="3477"/>
    <cellStyle name="Level 1 (Normal)" xfId="3478"/>
    <cellStyle name="Lien hypertexte" xfId="3479"/>
    <cellStyle name="Lien hypertexte visit?" xfId="3480"/>
    <cellStyle name="Lien hypertexte visite" xfId="3481"/>
    <cellStyle name="Lien hypertexte visité" xfId="3482"/>
    <cellStyle name="Lien hypertexte visite_2002 06 30 Attach 09 Market Code" xfId="3483"/>
    <cellStyle name="Lien hypertexte visité_BOP Form_by Item" xfId="3484"/>
    <cellStyle name="Lien hypertexte visite_NCC P" xfId="3485"/>
    <cellStyle name="Lien hypertexte visité_TIR 志水" xfId="3486"/>
    <cellStyle name="Lien hypertexte_11.11Magnitude Excel Package Yearly" xfId="3487"/>
    <cellStyle name="Line" xfId="3488"/>
    <cellStyle name="linh" xfId="3489"/>
    <cellStyle name="Link Currency (0)" xfId="3490"/>
    <cellStyle name="Link Currency (2)" xfId="3491"/>
    <cellStyle name="Link Units (0)" xfId="3492"/>
    <cellStyle name="Link Units (1)" xfId="3493"/>
    <cellStyle name="Link Units (2)" xfId="3494"/>
    <cellStyle name="Linked" xfId="3495"/>
    <cellStyle name="Linked Cell 2" xfId="3496"/>
    <cellStyle name="Linked Cell 3" xfId="3497"/>
    <cellStyle name="Linked Cell 4" xfId="3498"/>
    <cellStyle name="Luku []" xfId="3499"/>
    <cellStyle name="Luku [] grey" xfId="3500"/>
    <cellStyle name="Luku [] grey i" xfId="3501"/>
    <cellStyle name="Luku [] yellow" xfId="3502"/>
    <cellStyle name="Luku [] yellow i" xfId="3503"/>
    <cellStyle name="Luku [] yht" xfId="3504"/>
    <cellStyle name="Luku [] yht i" xfId="3505"/>
    <cellStyle name="Luku []i" xfId="3506"/>
    <cellStyle name="Luku []i grey" xfId="3507"/>
    <cellStyle name="Luku []i yellow" xfId="3508"/>
    <cellStyle name="Luku [00]" xfId="3509"/>
    <cellStyle name="Luku [00] yht" xfId="3510"/>
    <cellStyle name="Luku [00] yht i" xfId="3511"/>
    <cellStyle name="Luku [00]i" xfId="3512"/>
    <cellStyle name="Luku [0000]" xfId="3513"/>
    <cellStyle name="Luku [0000] yht" xfId="3514"/>
    <cellStyle name="Luku [0000] yht i" xfId="3515"/>
    <cellStyle name="Luku [0000] yht_Receivables" xfId="3516"/>
    <cellStyle name="Luku [0000]_Receivables" xfId="3517"/>
    <cellStyle name="Luku [0000]i" xfId="3518"/>
    <cellStyle name="m" xfId="3519"/>
    <cellStyle name="MANKAD" xfId="3520"/>
    <cellStyle name="Marius1" xfId="3521"/>
    <cellStyle name="Market Segment" xfId="3522"/>
    <cellStyle name="Menu Bar" xfId="3523"/>
    <cellStyle name="Migliaia (0)_%car financed_promo_dealers incentives" xfId="3524"/>
    <cellStyle name="Migliaia [0]_ITA S&amp;M1(MKTG)" xfId="3525"/>
    <cellStyle name="Migliaia_2_horn" xfId="3526"/>
    <cellStyle name="mil" xfId="3527"/>
    <cellStyle name="Millares [0]_1 a 31 jan.02  Lucia" xfId="3528"/>
    <cellStyle name="Millares_10 AVERIAS MASIVAS + ANT" xfId="3529"/>
    <cellStyle name="Milliers [0]_!!!GO" xfId="3530"/>
    <cellStyle name="Milliers_!!!GO" xfId="3531"/>
    <cellStyle name="MilliersN&amp;R,0" xfId="3532"/>
    <cellStyle name="mm/dd/yy" xfId="3533"/>
    <cellStyle name="MMMAA" xfId="3534"/>
    <cellStyle name="Model" xfId="3535"/>
    <cellStyle name="Moeda [0]_aola" xfId="3536"/>
    <cellStyle name="Moeda_aola" xfId="3537"/>
    <cellStyle name="Moneda [0]_10 AVERIAS MASIVAS + ANT" xfId="3538"/>
    <cellStyle name="Moneda_10 AVERIAS MASIVAS + ANT" xfId="3539"/>
    <cellStyle name="Monétaire [0]_!!!GO" xfId="3540"/>
    <cellStyle name="Monetaire [0]_BP2001 sandrine" xfId="3541"/>
    <cellStyle name="Monétaire [0]_CREATIVE" xfId="3542"/>
    <cellStyle name="Monétaire_!!!GO" xfId="3543"/>
    <cellStyle name="Monetaire_BP2001 sandrine" xfId="3544"/>
    <cellStyle name="Monétaire_CREATIVE" xfId="3545"/>
    <cellStyle name="Monetario" xfId="3546"/>
    <cellStyle name="Month" xfId="3547"/>
    <cellStyle name="Mon騁aire [0]_AR1194" xfId="3548"/>
    <cellStyle name="Mon騁aire_!BRK72CB" xfId="3549"/>
    <cellStyle name="Mult No x" xfId="3550"/>
    <cellStyle name="Mult With x" xfId="3551"/>
    <cellStyle name="Multiple" xfId="3552"/>
    <cellStyle name="Multiple (no x)" xfId="3553"/>
    <cellStyle name="Multiple (x)" xfId="3554"/>
    <cellStyle name="Multiple [0]" xfId="3555"/>
    <cellStyle name="Multiple [1]" xfId="3556"/>
    <cellStyle name="Multiple_1" xfId="3557"/>
    <cellStyle name="n" xfId="3558"/>
    <cellStyle name="NA" xfId="3559"/>
    <cellStyle name="Neutral 2" xfId="3560"/>
    <cellStyle name="Neutral 3" xfId="3561"/>
    <cellStyle name="Neutral 4" xfId="3562"/>
    <cellStyle name="New Times Roman" xfId="3563"/>
    <cellStyle name="NewColumnHeaderNormal" xfId="3564"/>
    <cellStyle name="NewSectionHeaderNormal" xfId="3565"/>
    <cellStyle name="NewTitleNormal" xfId="3566"/>
    <cellStyle name="no dec" xfId="3567"/>
    <cellStyle name="No-definido" xfId="3568"/>
    <cellStyle name="Non_definito" xfId="3569"/>
    <cellStyle name="ÑONVÒ" xfId="3570"/>
    <cellStyle name="Nor}al" xfId="3571"/>
    <cellStyle name="Norm੎੎" xfId="3572"/>
    <cellStyle name="Normaali i" xfId="3573"/>
    <cellStyle name="Normal" xfId="0" builtinId="0"/>
    <cellStyle name="Normal - Style1" xfId="3574"/>
    <cellStyle name="Normal - Style1 10" xfId="3575"/>
    <cellStyle name="Normal - Style1 11" xfId="3576"/>
    <cellStyle name="Normal - Style1 11 2" xfId="3577"/>
    <cellStyle name="Normal - Style1 12" xfId="3578"/>
    <cellStyle name="Normal - Style1 12 2" xfId="3579"/>
    <cellStyle name="Normal - Style1 13" xfId="3580"/>
    <cellStyle name="Normal - Style1 13 2" xfId="3581"/>
    <cellStyle name="Normal - Style1 14" xfId="3582"/>
    <cellStyle name="Normal - Style1 14 2" xfId="3583"/>
    <cellStyle name="Normal - Style1 15" xfId="3584"/>
    <cellStyle name="Normal - Style1 15 2" xfId="3585"/>
    <cellStyle name="Normal - Style1 2" xfId="3586"/>
    <cellStyle name="Normal - Style1 2 2" xfId="3587"/>
    <cellStyle name="Normal - Style1 2 3" xfId="3588"/>
    <cellStyle name="Normal - Style1 2 4" xfId="3589"/>
    <cellStyle name="Normal - Style1 3" xfId="3590"/>
    <cellStyle name="Normal - Style1 3 2" xfId="3591"/>
    <cellStyle name="Normal - Style1 3 3" xfId="3592"/>
    <cellStyle name="Normal - Style1 3 4" xfId="3593"/>
    <cellStyle name="Normal - Style1 4" xfId="3594"/>
    <cellStyle name="Normal - Style1 4 2" xfId="3595"/>
    <cellStyle name="Normal - Style1 4 3" xfId="3596"/>
    <cellStyle name="Normal - Style1 4 4" xfId="3597"/>
    <cellStyle name="Normal - Style1 5" xfId="3598"/>
    <cellStyle name="Normal - Style1 5 2" xfId="3599"/>
    <cellStyle name="Normal - Style1 5 3" xfId="3600"/>
    <cellStyle name="Normal - Style1 5 4" xfId="3601"/>
    <cellStyle name="Normal - Style1 6" xfId="3602"/>
    <cellStyle name="Normal - Style1 7" xfId="3603"/>
    <cellStyle name="Normal - Style1 8" xfId="3604"/>
    <cellStyle name="Normal - Style1 9" xfId="3605"/>
    <cellStyle name="Normal - Style2" xfId="3606"/>
    <cellStyle name="Normal - Style5" xfId="3607"/>
    <cellStyle name="Normal - Style6" xfId="3608"/>
    <cellStyle name="Normal - Style7" xfId="3609"/>
    <cellStyle name="Normal - Style8" xfId="3610"/>
    <cellStyle name="Normal - 유형1" xfId="3611"/>
    <cellStyle name="Normal 10" xfId="14"/>
    <cellStyle name="Normal 10 2" xfId="3612"/>
    <cellStyle name="Normal 10 2 2" xfId="3613"/>
    <cellStyle name="Normal 10 2 3" xfId="3614"/>
    <cellStyle name="Normal 10 3" xfId="3615"/>
    <cellStyle name="Normal 100" xfId="3616"/>
    <cellStyle name="Normal 100 2" xfId="3617"/>
    <cellStyle name="Normal 101" xfId="3618"/>
    <cellStyle name="Normal 101 2" xfId="3619"/>
    <cellStyle name="Normal 102" xfId="3620"/>
    <cellStyle name="Normal 102 2" xfId="3621"/>
    <cellStyle name="Normal 103" xfId="3622"/>
    <cellStyle name="Normal 103 2" xfId="3623"/>
    <cellStyle name="Normal 104" xfId="3624"/>
    <cellStyle name="Normal 104 2" xfId="3625"/>
    <cellStyle name="Normal 105" xfId="3626"/>
    <cellStyle name="Normal 105 2" xfId="3627"/>
    <cellStyle name="Normal 106" xfId="3628"/>
    <cellStyle name="Normal 107" xfId="3629"/>
    <cellStyle name="Normal 108" xfId="3630"/>
    <cellStyle name="Normal 109" xfId="3631"/>
    <cellStyle name="Normal 11" xfId="15"/>
    <cellStyle name="Normal 11 2" xfId="3632"/>
    <cellStyle name="Normal 11 2 2" xfId="3633"/>
    <cellStyle name="Normal 11 3" xfId="3634"/>
    <cellStyle name="Normal 110" xfId="3635"/>
    <cellStyle name="Normal 111" xfId="3636"/>
    <cellStyle name="Normal 112" xfId="3637"/>
    <cellStyle name="Normal 113" xfId="3638"/>
    <cellStyle name="Normal 114" xfId="3639"/>
    <cellStyle name="Normal 115" xfId="3640"/>
    <cellStyle name="Normal 116" xfId="3641"/>
    <cellStyle name="Normal 117" xfId="3642"/>
    <cellStyle name="Normal 118" xfId="3643"/>
    <cellStyle name="Normal 119" xfId="3644"/>
    <cellStyle name="Normal 12" xfId="16"/>
    <cellStyle name="Normal 12 2" xfId="3645"/>
    <cellStyle name="Normal 12 2 2" xfId="3646"/>
    <cellStyle name="Normal 12 3" xfId="3647"/>
    <cellStyle name="Normal 12 3 2" xfId="3648"/>
    <cellStyle name="Normal 12 4" xfId="3649"/>
    <cellStyle name="Normal 12 5" xfId="3650"/>
    <cellStyle name="Normal 12 5 2" xfId="3651"/>
    <cellStyle name="Normal 12_Draft Financial Nikon 2009-10" xfId="3652"/>
    <cellStyle name="Normal 120" xfId="3653"/>
    <cellStyle name="Normal 121" xfId="3654"/>
    <cellStyle name="Normal 122" xfId="3655"/>
    <cellStyle name="Normal 123" xfId="3656"/>
    <cellStyle name="Normal 124" xfId="3657"/>
    <cellStyle name="Normal 125" xfId="3658"/>
    <cellStyle name="Normal 126" xfId="3659"/>
    <cellStyle name="Normal 127" xfId="3660"/>
    <cellStyle name="Normal 128" xfId="3661"/>
    <cellStyle name="Normal 129" xfId="3662"/>
    <cellStyle name="Normal 13" xfId="17"/>
    <cellStyle name="Normal 13 2" xfId="3663"/>
    <cellStyle name="Normal 13 2 2" xfId="3664"/>
    <cellStyle name="Normal 13 3" xfId="3665"/>
    <cellStyle name="Normal 130" xfId="3666"/>
    <cellStyle name="Normal 131" xfId="3667"/>
    <cellStyle name="Normal 132" xfId="3668"/>
    <cellStyle name="Normal 133" xfId="3669"/>
    <cellStyle name="Normal 134" xfId="3670"/>
    <cellStyle name="Normal 135" xfId="3671"/>
    <cellStyle name="Normal 136" xfId="3672"/>
    <cellStyle name="Normal 137" xfId="3673"/>
    <cellStyle name="Normal 138" xfId="3674"/>
    <cellStyle name="Normal 139" xfId="3675"/>
    <cellStyle name="Normal 14" xfId="18"/>
    <cellStyle name="Normal 14 2" xfId="3676"/>
    <cellStyle name="Normal 14 2 2" xfId="3677"/>
    <cellStyle name="Normal 14 3" xfId="3678"/>
    <cellStyle name="Normal 140" xfId="3679"/>
    <cellStyle name="Normal 141" xfId="3680"/>
    <cellStyle name="Normal 142" xfId="3681"/>
    <cellStyle name="Normal 143" xfId="3682"/>
    <cellStyle name="Normal 144" xfId="3683"/>
    <cellStyle name="Normal 145" xfId="3684"/>
    <cellStyle name="Normal 146" xfId="3685"/>
    <cellStyle name="Normal 147" xfId="3686"/>
    <cellStyle name="Normal 148" xfId="3687"/>
    <cellStyle name="Normal 148 2" xfId="3688"/>
    <cellStyle name="Normal 149" xfId="3689"/>
    <cellStyle name="Normal 15" xfId="19"/>
    <cellStyle name="Normal 15 2" xfId="3690"/>
    <cellStyle name="Normal 15 2 2" xfId="3691"/>
    <cellStyle name="Normal 15 3" xfId="3692"/>
    <cellStyle name="Normal 150" xfId="3693"/>
    <cellStyle name="Normal 150 2" xfId="3694"/>
    <cellStyle name="Normal 150 3" xfId="3695"/>
    <cellStyle name="Normal 150 4" xfId="3696"/>
    <cellStyle name="Normal 151" xfId="3697"/>
    <cellStyle name="Normal 152" xfId="3698"/>
    <cellStyle name="Normal 153" xfId="3699"/>
    <cellStyle name="Normal 154" xfId="3700"/>
    <cellStyle name="Normal 154 2" xfId="3701"/>
    <cellStyle name="Normal 154 3" xfId="3702"/>
    <cellStyle name="Normal 155" xfId="3703"/>
    <cellStyle name="Normal 156" xfId="3704"/>
    <cellStyle name="Normal 157" xfId="3705"/>
    <cellStyle name="Normal 158" xfId="3706"/>
    <cellStyle name="Normal 159" xfId="3707"/>
    <cellStyle name="Normal 16" xfId="20"/>
    <cellStyle name="Normal 16 2" xfId="3708"/>
    <cellStyle name="Normal 16 2 2" xfId="3709"/>
    <cellStyle name="Normal 16 3" xfId="3710"/>
    <cellStyle name="Normal 160" xfId="3711"/>
    <cellStyle name="Normal 161" xfId="3712"/>
    <cellStyle name="Normal 162" xfId="3713"/>
    <cellStyle name="Normal 163" xfId="3714"/>
    <cellStyle name="Normal 164" xfId="3715"/>
    <cellStyle name="Normal 165" xfId="3716"/>
    <cellStyle name="Normal 166" xfId="3717"/>
    <cellStyle name="Normal 167" xfId="3718"/>
    <cellStyle name="Normal 168" xfId="3719"/>
    <cellStyle name="Normal 169" xfId="3720"/>
    <cellStyle name="Normal 17" xfId="21"/>
    <cellStyle name="Normal 17 2" xfId="3721"/>
    <cellStyle name="Normal 17 2 2" xfId="3722"/>
    <cellStyle name="Normal 17 3" xfId="3723"/>
    <cellStyle name="Normal 170" xfId="3724"/>
    <cellStyle name="Normal 171" xfId="3725"/>
    <cellStyle name="Normal 172" xfId="3726"/>
    <cellStyle name="Normal 173" xfId="3727"/>
    <cellStyle name="Normal 174" xfId="3728"/>
    <cellStyle name="Normal 175" xfId="3729"/>
    <cellStyle name="Normal 176" xfId="3730"/>
    <cellStyle name="Normal 177" xfId="3731"/>
    <cellStyle name="Normal 178" xfId="3732"/>
    <cellStyle name="Normal 179" xfId="3733"/>
    <cellStyle name="Normal 18" xfId="22"/>
    <cellStyle name="Normal 18 2" xfId="3734"/>
    <cellStyle name="Normal 18 2 2" xfId="3735"/>
    <cellStyle name="Normal 18 3" xfId="3736"/>
    <cellStyle name="Normal 180" xfId="3737"/>
    <cellStyle name="Normal 181" xfId="3738"/>
    <cellStyle name="Normal 182" xfId="3739"/>
    <cellStyle name="Normal 183" xfId="3740"/>
    <cellStyle name="Normal 184" xfId="3741"/>
    <cellStyle name="Normal 185" xfId="3742"/>
    <cellStyle name="Normal 186" xfId="3743"/>
    <cellStyle name="Normal 187" xfId="3744"/>
    <cellStyle name="Normal 188" xfId="3745"/>
    <cellStyle name="Normal 189" xfId="3746"/>
    <cellStyle name="Normal 19" xfId="34"/>
    <cellStyle name="Normal 19 2" xfId="3747"/>
    <cellStyle name="Normal 19 2 2" xfId="3748"/>
    <cellStyle name="Normal 19 3" xfId="3749"/>
    <cellStyle name="Normal 190" xfId="3750"/>
    <cellStyle name="Normal 191" xfId="3751"/>
    <cellStyle name="Normal 192" xfId="3752"/>
    <cellStyle name="Normal 193" xfId="3753"/>
    <cellStyle name="Normal 194" xfId="3754"/>
    <cellStyle name="Normal 195" xfId="3755"/>
    <cellStyle name="Normal 196" xfId="4915"/>
    <cellStyle name="Normal 197" xfId="4919"/>
    <cellStyle name="Normal 198" xfId="4920"/>
    <cellStyle name="Normal 199" xfId="4921"/>
    <cellStyle name="Normal 2" xfId="2"/>
    <cellStyle name="Normal 2 10" xfId="3756"/>
    <cellStyle name="Normal 2 11" xfId="3757"/>
    <cellStyle name="Normal 2 11 2" xfId="3758"/>
    <cellStyle name="Normal 2 12" xfId="3759"/>
    <cellStyle name="Normal 2 13" xfId="3760"/>
    <cellStyle name="Normal 2 14" xfId="3761"/>
    <cellStyle name="Normal 2 15" xfId="3762"/>
    <cellStyle name="Normal 2 16" xfId="3763"/>
    <cellStyle name="Normal 2 17" xfId="3764"/>
    <cellStyle name="Normal 2 18" xfId="3765"/>
    <cellStyle name="Normal 2 19" xfId="3766"/>
    <cellStyle name="Normal 2 2" xfId="5"/>
    <cellStyle name="Normal 2 2 10" xfId="3767"/>
    <cellStyle name="Normal 2 2 2" xfId="9"/>
    <cellStyle name="Normal 2 2 2 2" xfId="23"/>
    <cellStyle name="Normal 2 2 2 2 2" xfId="37"/>
    <cellStyle name="Normal 2 2 2 2 2 2" xfId="38"/>
    <cellStyle name="Normal 2 2 2 2 2 2 2" xfId="3768"/>
    <cellStyle name="Normal 2 2 2 3" xfId="3769"/>
    <cellStyle name="Normal 2 2 2 4" xfId="3770"/>
    <cellStyle name="Normal 2 2 3" xfId="48"/>
    <cellStyle name="Normal 2 2 3 2" xfId="3771"/>
    <cellStyle name="Normal 2 2 3 2 2" xfId="3772"/>
    <cellStyle name="Normal 2 2 3 3" xfId="3773"/>
    <cellStyle name="Normal 2 2 4" xfId="52"/>
    <cellStyle name="Normal 2 2 4 2" xfId="3774"/>
    <cellStyle name="Normal 2 2 4 2 2" xfId="3775"/>
    <cellStyle name="Normal 2 2 4 3" xfId="3776"/>
    <cellStyle name="Normal 2 2 5" xfId="47"/>
    <cellStyle name="Normal 2 2 5 2" xfId="3777"/>
    <cellStyle name="Normal 2 2 5 2 2" xfId="3778"/>
    <cellStyle name="Normal 2 2 5 3" xfId="3779"/>
    <cellStyle name="Normal 2 2 6" xfId="46"/>
    <cellStyle name="Normal 2 2 6 2" xfId="3780"/>
    <cellStyle name="Normal 2 2 6 3" xfId="3781"/>
    <cellStyle name="Normal 2 2_2231.1 AIPL Financials FY 2007-08" xfId="3782"/>
    <cellStyle name="Normal 2 20" xfId="3783"/>
    <cellStyle name="Normal 2 21" xfId="3784"/>
    <cellStyle name="Normal 2 22" xfId="3785"/>
    <cellStyle name="Normal 2 23" xfId="3786"/>
    <cellStyle name="Normal 2 24" xfId="3787"/>
    <cellStyle name="Normal 2 25" xfId="3788"/>
    <cellStyle name="Normal 2 26" xfId="3789"/>
    <cellStyle name="Normal 2 27" xfId="3790"/>
    <cellStyle name="Normal 2 28" xfId="3791"/>
    <cellStyle name="Normal 2 29" xfId="3792"/>
    <cellStyle name="Normal 2 3" xfId="35"/>
    <cellStyle name="Normal 2 3 2" xfId="41"/>
    <cellStyle name="Normal 2 3 2 2" xfId="3793"/>
    <cellStyle name="Normal 2 3 2 2 2" xfId="3794"/>
    <cellStyle name="Normal 2 3 2 3" xfId="3795"/>
    <cellStyle name="Normal 2 3 3" xfId="3796"/>
    <cellStyle name="Normal 2 30" xfId="3797"/>
    <cellStyle name="Normal 2 31" xfId="3798"/>
    <cellStyle name="Normal 2 32" xfId="3799"/>
    <cellStyle name="Normal 2 33" xfId="3800"/>
    <cellStyle name="Normal 2 34" xfId="3801"/>
    <cellStyle name="Normal 2 35" xfId="3802"/>
    <cellStyle name="Normal 2 36" xfId="3803"/>
    <cellStyle name="Normal 2 37" xfId="3804"/>
    <cellStyle name="Normal 2 38" xfId="3805"/>
    <cellStyle name="Normal 2 39" xfId="3806"/>
    <cellStyle name="Normal 2 4" xfId="50"/>
    <cellStyle name="Normal 2 4 2" xfId="3807"/>
    <cellStyle name="Normal 2 4 2 2" xfId="3808"/>
    <cellStyle name="Normal 2 4 2 2 2" xfId="3809"/>
    <cellStyle name="Normal 2 4 2 3" xfId="3810"/>
    <cellStyle name="Normal 2 4 3" xfId="3811"/>
    <cellStyle name="Normal 2 4 3 2" xfId="3812"/>
    <cellStyle name="Normal 2 4 4" xfId="3813"/>
    <cellStyle name="Normal 2 40" xfId="3814"/>
    <cellStyle name="Normal 2 5" xfId="54"/>
    <cellStyle name="Normal 2 5 2" xfId="3815"/>
    <cellStyle name="Normal 2 5 2 2" xfId="3816"/>
    <cellStyle name="Normal 2 5 2 2 2" xfId="3817"/>
    <cellStyle name="Normal 2 5 2 3" xfId="3818"/>
    <cellStyle name="Normal 2 5 3" xfId="3819"/>
    <cellStyle name="Normal 2 5 3 2" xfId="3820"/>
    <cellStyle name="Normal 2 5 4" xfId="3821"/>
    <cellStyle name="Normal 2 6" xfId="56"/>
    <cellStyle name="Normal 2 7" xfId="3822"/>
    <cellStyle name="Normal 2 8" xfId="3823"/>
    <cellStyle name="Normal 2 9" xfId="3824"/>
    <cellStyle name="Normal 20" xfId="40"/>
    <cellStyle name="Normal 20 2" xfId="3825"/>
    <cellStyle name="Normal 20 2 2" xfId="3826"/>
    <cellStyle name="Normal 20 3" xfId="3827"/>
    <cellStyle name="Normal 200" xfId="4922"/>
    <cellStyle name="Normal 201" xfId="4923"/>
    <cellStyle name="Normal 202" xfId="4924"/>
    <cellStyle name="Normal 203" xfId="4925"/>
    <cellStyle name="Normal 204" xfId="4926"/>
    <cellStyle name="Normal 205" xfId="4927"/>
    <cellStyle name="Normal 206" xfId="4928"/>
    <cellStyle name="Normal 207" xfId="4929"/>
    <cellStyle name="Normal 208" xfId="4930"/>
    <cellStyle name="Normal 209" xfId="4931"/>
    <cellStyle name="Normal 21" xfId="51"/>
    <cellStyle name="Normal 21 2" xfId="3828"/>
    <cellStyle name="Normal 21 2 2" xfId="3829"/>
    <cellStyle name="Normal 21 3" xfId="3830"/>
    <cellStyle name="Normal 22" xfId="57"/>
    <cellStyle name="Normal 22 2" xfId="3831"/>
    <cellStyle name="Normal 22 2 2" xfId="3832"/>
    <cellStyle name="Normal 22 3" xfId="3833"/>
    <cellStyle name="Normal 23" xfId="3834"/>
    <cellStyle name="Normal 23 2" xfId="3835"/>
    <cellStyle name="Normal 23 2 2" xfId="3836"/>
    <cellStyle name="Normal 23 3" xfId="3837"/>
    <cellStyle name="Normal 24" xfId="3838"/>
    <cellStyle name="Normal 24 2" xfId="3839"/>
    <cellStyle name="Normal 24 2 2" xfId="3840"/>
    <cellStyle name="Normal 24 3" xfId="3841"/>
    <cellStyle name="Normal 24 4" xfId="3842"/>
    <cellStyle name="Normal 25" xfId="3843"/>
    <cellStyle name="Normal 25 2" xfId="3844"/>
    <cellStyle name="Normal 25 2 2" xfId="3845"/>
    <cellStyle name="Normal 25 3" xfId="3846"/>
    <cellStyle name="Normal 25 4" xfId="3847"/>
    <cellStyle name="Normal 252" xfId="4932"/>
    <cellStyle name="Normal 26" xfId="3848"/>
    <cellStyle name="Normal 26 2" xfId="3849"/>
    <cellStyle name="Normal 26 2 2" xfId="3850"/>
    <cellStyle name="Normal 26 3" xfId="3851"/>
    <cellStyle name="Normal 27" xfId="3852"/>
    <cellStyle name="Normal 27 2" xfId="3853"/>
    <cellStyle name="Normal 27 2 2" xfId="3854"/>
    <cellStyle name="Normal 27 2 3" xfId="3855"/>
    <cellStyle name="Normal 27 3" xfId="3856"/>
    <cellStyle name="Normal 27 4" xfId="3857"/>
    <cellStyle name="Normal 28" xfId="3858"/>
    <cellStyle name="Normal 28 2" xfId="3859"/>
    <cellStyle name="Normal 28 2 2" xfId="3860"/>
    <cellStyle name="Normal 28 3" xfId="3861"/>
    <cellStyle name="Normal 29" xfId="3862"/>
    <cellStyle name="Normal 29 2" xfId="3863"/>
    <cellStyle name="Normal 29 2 2" xfId="3864"/>
    <cellStyle name="Normal 29 3" xfId="3865"/>
    <cellStyle name="Normal 29 4" xfId="3866"/>
    <cellStyle name="Normal 3" xfId="6"/>
    <cellStyle name="Normal 3 2" xfId="12"/>
    <cellStyle name="Normal 3 2 2" xfId="24"/>
    <cellStyle name="Normal 3 2 2 2" xfId="3867"/>
    <cellStyle name="Normal 3 22" xfId="3868"/>
    <cellStyle name="Normal 3 3" xfId="3869"/>
    <cellStyle name="Normal 3 4" xfId="3870"/>
    <cellStyle name="Normal 3 5" xfId="3871"/>
    <cellStyle name="Normal 3 5 2" xfId="3872"/>
    <cellStyle name="Normal 3 6" xfId="3873"/>
    <cellStyle name="Normal 3 7" xfId="3874"/>
    <cellStyle name="Normal 3 8" xfId="3875"/>
    <cellStyle name="Normal 3 9" xfId="3876"/>
    <cellStyle name="Normal 30" xfId="3877"/>
    <cellStyle name="Normal 30 2" xfId="3878"/>
    <cellStyle name="Normal 30 2 2" xfId="3879"/>
    <cellStyle name="Normal 30 3" xfId="3880"/>
    <cellStyle name="Normal 31" xfId="3881"/>
    <cellStyle name="Normal 31 2" xfId="3882"/>
    <cellStyle name="Normal 31 2 2" xfId="3883"/>
    <cellStyle name="Normal 31 3" xfId="3884"/>
    <cellStyle name="Normal 31 4" xfId="3885"/>
    <cellStyle name="Normal 32" xfId="3886"/>
    <cellStyle name="Normal 32 2" xfId="3887"/>
    <cellStyle name="Normal 32 2 2" xfId="3888"/>
    <cellStyle name="Normal 32 3" xfId="3889"/>
    <cellStyle name="Normal 33" xfId="3890"/>
    <cellStyle name="Normal 33 2" xfId="3891"/>
    <cellStyle name="Normal 33 2 2" xfId="3892"/>
    <cellStyle name="Normal 33 3" xfId="3893"/>
    <cellStyle name="Normal 33 4" xfId="3894"/>
    <cellStyle name="Normal 34" xfId="3895"/>
    <cellStyle name="Normal 34 2" xfId="3896"/>
    <cellStyle name="Normal 34 2 2" xfId="3897"/>
    <cellStyle name="Normal 34 3" xfId="3898"/>
    <cellStyle name="Normal 35" xfId="3899"/>
    <cellStyle name="Normal 35 2" xfId="3900"/>
    <cellStyle name="Normal 35 2 2" xfId="3901"/>
    <cellStyle name="Normal 35 3" xfId="3902"/>
    <cellStyle name="Normal 35 4" xfId="3903"/>
    <cellStyle name="Normal 36" xfId="3904"/>
    <cellStyle name="Normal 36 2" xfId="3905"/>
    <cellStyle name="Normal 36 2 2" xfId="3906"/>
    <cellStyle name="Normal 36 3" xfId="3907"/>
    <cellStyle name="Normal 37" xfId="3908"/>
    <cellStyle name="Normal 37 2" xfId="3909"/>
    <cellStyle name="Normal 37 2 2" xfId="3910"/>
    <cellStyle name="Normal 37 3" xfId="3911"/>
    <cellStyle name="Normal 37 4" xfId="3912"/>
    <cellStyle name="Normal 38" xfId="3913"/>
    <cellStyle name="Normal 38 2" xfId="3914"/>
    <cellStyle name="Normal 38 2 2" xfId="3915"/>
    <cellStyle name="Normal 38 3" xfId="3916"/>
    <cellStyle name="Normal 39" xfId="3917"/>
    <cellStyle name="Normal 39 2" xfId="3918"/>
    <cellStyle name="Normal 39 2 2" xfId="3919"/>
    <cellStyle name="Normal 39 3" xfId="3920"/>
    <cellStyle name="Normal 39 4" xfId="3921"/>
    <cellStyle name="Normal 4" xfId="8"/>
    <cellStyle name="Normal 4 2" xfId="25"/>
    <cellStyle name="Normal 4 3" xfId="36"/>
    <cellStyle name="Normal 4 3 2" xfId="3922"/>
    <cellStyle name="Normal 4 3 3" xfId="3923"/>
    <cellStyle name="Normal 4 4" xfId="3924"/>
    <cellStyle name="Normal 40" xfId="3925"/>
    <cellStyle name="Normal 40 2" xfId="3926"/>
    <cellStyle name="Normal 40 2 2" xfId="3927"/>
    <cellStyle name="Normal 40 3" xfId="3928"/>
    <cellStyle name="Normal 41" xfId="3929"/>
    <cellStyle name="Normal 41 2" xfId="3930"/>
    <cellStyle name="Normal 41 2 2" xfId="3931"/>
    <cellStyle name="Normal 41 3" xfId="3932"/>
    <cellStyle name="Normal 41 4" xfId="3933"/>
    <cellStyle name="Normal 42" xfId="3934"/>
    <cellStyle name="Normal 42 2" xfId="3935"/>
    <cellStyle name="Normal 42 2 2" xfId="3936"/>
    <cellStyle name="Normal 42 3" xfId="3937"/>
    <cellStyle name="Normal 43" xfId="3938"/>
    <cellStyle name="Normal 43 2" xfId="3939"/>
    <cellStyle name="Normal 43 2 2" xfId="3940"/>
    <cellStyle name="Normal 43 3" xfId="3941"/>
    <cellStyle name="Normal 43 4" xfId="3942"/>
    <cellStyle name="Normal 44" xfId="3943"/>
    <cellStyle name="Normal 44 2" xfId="3944"/>
    <cellStyle name="Normal 44 2 2" xfId="3945"/>
    <cellStyle name="Normal 44 3" xfId="3946"/>
    <cellStyle name="Normal 45" xfId="3947"/>
    <cellStyle name="Normal 45 2" xfId="3948"/>
    <cellStyle name="Normal 45 2 2" xfId="3949"/>
    <cellStyle name="Normal 45 3" xfId="3950"/>
    <cellStyle name="Normal 45 4" xfId="3951"/>
    <cellStyle name="Normal 46" xfId="3952"/>
    <cellStyle name="Normal 46 2" xfId="3953"/>
    <cellStyle name="Normal 46 2 2" xfId="3954"/>
    <cellStyle name="Normal 46 3" xfId="3955"/>
    <cellStyle name="Normal 47" xfId="3956"/>
    <cellStyle name="Normal 47 2" xfId="3957"/>
    <cellStyle name="Normal 47 2 2" xfId="3958"/>
    <cellStyle name="Normal 47 3" xfId="3959"/>
    <cellStyle name="Normal 48" xfId="3960"/>
    <cellStyle name="Normal 48 2" xfId="3961"/>
    <cellStyle name="Normal 48 2 2" xfId="3962"/>
    <cellStyle name="Normal 48 3" xfId="3963"/>
    <cellStyle name="Normal 49" xfId="3964"/>
    <cellStyle name="Normal 49 2" xfId="3965"/>
    <cellStyle name="Normal 49 2 2" xfId="3966"/>
    <cellStyle name="Normal 49 3" xfId="3967"/>
    <cellStyle name="Normal 49 4" xfId="3968"/>
    <cellStyle name="Normal 5" xfId="26"/>
    <cellStyle name="Normal 5 2" xfId="3969"/>
    <cellStyle name="Normal 5 2 2" xfId="3970"/>
    <cellStyle name="Normal 5 3" xfId="3971"/>
    <cellStyle name="Normal 5 4" xfId="3972"/>
    <cellStyle name="Normal 5 5" xfId="3973"/>
    <cellStyle name="Normal 5 5 2" xfId="3974"/>
    <cellStyle name="Normal 5 6" xfId="3975"/>
    <cellStyle name="Normal 5_Draft Financial Nikon 2009-10" xfId="3976"/>
    <cellStyle name="Normal 50" xfId="3977"/>
    <cellStyle name="Normal 50 2" xfId="3978"/>
    <cellStyle name="Normal 50 2 2" xfId="3979"/>
    <cellStyle name="Normal 50 3" xfId="3980"/>
    <cellStyle name="Normal 51" xfId="3981"/>
    <cellStyle name="Normal 51 2" xfId="3982"/>
    <cellStyle name="Normal 51 2 2" xfId="3983"/>
    <cellStyle name="Normal 51 3" xfId="3984"/>
    <cellStyle name="Normal 51 4" xfId="3985"/>
    <cellStyle name="Normal 52" xfId="3986"/>
    <cellStyle name="Normal 52 2" xfId="3987"/>
    <cellStyle name="Normal 52 2 2" xfId="3988"/>
    <cellStyle name="Normal 52 3" xfId="3989"/>
    <cellStyle name="Normal 53" xfId="3990"/>
    <cellStyle name="Normal 53 2" xfId="3991"/>
    <cellStyle name="Normal 53 3" xfId="3992"/>
    <cellStyle name="Normal 53 4" xfId="4918"/>
    <cellStyle name="Normal 54" xfId="3993"/>
    <cellStyle name="Normal 54 2" xfId="3994"/>
    <cellStyle name="Normal 55" xfId="3995"/>
    <cellStyle name="Normal 55 2" xfId="3996"/>
    <cellStyle name="Normal 55 3" xfId="3997"/>
    <cellStyle name="Normal 56" xfId="3998"/>
    <cellStyle name="Normal 56 2" xfId="3999"/>
    <cellStyle name="Normal 57" xfId="4000"/>
    <cellStyle name="Normal 57 2" xfId="4001"/>
    <cellStyle name="Normal 57 3" xfId="4002"/>
    <cellStyle name="Normal 58" xfId="4003"/>
    <cellStyle name="Normal 58 2" xfId="4004"/>
    <cellStyle name="Normal 59" xfId="4005"/>
    <cellStyle name="Normal 59 2" xfId="4006"/>
    <cellStyle name="Normal 6" xfId="27"/>
    <cellStyle name="Normal 6 2" xfId="4007"/>
    <cellStyle name="Normal 6 2 2" xfId="4008"/>
    <cellStyle name="Normal 6 3" xfId="4009"/>
    <cellStyle name="Normal 6 4" xfId="4010"/>
    <cellStyle name="Normal 6 5" xfId="4011"/>
    <cellStyle name="Normal 6_Draft Financial Nikon 2009-10" xfId="4012"/>
    <cellStyle name="Normal 60" xfId="4013"/>
    <cellStyle name="Normal 60 2" xfId="4014"/>
    <cellStyle name="Normal 60 3" xfId="4015"/>
    <cellStyle name="Normal 61" xfId="4016"/>
    <cellStyle name="Normal 61 2" xfId="4017"/>
    <cellStyle name="Normal 61 3" xfId="4018"/>
    <cellStyle name="Normal 62" xfId="4019"/>
    <cellStyle name="Normal 62 2" xfId="4020"/>
    <cellStyle name="Normal 63" xfId="4021"/>
    <cellStyle name="Normal 63 2" xfId="4022"/>
    <cellStyle name="Normal 64" xfId="4023"/>
    <cellStyle name="Normal 64 2" xfId="4024"/>
    <cellStyle name="Normal 65" xfId="4025"/>
    <cellStyle name="Normal 65 2" xfId="4026"/>
    <cellStyle name="Normal 66" xfId="4027"/>
    <cellStyle name="Normal 66 2" xfId="4028"/>
    <cellStyle name="Normal 67" xfId="4029"/>
    <cellStyle name="Normal 67 2" xfId="4030"/>
    <cellStyle name="Normal 68" xfId="4031"/>
    <cellStyle name="Normal 68 2" xfId="4032"/>
    <cellStyle name="Normal 69" xfId="4033"/>
    <cellStyle name="Normal 69 2" xfId="4034"/>
    <cellStyle name="Normal 7" xfId="28"/>
    <cellStyle name="Normal 7 10" xfId="4035"/>
    <cellStyle name="Normal 7 2" xfId="4036"/>
    <cellStyle name="Normal 7 2 10" xfId="4037"/>
    <cellStyle name="Normal 7 2 2" xfId="4038"/>
    <cellStyle name="Normal 7 2 2 2" xfId="4039"/>
    <cellStyle name="Normal 7 2 2_2231.1 AIPL Financials FY 2007-08" xfId="4040"/>
    <cellStyle name="Normal 7 2 3" xfId="4041"/>
    <cellStyle name="Normal 7 2 4" xfId="4042"/>
    <cellStyle name="Normal 7 2 5" xfId="4043"/>
    <cellStyle name="Normal 7 2 6" xfId="4044"/>
    <cellStyle name="Normal 7 2 7" xfId="4045"/>
    <cellStyle name="Normal 7 2 8" xfId="4046"/>
    <cellStyle name="Normal 7 2 9" xfId="4047"/>
    <cellStyle name="Normal 7 2_2231.1 AIPL Financials FY 2007-08" xfId="4048"/>
    <cellStyle name="Normal 7 3" xfId="4049"/>
    <cellStyle name="Normal 7 3 2" xfId="4050"/>
    <cellStyle name="Normal 7 4" xfId="4051"/>
    <cellStyle name="Normal 7 5" xfId="4052"/>
    <cellStyle name="Normal 7 6" xfId="4053"/>
    <cellStyle name="Normal 7 7" xfId="4054"/>
    <cellStyle name="Normal 7 8" xfId="4055"/>
    <cellStyle name="Normal 7 9" xfId="4056"/>
    <cellStyle name="Normal 7_2231.1 AIPL Financials FY 2007-08" xfId="4057"/>
    <cellStyle name="Normal 70" xfId="4058"/>
    <cellStyle name="Normal 70 2" xfId="4059"/>
    <cellStyle name="Normal 71" xfId="4060"/>
    <cellStyle name="Normal 71 2" xfId="4061"/>
    <cellStyle name="Normal 72" xfId="4062"/>
    <cellStyle name="Normal 72 2" xfId="4063"/>
    <cellStyle name="Normal 73" xfId="4064"/>
    <cellStyle name="Normal 73 2" xfId="4065"/>
    <cellStyle name="Normal 74" xfId="4066"/>
    <cellStyle name="Normal 74 2" xfId="4067"/>
    <cellStyle name="Normal 75" xfId="4068"/>
    <cellStyle name="Normal 75 2" xfId="4069"/>
    <cellStyle name="Normal 76" xfId="4070"/>
    <cellStyle name="Normal 76 2" xfId="4071"/>
    <cellStyle name="Normal 77" xfId="4072"/>
    <cellStyle name="Normal 77 2" xfId="4073"/>
    <cellStyle name="Normal 78" xfId="4074"/>
    <cellStyle name="Normal 78 2" xfId="4075"/>
    <cellStyle name="Normal 79" xfId="4076"/>
    <cellStyle name="Normal 79 2" xfId="4077"/>
    <cellStyle name="Normal 8" xfId="29"/>
    <cellStyle name="Normal 8 2" xfId="4078"/>
    <cellStyle name="Normal 8 2 2" xfId="4079"/>
    <cellStyle name="Normal 8 3" xfId="4080"/>
    <cellStyle name="Normal 8 4" xfId="4081"/>
    <cellStyle name="Normal 8 5" xfId="4082"/>
    <cellStyle name="Normal 8_Draft Financial Nikon 2009-10" xfId="4083"/>
    <cellStyle name="Normal 80" xfId="4084"/>
    <cellStyle name="Normal 80 2" xfId="4085"/>
    <cellStyle name="Normal 81" xfId="4086"/>
    <cellStyle name="Normal 81 2" xfId="4087"/>
    <cellStyle name="Normal 82" xfId="4088"/>
    <cellStyle name="Normal 82 2" xfId="4089"/>
    <cellStyle name="Normal 83" xfId="4090"/>
    <cellStyle name="Normal 83 2" xfId="4091"/>
    <cellStyle name="Normal 84" xfId="4092"/>
    <cellStyle name="Normal 84 2" xfId="4093"/>
    <cellStyle name="Normal 85" xfId="4094"/>
    <cellStyle name="Normal 85 2" xfId="4095"/>
    <cellStyle name="Normal 86" xfId="4096"/>
    <cellStyle name="Normal 86 2" xfId="4097"/>
    <cellStyle name="Normal 87" xfId="4098"/>
    <cellStyle name="Normal 87 2" xfId="4099"/>
    <cellStyle name="Normal 88" xfId="4100"/>
    <cellStyle name="Normal 88 2" xfId="4101"/>
    <cellStyle name="Normal 89" xfId="4102"/>
    <cellStyle name="Normal 89 2" xfId="4103"/>
    <cellStyle name="Normal 9" xfId="30"/>
    <cellStyle name="Normal 9 2" xfId="4104"/>
    <cellStyle name="Normal 9 2 2" xfId="4105"/>
    <cellStyle name="Normal 9 3" xfId="4106"/>
    <cellStyle name="Normal 90" xfId="4107"/>
    <cellStyle name="Normal 90 2" xfId="4108"/>
    <cellStyle name="Normal 91" xfId="4109"/>
    <cellStyle name="Normal 91 2" xfId="4110"/>
    <cellStyle name="Normal 92" xfId="4111"/>
    <cellStyle name="Normal 92 2" xfId="4112"/>
    <cellStyle name="Normal 93" xfId="4113"/>
    <cellStyle name="Normal 93 2" xfId="4114"/>
    <cellStyle name="Normal 94" xfId="4115"/>
    <cellStyle name="Normal 94 2" xfId="4116"/>
    <cellStyle name="Normal 95" xfId="4117"/>
    <cellStyle name="Normal 95 2" xfId="4118"/>
    <cellStyle name="Normal 96" xfId="4119"/>
    <cellStyle name="Normal 96 2" xfId="4120"/>
    <cellStyle name="Normal 97" xfId="4121"/>
    <cellStyle name="Normal 97 2" xfId="4122"/>
    <cellStyle name="Normal 98" xfId="4123"/>
    <cellStyle name="Normal 98 2" xfId="4124"/>
    <cellStyle name="Normal 99" xfId="4125"/>
    <cellStyle name="Normal 99 2" xfId="4126"/>
    <cellStyle name="Normal Bold" xfId="4127"/>
    <cellStyle name="Normal Bold Italics" xfId="4128"/>
    <cellStyle name="Normal Bold_Balance Sheet (11-12)" xfId="4129"/>
    <cellStyle name="Normal grey" xfId="4130"/>
    <cellStyle name="Normal grey i" xfId="4131"/>
    <cellStyle name="Normal yellow" xfId="4132"/>
    <cellStyle name="Normal yellow i" xfId="4133"/>
    <cellStyle name="Normale_11AGO" xfId="4134"/>
    <cellStyle name="NormalGB" xfId="4135"/>
    <cellStyle name="NormalHelv" xfId="4136"/>
    <cellStyle name="normální_laroux" xfId="4137"/>
    <cellStyle name="Normalny_HPL INT2003200416102003 (version 3)" xfId="4138"/>
    <cellStyle name="NormalPERET956" xfId="4139"/>
    <cellStyle name="NOT" xfId="4140"/>
    <cellStyle name="Note 10" xfId="4141"/>
    <cellStyle name="Note 10 2" xfId="4142"/>
    <cellStyle name="Note 10 3" xfId="4143"/>
    <cellStyle name="Note 10 4" xfId="4144"/>
    <cellStyle name="Note 11" xfId="4145"/>
    <cellStyle name="Note 11 2" xfId="4146"/>
    <cellStyle name="Note 11 3" xfId="4147"/>
    <cellStyle name="Note 11 4" xfId="4148"/>
    <cellStyle name="Note 12" xfId="4149"/>
    <cellStyle name="Note 12 2" xfId="4150"/>
    <cellStyle name="Note 12 3" xfId="4151"/>
    <cellStyle name="Note 12 4" xfId="4152"/>
    <cellStyle name="Note 13" xfId="4153"/>
    <cellStyle name="Note 13 2" xfId="4154"/>
    <cellStyle name="Note 13 3" xfId="4155"/>
    <cellStyle name="Note 13 4" xfId="4156"/>
    <cellStyle name="Note 14" xfId="4157"/>
    <cellStyle name="Note 14 2" xfId="4158"/>
    <cellStyle name="Note 14 3" xfId="4159"/>
    <cellStyle name="Note 14 4" xfId="4160"/>
    <cellStyle name="Note 15" xfId="4161"/>
    <cellStyle name="Note 15 2" xfId="4162"/>
    <cellStyle name="Note 15 3" xfId="4163"/>
    <cellStyle name="Note 15 4" xfId="4164"/>
    <cellStyle name="Note 16" xfId="4165"/>
    <cellStyle name="Note 16 2" xfId="4166"/>
    <cellStyle name="Note 16 3" xfId="4167"/>
    <cellStyle name="Note 16 4" xfId="4168"/>
    <cellStyle name="Note 17" xfId="4169"/>
    <cellStyle name="Note 17 2" xfId="4170"/>
    <cellStyle name="Note 17 3" xfId="4171"/>
    <cellStyle name="Note 17 4" xfId="4172"/>
    <cellStyle name="Note 18" xfId="4173"/>
    <cellStyle name="Note 18 2" xfId="4174"/>
    <cellStyle name="Note 18 3" xfId="4175"/>
    <cellStyle name="Note 18 4" xfId="4176"/>
    <cellStyle name="Note 19" xfId="4177"/>
    <cellStyle name="Note 19 2" xfId="4178"/>
    <cellStyle name="Note 19 3" xfId="4179"/>
    <cellStyle name="Note 19 4" xfId="4180"/>
    <cellStyle name="Note 2" xfId="4181"/>
    <cellStyle name="Note 2 2" xfId="4182"/>
    <cellStyle name="Note 2 3" xfId="4183"/>
    <cellStyle name="Note 2 4" xfId="4184"/>
    <cellStyle name="Note 20" xfId="4185"/>
    <cellStyle name="Note 20 2" xfId="4186"/>
    <cellStyle name="Note 20 3" xfId="4187"/>
    <cellStyle name="Note 20 4" xfId="4188"/>
    <cellStyle name="Note 21" xfId="4189"/>
    <cellStyle name="Note 21 2" xfId="4190"/>
    <cellStyle name="Note 21 3" xfId="4191"/>
    <cellStyle name="Note 21 4" xfId="4192"/>
    <cellStyle name="Note 22" xfId="4193"/>
    <cellStyle name="Note 22 2" xfId="4194"/>
    <cellStyle name="Note 22 3" xfId="4195"/>
    <cellStyle name="Note 22 4" xfId="4196"/>
    <cellStyle name="Note 23" xfId="4197"/>
    <cellStyle name="Note 23 2" xfId="4198"/>
    <cellStyle name="Note 23 3" xfId="4199"/>
    <cellStyle name="Note 23 4" xfId="4200"/>
    <cellStyle name="Note 24" xfId="4201"/>
    <cellStyle name="Note 24 2" xfId="4202"/>
    <cellStyle name="Note 24 3" xfId="4203"/>
    <cellStyle name="Note 24 4" xfId="4204"/>
    <cellStyle name="Note 25" xfId="4205"/>
    <cellStyle name="Note 25 2" xfId="4206"/>
    <cellStyle name="Note 25 3" xfId="4207"/>
    <cellStyle name="Note 25 4" xfId="4208"/>
    <cellStyle name="Note 26" xfId="4209"/>
    <cellStyle name="Note 26 2" xfId="4210"/>
    <cellStyle name="Note 26 3" xfId="4211"/>
    <cellStyle name="Note 26 4" xfId="4212"/>
    <cellStyle name="Note 27" xfId="4213"/>
    <cellStyle name="Note 27 2" xfId="4214"/>
    <cellStyle name="Note 27 3" xfId="4215"/>
    <cellStyle name="Note 27 4" xfId="4216"/>
    <cellStyle name="Note 28" xfId="4217"/>
    <cellStyle name="Note 28 2" xfId="4218"/>
    <cellStyle name="Note 28 3" xfId="4219"/>
    <cellStyle name="Note 28 4" xfId="4220"/>
    <cellStyle name="Note 29" xfId="4221"/>
    <cellStyle name="Note 29 2" xfId="4222"/>
    <cellStyle name="Note 29 3" xfId="4223"/>
    <cellStyle name="Note 29 4" xfId="4224"/>
    <cellStyle name="Note 3" xfId="4225"/>
    <cellStyle name="Note 3 2" xfId="4226"/>
    <cellStyle name="Note 3 3" xfId="4227"/>
    <cellStyle name="Note 3 4" xfId="4228"/>
    <cellStyle name="Note 30" xfId="4229"/>
    <cellStyle name="Note 30 2" xfId="4230"/>
    <cellStyle name="Note 30 3" xfId="4231"/>
    <cellStyle name="Note 30 4" xfId="4232"/>
    <cellStyle name="Note 31" xfId="4233"/>
    <cellStyle name="Note 31 2" xfId="4234"/>
    <cellStyle name="Note 31 3" xfId="4235"/>
    <cellStyle name="Note 31 4" xfId="4236"/>
    <cellStyle name="Note 32" xfId="4237"/>
    <cellStyle name="Note 32 2" xfId="4238"/>
    <cellStyle name="Note 32 3" xfId="4239"/>
    <cellStyle name="Note 32 4" xfId="4240"/>
    <cellStyle name="Note 33" xfId="4241"/>
    <cellStyle name="Note 33 2" xfId="4242"/>
    <cellStyle name="Note 33 3" xfId="4243"/>
    <cellStyle name="Note 33 4" xfId="4244"/>
    <cellStyle name="Note 34" xfId="4245"/>
    <cellStyle name="Note 34 2" xfId="4246"/>
    <cellStyle name="Note 34 3" xfId="4247"/>
    <cellStyle name="Note 34 4" xfId="4248"/>
    <cellStyle name="Note 35" xfId="4249"/>
    <cellStyle name="Note 35 2" xfId="4250"/>
    <cellStyle name="Note 35 3" xfId="4251"/>
    <cellStyle name="Note 35 4" xfId="4252"/>
    <cellStyle name="Note 36" xfId="4253"/>
    <cellStyle name="Note 37" xfId="4254"/>
    <cellStyle name="Note 38" xfId="4255"/>
    <cellStyle name="Note 4" xfId="4256"/>
    <cellStyle name="Note 4 2" xfId="4257"/>
    <cellStyle name="Note 4 3" xfId="4258"/>
    <cellStyle name="Note 4 4" xfId="4259"/>
    <cellStyle name="Note 5" xfId="4260"/>
    <cellStyle name="Note 5 2" xfId="4261"/>
    <cellStyle name="Note 5 3" xfId="4262"/>
    <cellStyle name="Note 5 4" xfId="4263"/>
    <cellStyle name="Note 6" xfId="4264"/>
    <cellStyle name="Note 6 2" xfId="4265"/>
    <cellStyle name="Note 6 3" xfId="4266"/>
    <cellStyle name="Note 6 4" xfId="4267"/>
    <cellStyle name="Note 7" xfId="4268"/>
    <cellStyle name="Note 7 2" xfId="4269"/>
    <cellStyle name="Note 7 3" xfId="4270"/>
    <cellStyle name="Note 7 4" xfId="4271"/>
    <cellStyle name="Note 8" xfId="4272"/>
    <cellStyle name="Note 8 2" xfId="4273"/>
    <cellStyle name="Note 8 3" xfId="4274"/>
    <cellStyle name="Note 8 4" xfId="4275"/>
    <cellStyle name="Note 9" xfId="4276"/>
    <cellStyle name="Note 9 2" xfId="4277"/>
    <cellStyle name="Note 9 3" xfId="4278"/>
    <cellStyle name="Note 9 4" xfId="4279"/>
    <cellStyle name="Notes" xfId="4280"/>
    <cellStyle name="Notes bold" xfId="4281"/>
    <cellStyle name="Notes#Total" xfId="4282"/>
    <cellStyle name="Num0Un" xfId="4283"/>
    <cellStyle name="Num1" xfId="4284"/>
    <cellStyle name="Num1Blue" xfId="4285"/>
    <cellStyle name="Num2" xfId="4286"/>
    <cellStyle name="Num2Un" xfId="4287"/>
    <cellStyle name="number" xfId="4288"/>
    <cellStyle name="Number0" xfId="4289"/>
    <cellStyle name="Number1" xfId="4290"/>
    <cellStyle name="Number2" xfId="4291"/>
    <cellStyle name="Numbers" xfId="4292"/>
    <cellStyle name="Numbers - Bold" xfId="4293"/>
    <cellStyle name="Numbers - Bold - Italic" xfId="4294"/>
    <cellStyle name="Numbers - Bold_Balance Sheet (11-12)" xfId="4295"/>
    <cellStyle name="Numbers - Large" xfId="4296"/>
    <cellStyle name="numbers $ (no lines)" xfId="4297"/>
    <cellStyle name="numbers $ double line" xfId="4298"/>
    <cellStyle name="numbers only" xfId="4299"/>
    <cellStyle name="numbers single line" xfId="4300"/>
    <cellStyle name="Numbers_Accretion " xfId="4301"/>
    <cellStyle name="O…‹aO‚e [0.00]_!!!GO" xfId="4302"/>
    <cellStyle name="O…‹aO‚e_!!!GO" xfId="4303"/>
    <cellStyle name="Œ…‹???‚è [0.00]_Sheet1" xfId="4304"/>
    <cellStyle name="Œ…‹???‚è_Sheet1" xfId="4305"/>
    <cellStyle name="Œ…‹æØ‚è [0.00]_        " xfId="4306"/>
    <cellStyle name="Œ…‹æØ‚è_        " xfId="4307"/>
    <cellStyle name="oft Excel]_x000a__x000d_Comment=open=/f を指定すると、ユーザー定義関数を関数貼り付けの一覧に登録することができます。_x000a__x000d_Maximized" xfId="4308"/>
    <cellStyle name="oft Excel]_x000a__x000d_Comment=open=/f を指定すると、ユーザー定義関数を関数貼り付けの一覧に登録することができます。_x000a__x000d_Maximized 2" xfId="4309"/>
    <cellStyle name="oft Excel]_x000a__x000d_Comment=open=/f を指定すると、ユーザー定義関数を関数貼り付けの一覧に登録することができます。_x000a__x000d_Maximized 3" xfId="4310"/>
    <cellStyle name="oft Excel]_x000a__x000d_Comment=open=/f を指定すると、ユーザー定義関数を関数貼り付けの一覧に登録することができます。_x000a__x000d_Maximized 4" xfId="4311"/>
    <cellStyle name="oft Excel]_x000d__x000a_Comment=open=/f ‚ðw’è‚·‚é‚ÆAƒ†[ƒU[’è‹`ŠÖ”‚ðŠÖ”“\‚è•t‚¯‚Ìˆê——‚É“o˜^‚·‚é‚±‚Æ‚ª‚Å‚«‚Ü‚·B_x000d__x000a_Maximized" xfId="4312"/>
    <cellStyle name="oft Excel]_x000d__x000a_Comment=open=/f を指定すると、ユーザー定義関数を関数貼り付けの一覧に登録することができます。_x000d__x000a_Maximized" xfId="4313"/>
    <cellStyle name="oft Excel]_x000d__x000a_Comment=open=/f を指定すると、ユーザー定義関数を関数貼り付けの一覧に登録することができます。_x000d__x000a_Maximized 2" xfId="4314"/>
    <cellStyle name="oft Excel]_x000d__x000a_Comment=open=/f を指定すると、ユーザー定義関数を関数貼り付けの一覧に登録することができます。_x000d__x000a_Maximized_0925 HSCI 2PS temporary period Cost" xfId="4315"/>
    <cellStyle name="omma [0]_Mktg Prog" xfId="4316"/>
    <cellStyle name="Option_Added_Cont_Desc" xfId="4317"/>
    <cellStyle name="ormal_Sheet1_1" xfId="4318"/>
    <cellStyle name="OtherSEEntry" xfId="4319"/>
    <cellStyle name="Otsikko" xfId="4320"/>
    <cellStyle name="Otsikko i" xfId="4321"/>
    <cellStyle name="Output 2" xfId="4322"/>
    <cellStyle name="Output 3" xfId="4323"/>
    <cellStyle name="Output 4" xfId="4324"/>
    <cellStyle name="Output Amounts" xfId="4325"/>
    <cellStyle name="Output Column Headings" xfId="4326"/>
    <cellStyle name="Output Line Items" xfId="4327"/>
    <cellStyle name="Output Report Heading" xfId="4328"/>
    <cellStyle name="Output Report Title" xfId="4329"/>
    <cellStyle name="Output1_Back" xfId="4330"/>
    <cellStyle name="Output-parametri" xfId="4331"/>
    <cellStyle name="Output-parametri [00]" xfId="4332"/>
    <cellStyle name="Output-parametri i" xfId="4333"/>
    <cellStyle name="Output-rivinumero" xfId="4334"/>
    <cellStyle name="Output-tausta" xfId="4335"/>
    <cellStyle name="OverHead" xfId="4336"/>
    <cellStyle name="p" xfId="4337"/>
    <cellStyle name="p_DCF" xfId="4338"/>
    <cellStyle name="p_DCF_Balance Sheet (11-12)" xfId="4339"/>
    <cellStyle name="p_DCF_Book1" xfId="4340"/>
    <cellStyle name="p_DCF_Book1_1" xfId="4341"/>
    <cellStyle name="p_DCF_Book1_1_Balance Sheet (11-12)" xfId="4342"/>
    <cellStyle name="p_DCF_Book1_1_Depreciation" xfId="4343"/>
    <cellStyle name="p_DCF_Book1_1_RHL B S 310310_12M_tax_with cashflow" xfId="4344"/>
    <cellStyle name="p_DCF_Book1_1_RHL Balance sheet latest" xfId="4345"/>
    <cellStyle name="p_DCF_Book1_1_rhl_bs 300910_EDITED" xfId="4346"/>
    <cellStyle name="p_DCF_deferred tax testing_310310" xfId="4347"/>
    <cellStyle name="p_DCF_deferred tax testing_310310_Balance Sheet (11-12)" xfId="4348"/>
    <cellStyle name="p_DCF_deferred tax testing_310310_Depreciation" xfId="4349"/>
    <cellStyle name="p_DCF_deferred tax testing_310310_RHL B S 310310_12M_tax_latest(2)" xfId="4350"/>
    <cellStyle name="p_DCF_deferred tax testing_310310_RHL B S 310310_12M_tax_with cashflow" xfId="4351"/>
    <cellStyle name="p_DCF_deferred tax testing_310310_RHL Balance sheet latest" xfId="4352"/>
    <cellStyle name="p_DCF_deferred tax testing_310310_rhl_bs 300910_EDITED" xfId="4353"/>
    <cellStyle name="p_DCF_Depreciation" xfId="4354"/>
    <cellStyle name="p_DCF_ES061199" xfId="4355"/>
    <cellStyle name="p_DCF_ES061199_Balance Sheet (11-12)" xfId="4356"/>
    <cellStyle name="p_DCF_ES061199_Book1" xfId="4357"/>
    <cellStyle name="p_DCF_ES061199_Book1_1" xfId="4358"/>
    <cellStyle name="p_DCF_ES061199_Book1_1_Balance Sheet (11-12)" xfId="4359"/>
    <cellStyle name="p_DCF_ES061199_Book1_1_Depreciation" xfId="4360"/>
    <cellStyle name="p_DCF_ES061199_Book1_1_RHL B S 310310_12M_tax_with cashflow" xfId="4361"/>
    <cellStyle name="p_DCF_ES061199_Book1_1_RHL Balance sheet latest" xfId="4362"/>
    <cellStyle name="p_DCF_ES061199_Book1_1_rhl_bs 300910_EDITED" xfId="4363"/>
    <cellStyle name="p_DCF_ES061199_deferred tax testing_310310" xfId="4364"/>
    <cellStyle name="p_DCF_ES061199_deferred tax testing_310310_Balance Sheet (11-12)" xfId="4365"/>
    <cellStyle name="p_DCF_ES061199_deferred tax testing_310310_Depreciation" xfId="4366"/>
    <cellStyle name="p_DCF_ES061199_deferred tax testing_310310_RHL B S 310310_12M_tax_latest(2)" xfId="4367"/>
    <cellStyle name="p_DCF_ES061199_deferred tax testing_310310_RHL B S 310310_12M_tax_with cashflow" xfId="4368"/>
    <cellStyle name="p_DCF_ES061199_deferred tax testing_310310_RHL Balance sheet latest" xfId="4369"/>
    <cellStyle name="p_DCF_ES061199_deferred tax testing_310310_rhl_bs 300910_EDITED" xfId="4370"/>
    <cellStyle name="p_DCF_ES061199_Depreciation" xfId="4371"/>
    <cellStyle name="p_DCF_ES061199_RHL B S 310310_12M_tax_with cashflow" xfId="4372"/>
    <cellStyle name="p_DCF_ES061199_RHL Balance sheet latest" xfId="4373"/>
    <cellStyle name="p_DCF_ES061199_rhl_bs 300910_EDITED" xfId="4374"/>
    <cellStyle name="p_DCF_HISTFIN" xfId="4375"/>
    <cellStyle name="p_DCF_HISTFIN_Balance Sheet (11-12)" xfId="4376"/>
    <cellStyle name="p_DCF_HISTFIN_Book1" xfId="4377"/>
    <cellStyle name="p_DCF_HISTFIN_Book1_1" xfId="4378"/>
    <cellStyle name="p_DCF_HISTFIN_Book1_1_Balance Sheet (11-12)" xfId="4379"/>
    <cellStyle name="p_DCF_HISTFIN_Book1_1_Depreciation" xfId="4380"/>
    <cellStyle name="p_DCF_HISTFIN_Book1_1_RHL B S 310310_12M_tax_with cashflow" xfId="4381"/>
    <cellStyle name="p_DCF_HISTFIN_Book1_1_RHL Balance sheet latest" xfId="4382"/>
    <cellStyle name="p_DCF_HISTFIN_Book1_1_rhl_bs 300910_EDITED" xfId="4383"/>
    <cellStyle name="p_DCF_HISTFIN_deferred tax testing_310310" xfId="4384"/>
    <cellStyle name="p_DCF_HISTFIN_deferred tax testing_310310_Balance Sheet (11-12)" xfId="4385"/>
    <cellStyle name="p_DCF_HISTFIN_deferred tax testing_310310_Depreciation" xfId="4386"/>
    <cellStyle name="p_DCF_HISTFIN_deferred tax testing_310310_RHL B S 310310_12M_tax_latest(2)" xfId="4387"/>
    <cellStyle name="p_DCF_HISTFIN_deferred tax testing_310310_RHL B S 310310_12M_tax_with cashflow" xfId="4388"/>
    <cellStyle name="p_DCF_HISTFIN_deferred tax testing_310310_RHL Balance sheet latest" xfId="4389"/>
    <cellStyle name="p_DCF_HISTFIN_deferred tax testing_310310_rhl_bs 300910_EDITED" xfId="4390"/>
    <cellStyle name="p_DCF_HISTFIN_Depreciation" xfId="4391"/>
    <cellStyle name="p_DCF_HISTFIN_RHL B S 310310_12M_tax_with cashflow" xfId="4392"/>
    <cellStyle name="p_DCF_HISTFIN_RHL Balance sheet latest" xfId="4393"/>
    <cellStyle name="p_DCF_HISTFIN_rhl_bs 300910_EDITED" xfId="4394"/>
    <cellStyle name="p_DCF_JP061799" xfId="4395"/>
    <cellStyle name="p_DCF_JP061799_Balance Sheet (11-12)" xfId="4396"/>
    <cellStyle name="p_DCF_JP061799_Book1" xfId="4397"/>
    <cellStyle name="p_DCF_JP061799_Book1_1" xfId="4398"/>
    <cellStyle name="p_DCF_JP061799_Book1_1_Balance Sheet (11-12)" xfId="4399"/>
    <cellStyle name="p_DCF_JP061799_Book1_1_Depreciation" xfId="4400"/>
    <cellStyle name="p_DCF_JP061799_Book1_1_RHL B S 310310_12M_tax_with cashflow" xfId="4401"/>
    <cellStyle name="p_DCF_JP061799_Book1_1_RHL Balance sheet latest" xfId="4402"/>
    <cellStyle name="p_DCF_JP061799_Book1_1_rhl_bs 300910_EDITED" xfId="4403"/>
    <cellStyle name="p_DCF_JP061799_deferred tax testing_310310" xfId="4404"/>
    <cellStyle name="p_DCF_JP061799_deferred tax testing_310310_Balance Sheet (11-12)" xfId="4405"/>
    <cellStyle name="p_DCF_JP061799_deferred tax testing_310310_Depreciation" xfId="4406"/>
    <cellStyle name="p_DCF_JP061799_deferred tax testing_310310_RHL B S 310310_12M_tax_latest(2)" xfId="4407"/>
    <cellStyle name="p_DCF_JP061799_deferred tax testing_310310_RHL B S 310310_12M_tax_with cashflow" xfId="4408"/>
    <cellStyle name="p_DCF_JP061799_deferred tax testing_310310_RHL Balance sheet latest" xfId="4409"/>
    <cellStyle name="p_DCF_JP061799_deferred tax testing_310310_rhl_bs 300910_EDITED" xfId="4410"/>
    <cellStyle name="p_DCF_JP061799_Depreciation" xfId="4411"/>
    <cellStyle name="p_DCF_JP061799_RHL B S 310310_12M_tax_with cashflow" xfId="4412"/>
    <cellStyle name="p_DCF_JP061799_RHL Balance sheet latest" xfId="4413"/>
    <cellStyle name="p_DCF_JP061799_rhl_bs 300910_EDITED" xfId="4414"/>
    <cellStyle name="p_DCF_MODEL1" xfId="4415"/>
    <cellStyle name="p_DCF_MODEL1_Balance Sheet (11-12)" xfId="4416"/>
    <cellStyle name="p_DCF_MODEL1_Book1" xfId="4417"/>
    <cellStyle name="p_DCF_MODEL1_Book1_1" xfId="4418"/>
    <cellStyle name="p_DCF_MODEL1_Book1_1_Balance Sheet (11-12)" xfId="4419"/>
    <cellStyle name="p_DCF_MODEL1_Book1_1_Depreciation" xfId="4420"/>
    <cellStyle name="p_DCF_MODEL1_Book1_1_RHL B S 310310_12M_tax_with cashflow" xfId="4421"/>
    <cellStyle name="p_DCF_MODEL1_Book1_1_RHL Balance sheet latest" xfId="4422"/>
    <cellStyle name="p_DCF_MODEL1_Book1_1_rhl_bs 300910_EDITED" xfId="4423"/>
    <cellStyle name="p_DCF_MODEL1_deferred tax testing_310310" xfId="4424"/>
    <cellStyle name="p_DCF_MODEL1_deferred tax testing_310310_Balance Sheet (11-12)" xfId="4425"/>
    <cellStyle name="p_DCF_MODEL1_deferred tax testing_310310_Depreciation" xfId="4426"/>
    <cellStyle name="p_DCF_MODEL1_deferred tax testing_310310_RHL B S 310310_12M_tax_latest(2)" xfId="4427"/>
    <cellStyle name="p_DCF_MODEL1_deferred tax testing_310310_RHL B S 310310_12M_tax_with cashflow" xfId="4428"/>
    <cellStyle name="p_DCF_MODEL1_deferred tax testing_310310_RHL Balance sheet latest" xfId="4429"/>
    <cellStyle name="p_DCF_MODEL1_deferred tax testing_310310_rhl_bs 300910_EDITED" xfId="4430"/>
    <cellStyle name="p_DCF_MODEL1_Depreciation" xfId="4431"/>
    <cellStyle name="p_DCF_MODEL1_RHL B S 310310_12M_tax_with cashflow" xfId="4432"/>
    <cellStyle name="p_DCF_MODEL1_RHL Balance sheet latest" xfId="4433"/>
    <cellStyle name="p_DCF_MODEL1_rhl_bs 300910_EDITED" xfId="4434"/>
    <cellStyle name="p_DCF_RHL B S 310310_12M_tax_with cashflow" xfId="4435"/>
    <cellStyle name="p_DCF_RHL Balance sheet latest" xfId="4436"/>
    <cellStyle name="p_DCF_rhl_bs 300910_EDITED" xfId="4437"/>
    <cellStyle name="p_ES061199" xfId="4438"/>
    <cellStyle name="p_ES061199_Balance Sheet (11-12)" xfId="4439"/>
    <cellStyle name="p_ES061199_Book1" xfId="4440"/>
    <cellStyle name="p_ES061199_Book1_1" xfId="4441"/>
    <cellStyle name="p_ES061199_Book1_1_Balance Sheet (11-12)" xfId="4442"/>
    <cellStyle name="p_ES061199_Book1_1_Depreciation" xfId="4443"/>
    <cellStyle name="p_ES061199_Book1_1_RHL B S 310310_12M_tax_with cashflow" xfId="4444"/>
    <cellStyle name="p_ES061199_Book1_1_RHL Balance sheet latest" xfId="4445"/>
    <cellStyle name="p_ES061199_Book1_1_rhl_bs 300910_EDITED" xfId="4446"/>
    <cellStyle name="p_ES061199_deferred tax testing_310310" xfId="4447"/>
    <cellStyle name="p_ES061199_deferred tax testing_310310_Balance Sheet (11-12)" xfId="4448"/>
    <cellStyle name="p_ES061199_deferred tax testing_310310_Depreciation" xfId="4449"/>
    <cellStyle name="p_ES061199_deferred tax testing_310310_RHL B S 310310_12M_tax_latest(2)" xfId="4450"/>
    <cellStyle name="p_ES061199_deferred tax testing_310310_RHL B S 310310_12M_tax_with cashflow" xfId="4451"/>
    <cellStyle name="p_ES061199_deferred tax testing_310310_RHL Balance sheet latest" xfId="4452"/>
    <cellStyle name="p_ES061199_deferred tax testing_310310_rhl_bs 300910_EDITED" xfId="4453"/>
    <cellStyle name="p_ES061199_Depreciation" xfId="4454"/>
    <cellStyle name="p_ES061199_RHL B S 310310_12M_tax_with cashflow" xfId="4455"/>
    <cellStyle name="p_ES061199_RHL Balance sheet latest" xfId="4456"/>
    <cellStyle name="p_ES061199_rhl_bs 300910_EDITED" xfId="4457"/>
    <cellStyle name="p_HISTFIN" xfId="4458"/>
    <cellStyle name="p_JP061799" xfId="4459"/>
    <cellStyle name="p_MODEL1" xfId="4460"/>
    <cellStyle name="p_MODEL1_Balance Sheet (11-12)" xfId="4461"/>
    <cellStyle name="p_MODEL1_Book1" xfId="4462"/>
    <cellStyle name="p_MODEL1_Book1_1" xfId="4463"/>
    <cellStyle name="p_MODEL1_Book1_1_Balance Sheet (11-12)" xfId="4464"/>
    <cellStyle name="p_MODEL1_Book1_1_Depreciation" xfId="4465"/>
    <cellStyle name="p_MODEL1_Book1_1_RHL B S 310310_12M_tax_with cashflow" xfId="4466"/>
    <cellStyle name="p_MODEL1_Book1_1_RHL Balance sheet latest" xfId="4467"/>
    <cellStyle name="p_MODEL1_Book1_1_rhl_bs 300910_EDITED" xfId="4468"/>
    <cellStyle name="p_MODEL1_deferred tax testing_310310" xfId="4469"/>
    <cellStyle name="p_MODEL1_deferred tax testing_310310_Balance Sheet (11-12)" xfId="4470"/>
    <cellStyle name="p_MODEL1_deferred tax testing_310310_Depreciation" xfId="4471"/>
    <cellStyle name="p_MODEL1_deferred tax testing_310310_RHL B S 310310_12M_tax_latest(2)" xfId="4472"/>
    <cellStyle name="p_MODEL1_deferred tax testing_310310_RHL B S 310310_12M_tax_with cashflow" xfId="4473"/>
    <cellStyle name="p_MODEL1_deferred tax testing_310310_RHL Balance sheet latest" xfId="4474"/>
    <cellStyle name="p_MODEL1_deferred tax testing_310310_rhl_bs 300910_EDITED" xfId="4475"/>
    <cellStyle name="p_MODEL1_Depreciation" xfId="4476"/>
    <cellStyle name="p_MODEL1_RHL B S 310310_12M_tax_with cashflow" xfId="4477"/>
    <cellStyle name="p_MODEL1_RHL Balance sheet latest" xfId="4478"/>
    <cellStyle name="p_MODEL1_rhl_bs 300910_EDITED" xfId="4479"/>
    <cellStyle name="P1" xfId="4480"/>
    <cellStyle name="P2" xfId="4481"/>
    <cellStyle name="Page Heading" xfId="4482"/>
    <cellStyle name="Page Number" xfId="4483"/>
    <cellStyle name="paint" xfId="4484"/>
    <cellStyle name="Pattern" xfId="4485"/>
    <cellStyle name="PB Table Heading" xfId="4486"/>
    <cellStyle name="PB Table Highlight1" xfId="4487"/>
    <cellStyle name="PB Table Highlight2" xfId="4488"/>
    <cellStyle name="PB Table Highlight3" xfId="4489"/>
    <cellStyle name="PB Table Standard Row" xfId="4490"/>
    <cellStyle name="PB Table Subtotal Row" xfId="4491"/>
    <cellStyle name="PB Table Total Row" xfId="4492"/>
    <cellStyle name="per.style" xfId="4493"/>
    <cellStyle name="Perc1" xfId="4494"/>
    <cellStyle name="Percen - Style2" xfId="4495"/>
    <cellStyle name="Percent" xfId="4934" builtinId="5"/>
    <cellStyle name="Percent (0)" xfId="4496"/>
    <cellStyle name="Percent []" xfId="4497"/>
    <cellStyle name="Percent [] yht" xfId="4498"/>
    <cellStyle name="Percent [] yht i" xfId="4499"/>
    <cellStyle name="Percent []i" xfId="4500"/>
    <cellStyle name="Percent [0]" xfId="4501"/>
    <cellStyle name="Percent [00]" xfId="4502"/>
    <cellStyle name="Percent [00] yht" xfId="4503"/>
    <cellStyle name="Percent [00] yht i" xfId="4504"/>
    <cellStyle name="Percent [00]_~0193880" xfId="4505"/>
    <cellStyle name="Percent [00]i" xfId="4506"/>
    <cellStyle name="Percent [1]" xfId="4507"/>
    <cellStyle name="Percent [2]" xfId="4508"/>
    <cellStyle name="Percent [2] 10" xfId="4509"/>
    <cellStyle name="Percent [2] 11" xfId="4510"/>
    <cellStyle name="Percent [2] 11 2" xfId="4511"/>
    <cellStyle name="Percent [2] 12" xfId="4512"/>
    <cellStyle name="Percent [2] 12 2" xfId="4513"/>
    <cellStyle name="Percent [2] 13" xfId="4514"/>
    <cellStyle name="Percent [2] 13 2" xfId="4515"/>
    <cellStyle name="Percent [2] 14" xfId="4516"/>
    <cellStyle name="Percent [2] 14 2" xfId="4517"/>
    <cellStyle name="Percent [2] 15" xfId="4518"/>
    <cellStyle name="Percent [2] 15 2" xfId="4519"/>
    <cellStyle name="Percent [2] 16" xfId="4520"/>
    <cellStyle name="Percent [2] 17" xfId="4521"/>
    <cellStyle name="Percent [2] 18" xfId="4522"/>
    <cellStyle name="Percent [2] 19" xfId="4523"/>
    <cellStyle name="Percent [2] 2" xfId="4524"/>
    <cellStyle name="Percent [2] 2 2" xfId="4525"/>
    <cellStyle name="Percent [2] 2 3" xfId="4526"/>
    <cellStyle name="Percent [2] 2 4" xfId="4527"/>
    <cellStyle name="Percent [2] 20" xfId="4528"/>
    <cellStyle name="Percent [2] 21" xfId="4529"/>
    <cellStyle name="Percent [2] 22" xfId="4530"/>
    <cellStyle name="Percent [2] 23" xfId="4531"/>
    <cellStyle name="Percent [2] 24" xfId="4532"/>
    <cellStyle name="Percent [2] 25" xfId="4533"/>
    <cellStyle name="Percent [2] 26" xfId="4534"/>
    <cellStyle name="Percent [2] 27" xfId="4535"/>
    <cellStyle name="Percent [2] 28" xfId="4536"/>
    <cellStyle name="Percent [2] 29" xfId="4537"/>
    <cellStyle name="Percent [2] 3" xfId="4538"/>
    <cellStyle name="Percent [2] 3 2" xfId="4539"/>
    <cellStyle name="Percent [2] 3 3" xfId="4540"/>
    <cellStyle name="Percent [2] 3 4" xfId="4541"/>
    <cellStyle name="Percent [2] 30" xfId="4542"/>
    <cellStyle name="Percent [2] 31" xfId="4543"/>
    <cellStyle name="Percent [2] 32" xfId="4544"/>
    <cellStyle name="Percent [2] 33" xfId="4545"/>
    <cellStyle name="Percent [2] 34" xfId="4546"/>
    <cellStyle name="Percent [2] 35" xfId="4547"/>
    <cellStyle name="Percent [2] 36" xfId="4548"/>
    <cellStyle name="Percent [2] 37" xfId="4549"/>
    <cellStyle name="Percent [2] 38" xfId="4550"/>
    <cellStyle name="Percent [2] 4" xfId="4551"/>
    <cellStyle name="Percent [2] 4 2" xfId="4552"/>
    <cellStyle name="Percent [2] 4 3" xfId="4553"/>
    <cellStyle name="Percent [2] 4 4" xfId="4554"/>
    <cellStyle name="Percent [2] 5" xfId="4555"/>
    <cellStyle name="Percent [2] 5 2" xfId="4556"/>
    <cellStyle name="Percent [2] 5 3" xfId="4557"/>
    <cellStyle name="Percent [2] 5 4" xfId="4558"/>
    <cellStyle name="Percent [2] 6" xfId="4559"/>
    <cellStyle name="Percent [2] 7" xfId="4560"/>
    <cellStyle name="Percent [2] 8" xfId="4561"/>
    <cellStyle name="Percent [2] 9" xfId="4562"/>
    <cellStyle name="Percent 10" xfId="4563"/>
    <cellStyle name="Percent 11" xfId="4564"/>
    <cellStyle name="Percent 2 2" xfId="11"/>
    <cellStyle name="Percent 2 2 2" xfId="4565"/>
    <cellStyle name="Percent 2 2 3" xfId="4566"/>
    <cellStyle name="Percent 2 3" xfId="43"/>
    <cellStyle name="Percent 2 4" xfId="39"/>
    <cellStyle name="Percent 2 5" xfId="45"/>
    <cellStyle name="Percent 2 6" xfId="44"/>
    <cellStyle name="Percent 3" xfId="32"/>
    <cellStyle name="Percent 3 2" xfId="4567"/>
    <cellStyle name="Percent 4" xfId="4568"/>
    <cellStyle name="Percent 4 2" xfId="4569"/>
    <cellStyle name="Percent 5" xfId="4570"/>
    <cellStyle name="Percent 6" xfId="4571"/>
    <cellStyle name="Percent 7" xfId="4572"/>
    <cellStyle name="Percent Input" xfId="4573"/>
    <cellStyle name="Percent.,0" xfId="4574"/>
    <cellStyle name="Percent0" xfId="4575"/>
    <cellStyle name="Percent1" xfId="4576"/>
    <cellStyle name="Percent1Blue" xfId="4577"/>
    <cellStyle name="Percent2" xfId="4578"/>
    <cellStyle name="Percent2Blue" xfId="4579"/>
    <cellStyle name="PERCENTAGE" xfId="4580"/>
    <cellStyle name="PercentChange" xfId="4581"/>
    <cellStyle name="Percentuale_revised" xfId="4582"/>
    <cellStyle name="Perlong" xfId="4583"/>
    <cellStyle name="piccolo" xfId="4584"/>
    <cellStyle name="PillarData" xfId="4585"/>
    <cellStyle name="PillarHeading" xfId="4586"/>
    <cellStyle name="PillarText" xfId="4587"/>
    <cellStyle name="PillarTotal" xfId="4588"/>
    <cellStyle name="Popis" xfId="4589"/>
    <cellStyle name="Porcentaje" xfId="4590"/>
    <cellStyle name="Pound" xfId="4591"/>
    <cellStyle name="Pounds" xfId="4592"/>
    <cellStyle name="Pourcentage_pldt" xfId="4593"/>
    <cellStyle name="PourcentageN&amp;R,0" xfId="4594"/>
    <cellStyle name="Preliminary_Data" xfId="4595"/>
    <cellStyle name="PrePop Currency (0)" xfId="4596"/>
    <cellStyle name="PrePop Currency (2)" xfId="4597"/>
    <cellStyle name="PrePop Units (0)" xfId="4598"/>
    <cellStyle name="PrePop Units (1)" xfId="4599"/>
    <cellStyle name="PrePop Units (2)" xfId="4600"/>
    <cellStyle name="Price" xfId="4601"/>
    <cellStyle name="Prices_Data" xfId="4602"/>
    <cellStyle name="PriceUn" xfId="4603"/>
    <cellStyle name="pricing" xfId="4604"/>
    <cellStyle name="prin" xfId="4605"/>
    <cellStyle name="Private" xfId="4606"/>
    <cellStyle name="Private1" xfId="4607"/>
    <cellStyle name="PropGenCurrencyFormat" xfId="4608"/>
    <cellStyle name="PROTECT" xfId="4609"/>
    <cellStyle name="Provisional" xfId="4610"/>
    <cellStyle name="PSChar" xfId="4611"/>
    <cellStyle name="PSDate" xfId="4612"/>
    <cellStyle name="PSDec" xfId="4613"/>
    <cellStyle name="PSHeading" xfId="4614"/>
    <cellStyle name="PSInt" xfId="4615"/>
    <cellStyle name="PSSpacer" xfId="4616"/>
    <cellStyle name="pz lux" xfId="4617"/>
    <cellStyle name="pz lux + mec" xfId="4618"/>
    <cellStyle name="Q3" xfId="4619"/>
    <cellStyle name="Quantity" xfId="4620"/>
    <cellStyle name="r" xfId="4621"/>
    <cellStyle name="r_Accretion " xfId="4622"/>
    <cellStyle name="r_Accretion _Balance Sheet (11-12)" xfId="4623"/>
    <cellStyle name="r_Accretion _Book1" xfId="4624"/>
    <cellStyle name="r_Accretion _Book1_1" xfId="4625"/>
    <cellStyle name="r_Accretion _Book1_1_Balance Sheet (11-12)" xfId="4626"/>
    <cellStyle name="r_Accretion _Book1_1_Depreciation" xfId="4627"/>
    <cellStyle name="r_Accretion _Book1_1_RHL B S 310310_12M_tax_with cashflow" xfId="4628"/>
    <cellStyle name="r_Accretion _Book1_1_RHL Balance sheet latest" xfId="4629"/>
    <cellStyle name="r_Accretion _Book1_1_rhl_bs 300910_EDITED" xfId="4630"/>
    <cellStyle name="r_Accretion _deferred tax testing_310310" xfId="4631"/>
    <cellStyle name="r_Accretion _deferred tax testing_310310_Balance Sheet (11-12)" xfId="4632"/>
    <cellStyle name="r_Accretion _deferred tax testing_310310_Depreciation" xfId="4633"/>
    <cellStyle name="r_Accretion _deferred tax testing_310310_RHL B S 310310_12M_tax_latest(2)" xfId="4634"/>
    <cellStyle name="r_Accretion _deferred tax testing_310310_RHL B S 310310_12M_tax_with cashflow" xfId="4635"/>
    <cellStyle name="r_Accretion _deferred tax testing_310310_RHL Balance sheet latest" xfId="4636"/>
    <cellStyle name="r_Accretion _deferred tax testing_310310_rhl_bs 300910_EDITED" xfId="4637"/>
    <cellStyle name="r_Accretion _Depreciation" xfId="4638"/>
    <cellStyle name="r_Accretion _RHL B S 310310_12M_tax_with cashflow" xfId="4639"/>
    <cellStyle name="r_Accretion _RHL Balance sheet latest" xfId="4640"/>
    <cellStyle name="r_Accretion _rhl_bs 300910_EDITED" xfId="4641"/>
    <cellStyle name="r_accretion dilution" xfId="4642"/>
    <cellStyle name="r_accretion dilution_Balance Sheet (11-12)" xfId="4643"/>
    <cellStyle name="r_accretion dilution_Book1" xfId="4644"/>
    <cellStyle name="r_accretion dilution_Book1_1" xfId="4645"/>
    <cellStyle name="r_accretion dilution_Book1_1_Balance Sheet (11-12)" xfId="4646"/>
    <cellStyle name="r_accretion dilution_Book1_1_Depreciation" xfId="4647"/>
    <cellStyle name="r_accretion dilution_Book1_1_RHL B S 310310_12M_tax_with cashflow" xfId="4648"/>
    <cellStyle name="r_accretion dilution_Book1_1_RHL Balance sheet latest" xfId="4649"/>
    <cellStyle name="r_accretion dilution_Book1_1_rhl_bs 300910_EDITED" xfId="4650"/>
    <cellStyle name="r_accretion dilution_deferred tax testing_310310" xfId="4651"/>
    <cellStyle name="r_accretion dilution_deferred tax testing_310310_Balance Sheet (11-12)" xfId="4652"/>
    <cellStyle name="r_accretion dilution_deferred tax testing_310310_Depreciation" xfId="4653"/>
    <cellStyle name="r_accretion dilution_deferred tax testing_310310_RHL B S 310310_12M_tax_latest(2)" xfId="4654"/>
    <cellStyle name="r_accretion dilution_deferred tax testing_310310_RHL B S 310310_12M_tax_with cashflow" xfId="4655"/>
    <cellStyle name="r_accretion dilution_deferred tax testing_310310_RHL Balance sheet latest" xfId="4656"/>
    <cellStyle name="r_accretion dilution_deferred tax testing_310310_rhl_bs 300910_EDITED" xfId="4657"/>
    <cellStyle name="r_accretion dilution_Depreciation" xfId="4658"/>
    <cellStyle name="r_accretion dilution_RHL B S 310310_12M_tax_with cashflow" xfId="4659"/>
    <cellStyle name="r_accretion dilution_RHL Balance sheet latest" xfId="4660"/>
    <cellStyle name="r_accretion dilution_rhl_bs 300910_EDITED" xfId="4661"/>
    <cellStyle name="r_Accretion Model" xfId="4662"/>
    <cellStyle name="r_Accretion Model_Balance Sheet (11-12)" xfId="4663"/>
    <cellStyle name="r_Accretion Model_Book1" xfId="4664"/>
    <cellStyle name="r_Accretion Model_Book1_1" xfId="4665"/>
    <cellStyle name="r_Accretion Model_Book1_1_Balance Sheet (11-12)" xfId="4666"/>
    <cellStyle name="r_Accretion Model_Book1_1_Depreciation" xfId="4667"/>
    <cellStyle name="r_Accretion Model_Book1_1_RHL B S 310310_12M_tax_with cashflow" xfId="4668"/>
    <cellStyle name="r_Accretion Model_Book1_1_RHL Balance sheet latest" xfId="4669"/>
    <cellStyle name="r_Accretion Model_Book1_1_rhl_bs 300910_EDITED" xfId="4670"/>
    <cellStyle name="r_Accretion Model_deferred tax testing_310310" xfId="4671"/>
    <cellStyle name="r_Accretion Model_deferred tax testing_310310_Balance Sheet (11-12)" xfId="4672"/>
    <cellStyle name="r_Accretion Model_deferred tax testing_310310_Depreciation" xfId="4673"/>
    <cellStyle name="r_Accretion Model_deferred tax testing_310310_RHL B S 310310_12M_tax_latest(2)" xfId="4674"/>
    <cellStyle name="r_Accretion Model_deferred tax testing_310310_RHL B S 310310_12M_tax_with cashflow" xfId="4675"/>
    <cellStyle name="r_Accretion Model_deferred tax testing_310310_RHL Balance sheet latest" xfId="4676"/>
    <cellStyle name="r_Accretion Model_deferred tax testing_310310_rhl_bs 300910_EDITED" xfId="4677"/>
    <cellStyle name="r_Accretion Model_Depreciation" xfId="4678"/>
    <cellStyle name="r_Accretion Model_RHL B S 310310_12M_tax_with cashflow" xfId="4679"/>
    <cellStyle name="r_Accretion Model_RHL Balance sheet latest" xfId="4680"/>
    <cellStyle name="r_Accretion Model_rhl_bs 300910_EDITED" xfId="4681"/>
    <cellStyle name="r_Balance Sheet (11-12)" xfId="4682"/>
    <cellStyle name="r_Book1" xfId="4683"/>
    <cellStyle name="r_Book1_1" xfId="4684"/>
    <cellStyle name="r_Book1_1_Balance Sheet (11-12)" xfId="4685"/>
    <cellStyle name="r_Book1_1_Depreciation" xfId="4686"/>
    <cellStyle name="r_Book1_1_RHL B S 310310_12M_tax_with cashflow" xfId="4687"/>
    <cellStyle name="r_Book1_1_RHL Balance sheet latest" xfId="4688"/>
    <cellStyle name="r_Book1_1_rhl_bs 300910_EDITED" xfId="4689"/>
    <cellStyle name="r_C-ANALYSIS" xfId="4690"/>
    <cellStyle name="r_C-ANALYSIS_Balance Sheet (11-12)" xfId="4691"/>
    <cellStyle name="r_C-ANALYSIS_Book1" xfId="4692"/>
    <cellStyle name="r_C-ANALYSIS_Book1_1" xfId="4693"/>
    <cellStyle name="r_C-ANALYSIS_Book1_1_Balance Sheet (11-12)" xfId="4694"/>
    <cellStyle name="r_C-ANALYSIS_Book1_1_Depreciation" xfId="4695"/>
    <cellStyle name="r_C-ANALYSIS_Book1_1_RHL B S 310310_12M_tax_with cashflow" xfId="4696"/>
    <cellStyle name="r_C-ANALYSIS_Book1_1_RHL Balance sheet latest" xfId="4697"/>
    <cellStyle name="r_C-ANALYSIS_Book1_1_rhl_bs 300910_EDITED" xfId="4698"/>
    <cellStyle name="r_C-ANALYSIS_deferred tax testing_310310" xfId="4699"/>
    <cellStyle name="r_C-ANALYSIS_deferred tax testing_310310_Balance Sheet (11-12)" xfId="4700"/>
    <cellStyle name="r_C-ANALYSIS_deferred tax testing_310310_Depreciation" xfId="4701"/>
    <cellStyle name="r_C-ANALYSIS_deferred tax testing_310310_RHL B S 310310_12M_tax_latest(2)" xfId="4702"/>
    <cellStyle name="r_C-ANALYSIS_deferred tax testing_310310_RHL B S 310310_12M_tax_with cashflow" xfId="4703"/>
    <cellStyle name="r_C-ANALYSIS_deferred tax testing_310310_RHL Balance sheet latest" xfId="4704"/>
    <cellStyle name="r_C-ANALYSIS_deferred tax testing_310310_rhl_bs 300910_EDITED" xfId="4705"/>
    <cellStyle name="r_C-ANALYSIS_Depreciation" xfId="4706"/>
    <cellStyle name="r_C-ANALYSIS_RHL B S 310310_12M_tax_with cashflow" xfId="4707"/>
    <cellStyle name="r_C-ANALYSIS_RHL Balance sheet latest" xfId="4708"/>
    <cellStyle name="r_C-ANALYSIS_rhl_bs 300910_EDITED" xfId="4709"/>
    <cellStyle name="r_deferred tax testing_310310" xfId="4710"/>
    <cellStyle name="r_deferred tax testing_310310_Balance Sheet (11-12)" xfId="4711"/>
    <cellStyle name="r_deferred tax testing_310310_Depreciation" xfId="4712"/>
    <cellStyle name="r_deferred tax testing_310310_RHL B S 310310_12M_tax_latest(2)" xfId="4713"/>
    <cellStyle name="r_deferred tax testing_310310_RHL B S 310310_12M_tax_with cashflow" xfId="4714"/>
    <cellStyle name="r_deferred tax testing_310310_RHL Balance sheet latest" xfId="4715"/>
    <cellStyle name="r_deferred tax testing_310310_rhl_bs 300910_EDITED" xfId="4716"/>
    <cellStyle name="r_Depreciation" xfId="4717"/>
    <cellStyle name="r_navajo1" xfId="4718"/>
    <cellStyle name="r_navajo1_Balance Sheet (11-12)" xfId="4719"/>
    <cellStyle name="r_navajo1_Book1" xfId="4720"/>
    <cellStyle name="r_navajo1_Book1_1" xfId="4721"/>
    <cellStyle name="r_navajo1_Book1_1_Balance Sheet (11-12)" xfId="4722"/>
    <cellStyle name="r_navajo1_Book1_1_Depreciation" xfId="4723"/>
    <cellStyle name="r_navajo1_Book1_1_RHL B S 310310_12M_tax_with cashflow" xfId="4724"/>
    <cellStyle name="r_navajo1_Book1_1_RHL Balance sheet latest" xfId="4725"/>
    <cellStyle name="r_navajo1_Book1_1_rhl_bs 300910_EDITED" xfId="4726"/>
    <cellStyle name="r_navajo1_deferred tax testing_310310" xfId="4727"/>
    <cellStyle name="r_navajo1_deferred tax testing_310310_Balance Sheet (11-12)" xfId="4728"/>
    <cellStyle name="r_navajo1_deferred tax testing_310310_Depreciation" xfId="4729"/>
    <cellStyle name="r_navajo1_deferred tax testing_310310_RHL B S 310310_12M_tax_latest(2)" xfId="4730"/>
    <cellStyle name="r_navajo1_deferred tax testing_310310_RHL B S 310310_12M_tax_with cashflow" xfId="4731"/>
    <cellStyle name="r_navajo1_deferred tax testing_310310_RHL Balance sheet latest" xfId="4732"/>
    <cellStyle name="r_navajo1_deferred tax testing_310310_rhl_bs 300910_EDITED" xfId="4733"/>
    <cellStyle name="r_navajo1_Depreciation" xfId="4734"/>
    <cellStyle name="r_navajo1_RHL B S 310310_12M_tax_with cashflow" xfId="4735"/>
    <cellStyle name="r_navajo1_RHL Balance sheet latest" xfId="4736"/>
    <cellStyle name="r_navajo1_rhl_bs 300910_EDITED" xfId="4737"/>
    <cellStyle name="r_PROFORMA" xfId="4738"/>
    <cellStyle name="r_PROFORMA_Balance Sheet (11-12)" xfId="4739"/>
    <cellStyle name="r_PROFORMA_Book1" xfId="4740"/>
    <cellStyle name="r_PROFORMA_Book1_1" xfId="4741"/>
    <cellStyle name="r_PROFORMA_Book1_1_Balance Sheet (11-12)" xfId="4742"/>
    <cellStyle name="r_PROFORMA_Book1_1_Depreciation" xfId="4743"/>
    <cellStyle name="r_PROFORMA_Book1_1_RHL B S 310310_12M_tax_with cashflow" xfId="4744"/>
    <cellStyle name="r_PROFORMA_Book1_1_RHL Balance sheet latest" xfId="4745"/>
    <cellStyle name="r_PROFORMA_Book1_1_rhl_bs 300910_EDITED" xfId="4746"/>
    <cellStyle name="r_PROFORMA_deferred tax testing_310310" xfId="4747"/>
    <cellStyle name="r_PROFORMA_deferred tax testing_310310_Balance Sheet (11-12)" xfId="4748"/>
    <cellStyle name="r_PROFORMA_deferred tax testing_310310_Depreciation" xfId="4749"/>
    <cellStyle name="r_PROFORMA_deferred tax testing_310310_RHL B S 310310_12M_tax_latest(2)" xfId="4750"/>
    <cellStyle name="r_PROFORMA_deferred tax testing_310310_RHL B S 310310_12M_tax_with cashflow" xfId="4751"/>
    <cellStyle name="r_PROFORMA_deferred tax testing_310310_RHL Balance sheet latest" xfId="4752"/>
    <cellStyle name="r_PROFORMA_deferred tax testing_310310_rhl_bs 300910_EDITED" xfId="4753"/>
    <cellStyle name="r_PROFORMA_Depreciation" xfId="4754"/>
    <cellStyle name="r_PROFORMA_RHL B S 310310_12M_tax_with cashflow" xfId="4755"/>
    <cellStyle name="r_PROFORMA_RHL Balance sheet latest" xfId="4756"/>
    <cellStyle name="r_PROFORMA_rhl_bs 300910_EDITED" xfId="4757"/>
    <cellStyle name="r_RHL B S 310310_12M_tax_with cashflow" xfId="4758"/>
    <cellStyle name="r_RHL Balance sheet latest" xfId="4759"/>
    <cellStyle name="r_rhl_bs 300910_EDITED" xfId="4760"/>
    <cellStyle name="r_Trex Analysis 4-29-02_divestiture of AS" xfId="4761"/>
    <cellStyle name="r_Trex Analysis 4-29-02_divestiture of AS_Balance Sheet (11-12)" xfId="4762"/>
    <cellStyle name="r_Trex Analysis 4-29-02_divestiture of AS_Book1" xfId="4763"/>
    <cellStyle name="r_Trex Analysis 4-29-02_divestiture of AS_Book1_1" xfId="4764"/>
    <cellStyle name="r_Trex Analysis 4-29-02_divestiture of AS_Book1_1_Balance Sheet (11-12)" xfId="4765"/>
    <cellStyle name="r_Trex Analysis 4-29-02_divestiture of AS_Book1_1_Depreciation" xfId="4766"/>
    <cellStyle name="r_Trex Analysis 4-29-02_divestiture of AS_Book1_1_RHL B S 310310_12M_tax_with cashflow" xfId="4767"/>
    <cellStyle name="r_Trex Analysis 4-29-02_divestiture of AS_Book1_1_RHL Balance sheet latest" xfId="4768"/>
    <cellStyle name="r_Trex Analysis 4-29-02_divestiture of AS_Book1_1_rhl_bs 300910_EDITED" xfId="4769"/>
    <cellStyle name="r_Trex Analysis 4-29-02_divestiture of AS_deferred tax testing_310310" xfId="4770"/>
    <cellStyle name="r_Trex Analysis 4-29-02_divestiture of AS_deferred tax testing_310310_Balance Sheet (11-12)" xfId="4771"/>
    <cellStyle name="r_Trex Analysis 4-29-02_divestiture of AS_deferred tax testing_310310_Depreciation" xfId="4772"/>
    <cellStyle name="r_Trex Analysis 4-29-02_divestiture of AS_deferred tax testing_310310_RHL B S 310310_12M_tax_latest(2)" xfId="4773"/>
    <cellStyle name="r_Trex Analysis 4-29-02_divestiture of AS_deferred tax testing_310310_RHL B S 310310_12M_tax_with cashflow" xfId="4774"/>
    <cellStyle name="r_Trex Analysis 4-29-02_divestiture of AS_deferred tax testing_310310_RHL Balance sheet latest" xfId="4775"/>
    <cellStyle name="r_Trex Analysis 4-29-02_divestiture of AS_deferred tax testing_310310_rhl_bs 300910_EDITED" xfId="4776"/>
    <cellStyle name="r_Trex Analysis 4-29-02_divestiture of AS_Depreciation" xfId="4777"/>
    <cellStyle name="r_Trex Analysis 4-29-02_divestiture of AS_RHL B S 310310_12M_tax_with cashflow" xfId="4778"/>
    <cellStyle name="r_Trex Analysis 4-29-02_divestiture of AS_RHL Balance sheet latest" xfId="4779"/>
    <cellStyle name="r_Trex Analysis 4-29-02_divestiture of AS_rhl_bs 300910_EDITED" xfId="4780"/>
    <cellStyle name="RatioX" xfId="4781"/>
    <cellStyle name="Reset  - Style4" xfId="4782"/>
    <cellStyle name="Reset  - Style7" xfId="4783"/>
    <cellStyle name="Reset range style to defaults" xfId="4784"/>
    <cellStyle name="Results % 3 dp" xfId="4785"/>
    <cellStyle name="Results 3 dp" xfId="4786"/>
    <cellStyle name="RevList" xfId="4787"/>
    <cellStyle name="Right" xfId="4788"/>
    <cellStyle name="Rivinumero" xfId="4789"/>
    <cellStyle name="Riviselite" xfId="4790"/>
    <cellStyle name="Riviselite i" xfId="4791"/>
    <cellStyle name="RM" xfId="4792"/>
    <cellStyle name="Row title 1" xfId="4793"/>
    <cellStyle name="Row title 2" xfId="4794"/>
    <cellStyle name="Row total" xfId="4795"/>
    <cellStyle name="Rs" xfId="4796"/>
    <cellStyle name="RS (000)" xfId="4797"/>
    <cellStyle name="rs.ps" xfId="4798"/>
    <cellStyle name="rs.ps(000)" xfId="4799"/>
    <cellStyle name="rs.ps_Infogroup BS-Format sent by VS 101204 14 PM   Net  A3 Formatting    2" xfId="4800"/>
    <cellStyle name="rs_cash flow format" xfId="4801"/>
    <cellStyle name="Rupee" xfId="4802"/>
    <cellStyle name="Rupee (0)" xfId="4803"/>
    <cellStyle name="RupeeLac" xfId="4804"/>
    <cellStyle name="RupeeNeg" xfId="4805"/>
    <cellStyle name="SAPBEXaggData" xfId="4806"/>
    <cellStyle name="SAPBEXaggDataEmph" xfId="4807"/>
    <cellStyle name="SAPBEXaggItem" xfId="4808"/>
    <cellStyle name="SAPBEXaggItemX" xfId="4809"/>
    <cellStyle name="SAPBEXchaText" xfId="4810"/>
    <cellStyle name="SAPBEXexcBad7" xfId="4811"/>
    <cellStyle name="SAPBEXexcBad8" xfId="4812"/>
    <cellStyle name="SAPBEXexcBad9" xfId="4813"/>
    <cellStyle name="SAPBEXexcCritical4" xfId="4814"/>
    <cellStyle name="SAPBEXexcCritical5" xfId="4815"/>
    <cellStyle name="SAPBEXexcCritical6" xfId="4816"/>
    <cellStyle name="SAPBEXexcGood1" xfId="4817"/>
    <cellStyle name="SAPBEXexcGood2" xfId="4818"/>
    <cellStyle name="SAPBEXexcGood3" xfId="4819"/>
    <cellStyle name="SAPBEXfilterDrill" xfId="4820"/>
    <cellStyle name="SAPBEXfilterItem" xfId="4821"/>
    <cellStyle name="SAPBEXfilterText" xfId="4822"/>
    <cellStyle name="SAPBEXformats" xfId="4823"/>
    <cellStyle name="SAPBEXheaderItem" xfId="4824"/>
    <cellStyle name="SAPBEXheaderText" xfId="4825"/>
    <cellStyle name="SAPBEXHLevel0" xfId="4826"/>
    <cellStyle name="SAPBEXHLevel0X" xfId="4827"/>
    <cellStyle name="SAPBEXHLevel1" xfId="4828"/>
    <cellStyle name="SAPBEXHLevel1X" xfId="4829"/>
    <cellStyle name="SAPBEXHLevel2" xfId="4830"/>
    <cellStyle name="SAPBEXHLevel2X" xfId="4831"/>
    <cellStyle name="SAPBEXHLevel3" xfId="4832"/>
    <cellStyle name="SAPBEXHLevel3X" xfId="4833"/>
    <cellStyle name="SAPBEXresData" xfId="4834"/>
    <cellStyle name="SAPBEXresDataEmph" xfId="4835"/>
    <cellStyle name="SAPBEXresItem" xfId="4836"/>
    <cellStyle name="SAPBEXresItemX" xfId="4837"/>
    <cellStyle name="SAPBEXstdData" xfId="4838"/>
    <cellStyle name="SAPBEXstdDataEmph" xfId="4839"/>
    <cellStyle name="SAPBEXstdItem" xfId="4840"/>
    <cellStyle name="SAPBEXstdItemX" xfId="4841"/>
    <cellStyle name="SAPBEXtitle" xfId="4842"/>
    <cellStyle name="SAPBEXundefined" xfId="4843"/>
    <cellStyle name="SDEntry" xfId="4844"/>
    <cellStyle name="SDHeader" xfId="4845"/>
    <cellStyle name="SECategory" xfId="4846"/>
    <cellStyle name="SEEntry" xfId="4847"/>
    <cellStyle name="SEFormula" xfId="4848"/>
    <cellStyle name="SEHeader" xfId="4849"/>
    <cellStyle name="SELocked" xfId="4850"/>
    <cellStyle name="SEPEntry" xfId="4851"/>
    <cellStyle name="SPEntry" xfId="4852"/>
    <cellStyle name="SPFormula" xfId="4853"/>
    <cellStyle name="SPHeader" xfId="4854"/>
    <cellStyle name="SPLocked" xfId="4855"/>
    <cellStyle name="SRHeader" xfId="4856"/>
    <cellStyle name="Standard_Balance Sheet" xfId="4857"/>
    <cellStyle name="Style 1" xfId="4858"/>
    <cellStyle name="subhead" xfId="4859"/>
    <cellStyle name="Subtotal" xfId="4860"/>
    <cellStyle name="Text Indent A" xfId="4861"/>
    <cellStyle name="Text Indent B" xfId="4862"/>
    <cellStyle name="Text Indent C" xfId="4863"/>
    <cellStyle name="þ_x001d_ð¤_x000c_¯þ_x0014__x000d_¨þU_x0001_À_x0004_ _x0015__x000f__x0001__x0001_" xfId="4864"/>
    <cellStyle name="þ_x001d_ðK_x000c_Fý_x001b__x000d_9ýU_x0001_Ð_x0008_¦)_x0007__x0001__x0001_" xfId="4865"/>
    <cellStyle name="Virgulă_Buget 2006 draft 4.1 modificat 27 Noiembrie,concil Cami. xls" xfId="4866"/>
    <cellStyle name="Vírgula_Global P&amp;L" xfId="4867"/>
    <cellStyle name="Virgulă_MIS format 2006" xfId="4868"/>
    <cellStyle name="VN new romanNormal" xfId="4869"/>
    <cellStyle name="VN time new roman" xfId="4870"/>
    <cellStyle name="vnbo" xfId="4871"/>
    <cellStyle name="vnhead1" xfId="4872"/>
    <cellStyle name="vnhead2" xfId="4873"/>
    <cellStyle name="vnhead3" xfId="4874"/>
    <cellStyle name="vnhead4" xfId="4875"/>
    <cellStyle name="vntxt1" xfId="4876"/>
    <cellStyle name="vntxt2" xfId="4877"/>
    <cellStyle name="xuan" xfId="4878"/>
    <cellStyle name="Обычный_05-11-04" xfId="4879"/>
    <cellStyle name="Финансовый_01-03" xfId="4880"/>
    <cellStyle name=" [0.00]_ Att. 1- Cover" xfId="4881"/>
    <cellStyle name="_ Att. 1- Cover" xfId="4882"/>
    <cellStyle name="?_ Att. 1- Cover" xfId="4883"/>
    <cellStyle name="똿뗦먛귟 [0.00]_PRODUCT DETAIL Q1" xfId="4884"/>
    <cellStyle name="똿뗦먛귟_PRODUCT DETAIL Q1" xfId="4885"/>
    <cellStyle name="믅됞 [0.00]_PRODUCT DETAIL Q1" xfId="4886"/>
    <cellStyle name="믅됞_PRODUCT DETAIL Q1" xfId="4887"/>
    <cellStyle name="백분율_95" xfId="4888"/>
    <cellStyle name="뷭?_BOOKSHIP" xfId="4889"/>
    <cellStyle name="콤마 [ - 유형1" xfId="4890"/>
    <cellStyle name="콤마 [ - 유형2" xfId="4891"/>
    <cellStyle name="콤마 [ - 유형3" xfId="4892"/>
    <cellStyle name="콤마 [ - 유형4" xfId="4893"/>
    <cellStyle name="콤마 [ - 유형5" xfId="4894"/>
    <cellStyle name="콤마 [ - 유형6" xfId="4895"/>
    <cellStyle name="콤마 [ - 유형7" xfId="4896"/>
    <cellStyle name="콤마 [ - 유형8" xfId="4897"/>
    <cellStyle name="콤마 [0]_0004 MECH COST  " xfId="4898"/>
    <cellStyle name="콤마_0004 MECH COST  " xfId="4899"/>
    <cellStyle name="통화 [0]_1202" xfId="4900"/>
    <cellStyle name="통화_1202" xfId="4901"/>
    <cellStyle name="표준_(정보부문)월별인원계획" xfId="4902"/>
    <cellStyle name="一般_00Q3902REV.1" xfId="4903"/>
    <cellStyle name="千位分隔[0]_classfy" xfId="4904"/>
    <cellStyle name="千位分隔_Book2" xfId="4905"/>
    <cellStyle name="千分位[0]_00Q3902REV.1" xfId="4906"/>
    <cellStyle name="千分位_00Q3902REV.1" xfId="4907"/>
    <cellStyle name="常规_2005-04" xfId="4908"/>
    <cellStyle name="桁区切り_工費" xfId="4909"/>
    <cellStyle name="標準_工費" xfId="4910"/>
    <cellStyle name="百分比_Lowexpiry0308" xfId="4911"/>
    <cellStyle name="貨幣 [0]_00Q3902REV.1" xfId="4912"/>
    <cellStyle name="貨幣[0]_BRE" xfId="4913"/>
    <cellStyle name="貨幣_00Q3902REV.1" xfId="49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ARMENDRA\Financial%20-%20Statory\Accounts%202012-13%20(Sept)\Fixed%20Asst.%20%20Sept-13%20(11.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IV (2)"/>
      <sheetName val="ADD"/>
      <sheetName val="WIP"/>
      <sheetName val="PL"/>
      <sheetName val="PL-50-1"/>
      <sheetName val="Building"/>
      <sheetName val="B -1"/>
      <sheetName val="H.O."/>
      <sheetName val="P&amp;M -1"/>
      <sheetName val="PM -2"/>
      <sheetName val="PM -3"/>
      <sheetName val="Ins(bal=)"/>
      <sheetName val="PM-4 Mol Tank"/>
      <sheetName val="I Sp (30.6.12"/>
      <sheetName val="PM -4"/>
      <sheetName val="TB -1"/>
      <sheetName val="Veh -1"/>
      <sheetName val="Veh -2"/>
      <sheetName val="Fur -1"/>
      <sheetName val="Fur 2"/>
      <sheetName val="Off Eq-1"/>
      <sheetName val="Off Eq 2"/>
      <sheetName val="Off Eq 3"/>
      <sheetName val="Ins PL"/>
      <sheetName val="Sheet9"/>
      <sheetName val="Sheet8"/>
      <sheetName val="InsSpr-Dep"/>
      <sheetName val="Sheet7"/>
    </sheetNames>
    <sheetDataSet>
      <sheetData sheetId="0">
        <row r="16">
          <cell r="L16">
            <v>2059153.07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showGridLines="0" view="pageBreakPreview" zoomScale="90" zoomScaleSheetLayoutView="90" workbookViewId="0">
      <selection activeCell="H10" sqref="H10"/>
    </sheetView>
  </sheetViews>
  <sheetFormatPr defaultRowHeight="15"/>
  <cols>
    <col min="1" max="1" width="27.85546875" style="151" bestFit="1" customWidth="1"/>
    <col min="2" max="2" width="18.7109375" style="151" bestFit="1" customWidth="1"/>
    <col min="3" max="3" width="16.28515625" style="151" bestFit="1" customWidth="1"/>
    <col min="4" max="4" width="12.85546875" style="151" bestFit="1" customWidth="1"/>
    <col min="5" max="5" width="16.28515625" style="151" bestFit="1" customWidth="1"/>
    <col min="6" max="6" width="15.42578125" style="151" bestFit="1" customWidth="1"/>
    <col min="7" max="7" width="18.7109375" style="151" bestFit="1" customWidth="1"/>
    <col min="8" max="9" width="13.7109375" style="151" bestFit="1" customWidth="1"/>
    <col min="10" max="10" width="16.140625" style="151" bestFit="1" customWidth="1"/>
    <col min="11" max="11" width="15.42578125" style="151" bestFit="1" customWidth="1"/>
    <col min="12" max="13" width="16" style="151" bestFit="1" customWidth="1"/>
    <col min="14" max="14" width="14.140625" style="151" bestFit="1" customWidth="1"/>
    <col min="15" max="15" width="13.5703125" style="151" bestFit="1" customWidth="1"/>
    <col min="16" max="16" width="10" style="151" bestFit="1" customWidth="1"/>
    <col min="17" max="17" width="9.140625" style="151"/>
    <col min="18" max="18" width="12" style="216" bestFit="1" customWidth="1"/>
    <col min="19" max="19" width="12.7109375" style="216" bestFit="1" customWidth="1"/>
    <col min="20" max="20" width="12" style="216" bestFit="1" customWidth="1"/>
    <col min="21" max="21" width="12.7109375" style="151" bestFit="1" customWidth="1"/>
    <col min="22" max="22" width="9.140625" style="151"/>
    <col min="23" max="23" width="11" style="151" bestFit="1" customWidth="1"/>
    <col min="24" max="24" width="10" style="151" bestFit="1" customWidth="1"/>
    <col min="25" max="25" width="10.5703125" style="151" bestFit="1" customWidth="1"/>
    <col min="26" max="16384" width="9.140625" style="151"/>
  </cols>
  <sheetData>
    <row r="1" spans="1:25">
      <c r="A1" s="212" t="s">
        <v>190</v>
      </c>
    </row>
    <row r="2" spans="1:25">
      <c r="A2" s="212" t="s">
        <v>347</v>
      </c>
    </row>
    <row r="6" spans="1:25">
      <c r="A6" s="213"/>
      <c r="B6" s="289" t="s">
        <v>0</v>
      </c>
      <c r="C6" s="289"/>
      <c r="D6" s="289"/>
      <c r="E6" s="289"/>
      <c r="F6" s="289" t="s">
        <v>1</v>
      </c>
      <c r="G6" s="289"/>
      <c r="H6" s="289"/>
      <c r="I6" s="289"/>
      <c r="J6" s="289"/>
      <c r="K6" s="289"/>
      <c r="L6" s="289" t="s">
        <v>143</v>
      </c>
      <c r="M6" s="289"/>
    </row>
    <row r="7" spans="1:25" ht="45">
      <c r="A7" s="72" t="s">
        <v>2</v>
      </c>
      <c r="B7" s="217" t="s">
        <v>342</v>
      </c>
      <c r="C7" s="218" t="s">
        <v>13</v>
      </c>
      <c r="D7" s="217" t="s">
        <v>142</v>
      </c>
      <c r="E7" s="236" t="s">
        <v>346</v>
      </c>
      <c r="F7" s="217" t="s">
        <v>339</v>
      </c>
      <c r="G7" s="217" t="s">
        <v>345</v>
      </c>
      <c r="H7" s="217" t="s">
        <v>115</v>
      </c>
      <c r="I7" s="236" t="s">
        <v>3</v>
      </c>
      <c r="J7" s="237" t="s">
        <v>329</v>
      </c>
      <c r="K7" s="236" t="s">
        <v>348</v>
      </c>
      <c r="L7" s="217" t="s">
        <v>349</v>
      </c>
      <c r="M7" s="217" t="s">
        <v>340</v>
      </c>
    </row>
    <row r="8" spans="1:25">
      <c r="A8" s="70" t="s">
        <v>4</v>
      </c>
      <c r="B8" s="158">
        <v>33754942.43</v>
      </c>
      <c r="C8" s="84">
        <v>0</v>
      </c>
      <c r="D8" s="84">
        <v>0</v>
      </c>
      <c r="E8" s="107">
        <f>B8+C8-D8</f>
        <v>33754942.43</v>
      </c>
      <c r="F8" s="84">
        <v>0</v>
      </c>
      <c r="G8" s="158">
        <v>0</v>
      </c>
      <c r="H8" s="84">
        <v>0</v>
      </c>
      <c r="I8" s="107">
        <f>F8+G8+H8</f>
        <v>0</v>
      </c>
      <c r="J8" s="107">
        <v>0</v>
      </c>
      <c r="K8" s="85">
        <f>I8-J8</f>
        <v>0</v>
      </c>
      <c r="L8" s="133">
        <f>+E8-K8</f>
        <v>33754942.43</v>
      </c>
      <c r="M8" s="158">
        <f>+B8-F8</f>
        <v>33754942.43</v>
      </c>
      <c r="U8" s="216"/>
    </row>
    <row r="9" spans="1:25">
      <c r="A9" s="71" t="s">
        <v>5</v>
      </c>
      <c r="B9" s="159">
        <v>346187770.77914131</v>
      </c>
      <c r="C9" s="107">
        <f>Building!F38</f>
        <v>0</v>
      </c>
      <c r="D9" s="107">
        <v>0</v>
      </c>
      <c r="E9" s="107">
        <f>B9+C9-D9</f>
        <v>346187770.77914131</v>
      </c>
      <c r="F9" s="107">
        <v>68822191.334380701</v>
      </c>
      <c r="G9" s="159">
        <f>Building!P38-Lead!F9-Lead!H9</f>
        <v>6595588.3780771196</v>
      </c>
      <c r="H9" s="107">
        <f>Building!P44</f>
        <v>0</v>
      </c>
      <c r="I9" s="107">
        <f>F9+G9+H9</f>
        <v>75417779.712457821</v>
      </c>
      <c r="J9" s="107">
        <v>0</v>
      </c>
      <c r="K9" s="107">
        <f>I9-J9</f>
        <v>75417779.712457821</v>
      </c>
      <c r="L9" s="107">
        <f>E9-K9</f>
        <v>270769991.06668347</v>
      </c>
      <c r="M9" s="159">
        <f>+B9-F9</f>
        <v>277365579.44476062</v>
      </c>
      <c r="N9" s="219"/>
      <c r="O9" s="220"/>
      <c r="P9" s="220"/>
      <c r="U9" s="216"/>
      <c r="W9" s="216"/>
      <c r="X9" s="216"/>
      <c r="Y9" s="221"/>
    </row>
    <row r="10" spans="1:25">
      <c r="A10" s="71" t="s">
        <v>6</v>
      </c>
      <c r="B10" s="107">
        <f>1433313272.63-4741.34</f>
        <v>1433308531.2900002</v>
      </c>
      <c r="C10" s="107">
        <f>'P&amp;M'!F81</f>
        <v>0</v>
      </c>
      <c r="D10" s="107">
        <v>0</v>
      </c>
      <c r="E10" s="107">
        <f>B10+C10-D10</f>
        <v>1433308531.2900002</v>
      </c>
      <c r="F10" s="107">
        <v>282360906.48372</v>
      </c>
      <c r="G10" s="159">
        <f>+'P&amp;M'!P81-F10-H10+101028.58</f>
        <v>27386047.160641745</v>
      </c>
      <c r="H10" s="107">
        <f>'P&amp;M'!P84</f>
        <v>0</v>
      </c>
      <c r="I10" s="107">
        <f>F10+G10+H10</f>
        <v>309746953.64436173</v>
      </c>
      <c r="J10" s="107">
        <f>SUM('Insurance Spares-30.09.21'!G35:G40)+'Insurance Spares-30.09.21'!E30+'Insurance Spares-30.09.21'!E29+'Insurance Spares-30.09.21'!E27+'Insurance Spares-30.09.21'!E16+'Insurance Spares-30.09.21'!E15+'Insurance Spares-30.09.21'!E10+'Insurance Spares-30.09.21'!E6</f>
        <v>0</v>
      </c>
      <c r="K10" s="107">
        <f t="shared" ref="K10:K13" si="0">I10-J10</f>
        <v>309746953.64436173</v>
      </c>
      <c r="L10" s="107">
        <f>E10-K10</f>
        <v>1123561577.6456385</v>
      </c>
      <c r="M10" s="159">
        <f>+B10-F10</f>
        <v>1150947624.8062801</v>
      </c>
      <c r="N10" s="219"/>
      <c r="O10" s="221"/>
      <c r="P10" s="220"/>
      <c r="U10" s="216"/>
      <c r="W10" s="216"/>
      <c r="X10" s="216"/>
      <c r="Y10" s="221"/>
    </row>
    <row r="11" spans="1:25">
      <c r="A11" s="71" t="s">
        <v>7</v>
      </c>
      <c r="B11" s="159">
        <v>0</v>
      </c>
      <c r="C11" s="107">
        <f>+'Office Equipment'!F17</f>
        <v>0</v>
      </c>
      <c r="D11" s="107">
        <v>0</v>
      </c>
      <c r="E11" s="107">
        <f t="shared" ref="E11:E13" si="1">B11+C11-D11</f>
        <v>0</v>
      </c>
      <c r="F11" s="107">
        <v>0</v>
      </c>
      <c r="G11" s="159">
        <v>0</v>
      </c>
      <c r="H11" s="107"/>
      <c r="I11" s="107">
        <f t="shared" ref="I11:I13" si="2">F11+G11+H11</f>
        <v>0</v>
      </c>
      <c r="J11" s="107">
        <v>0</v>
      </c>
      <c r="K11" s="107">
        <f t="shared" si="0"/>
        <v>0</v>
      </c>
      <c r="L11" s="107">
        <f t="shared" ref="L11:L13" si="3">E11-K11</f>
        <v>0</v>
      </c>
      <c r="M11" s="159">
        <v>0</v>
      </c>
      <c r="U11" s="216"/>
      <c r="W11" s="216"/>
      <c r="X11" s="216"/>
      <c r="Y11" s="221"/>
    </row>
    <row r="12" spans="1:25">
      <c r="A12" s="71" t="s">
        <v>8</v>
      </c>
      <c r="B12" s="159">
        <v>956940.98475384328</v>
      </c>
      <c r="C12" s="107">
        <f>+'Office Equipment'!F18</f>
        <v>0</v>
      </c>
      <c r="D12" s="107">
        <v>0</v>
      </c>
      <c r="E12" s="107">
        <f t="shared" si="1"/>
        <v>956940.98475384328</v>
      </c>
      <c r="F12" s="107">
        <v>930362.80659629393</v>
      </c>
      <c r="G12" s="159">
        <f>+'Office Equipment'!P18-F12-H12</f>
        <v>-33580.975189731922</v>
      </c>
      <c r="H12" s="107">
        <f>'Office Equipment'!P20</f>
        <v>0</v>
      </c>
      <c r="I12" s="107">
        <f t="shared" si="2"/>
        <v>896781.83140656201</v>
      </c>
      <c r="J12" s="107">
        <v>0</v>
      </c>
      <c r="K12" s="107">
        <f t="shared" si="0"/>
        <v>896781.83140656201</v>
      </c>
      <c r="L12" s="107">
        <f t="shared" si="3"/>
        <v>60159.153347281273</v>
      </c>
      <c r="M12" s="159">
        <f>+B12-F12</f>
        <v>26578.178157549351</v>
      </c>
      <c r="N12" s="219"/>
      <c r="O12" s="220"/>
      <c r="P12" s="220"/>
      <c r="U12" s="216"/>
      <c r="W12" s="216"/>
      <c r="X12" s="216"/>
      <c r="Y12" s="221"/>
    </row>
    <row r="13" spans="1:25">
      <c r="A13" s="71" t="s">
        <v>9</v>
      </c>
      <c r="B13" s="159">
        <v>2769006.5674362862</v>
      </c>
      <c r="C13" s="107">
        <f>+'Furniture &amp; Fixture'!F16</f>
        <v>0</v>
      </c>
      <c r="D13" s="107">
        <v>0</v>
      </c>
      <c r="E13" s="107">
        <f t="shared" si="1"/>
        <v>2769006.5674362862</v>
      </c>
      <c r="F13" s="107">
        <v>1240189.0791496406</v>
      </c>
      <c r="G13" s="159">
        <f>+'Furniture &amp; Fixture'!P16-F13-H13</f>
        <v>131888.16212295811</v>
      </c>
      <c r="H13" s="107">
        <f>'Furniture &amp; Fixture'!P19</f>
        <v>0</v>
      </c>
      <c r="I13" s="107">
        <f t="shared" si="2"/>
        <v>1372077.2412725987</v>
      </c>
      <c r="J13" s="107">
        <v>0</v>
      </c>
      <c r="K13" s="107">
        <f t="shared" si="0"/>
        <v>1372077.2412725987</v>
      </c>
      <c r="L13" s="107">
        <f t="shared" si="3"/>
        <v>1396929.3261636875</v>
      </c>
      <c r="M13" s="159">
        <f>+B13-F13</f>
        <v>1528817.4882866456</v>
      </c>
      <c r="N13" s="219"/>
      <c r="O13" s="220"/>
      <c r="P13" s="220"/>
      <c r="U13" s="216"/>
      <c r="W13" s="216"/>
      <c r="X13" s="216"/>
      <c r="Y13" s="221"/>
    </row>
    <row r="14" spans="1:25">
      <c r="A14" s="71"/>
      <c r="B14" s="159"/>
      <c r="C14" s="107"/>
      <c r="D14" s="107"/>
      <c r="E14" s="107"/>
      <c r="F14" s="107"/>
      <c r="G14" s="159"/>
      <c r="H14" s="107"/>
      <c r="I14" s="107"/>
      <c r="J14" s="107"/>
      <c r="K14" s="107"/>
      <c r="L14" s="107"/>
      <c r="M14" s="159"/>
      <c r="P14" s="220"/>
    </row>
    <row r="15" spans="1:25">
      <c r="A15" s="222" t="s">
        <v>10</v>
      </c>
      <c r="B15" s="223">
        <f t="shared" ref="B15:M15" si="4">SUM(B8:B13)</f>
        <v>1816977192.0513315</v>
      </c>
      <c r="C15" s="224">
        <f t="shared" si="4"/>
        <v>0</v>
      </c>
      <c r="D15" s="224">
        <f t="shared" si="4"/>
        <v>0</v>
      </c>
      <c r="E15" s="224">
        <f t="shared" si="4"/>
        <v>1816977192.0513315</v>
      </c>
      <c r="F15" s="224">
        <f>SUM(F8:F13)</f>
        <v>353353649.70384663</v>
      </c>
      <c r="G15" s="223">
        <f>SUM(G8:G13)</f>
        <v>34079942.725652091</v>
      </c>
      <c r="H15" s="224">
        <f t="shared" si="4"/>
        <v>0</v>
      </c>
      <c r="I15" s="224">
        <f>SUM(I8:I13)</f>
        <v>387433592.42949873</v>
      </c>
      <c r="J15" s="224">
        <f t="shared" si="4"/>
        <v>0</v>
      </c>
      <c r="K15" s="224">
        <f>SUM(K8:K13)</f>
        <v>387433592.42949873</v>
      </c>
      <c r="L15" s="224">
        <f t="shared" si="4"/>
        <v>1429543599.6218331</v>
      </c>
      <c r="M15" s="223">
        <f t="shared" si="4"/>
        <v>1463623542.3474851</v>
      </c>
      <c r="N15" s="220"/>
    </row>
    <row r="16" spans="1:25">
      <c r="A16" s="225" t="s">
        <v>11</v>
      </c>
      <c r="B16" s="226"/>
      <c r="C16" s="227"/>
      <c r="D16" s="227"/>
      <c r="E16" s="227"/>
      <c r="F16" s="227"/>
      <c r="G16" s="226"/>
      <c r="H16" s="227"/>
      <c r="I16" s="227"/>
      <c r="J16" s="227"/>
      <c r="K16" s="227"/>
      <c r="L16" s="227"/>
      <c r="M16" s="226"/>
    </row>
    <row r="17" spans="1:14">
      <c r="A17" s="72" t="s">
        <v>12</v>
      </c>
      <c r="B17" s="228">
        <f>B15-B16</f>
        <v>1816977192.0513315</v>
      </c>
      <c r="C17" s="229">
        <f t="shared" ref="C17:M17" si="5">C15-C16</f>
        <v>0</v>
      </c>
      <c r="D17" s="229">
        <f t="shared" si="5"/>
        <v>0</v>
      </c>
      <c r="E17" s="229">
        <f t="shared" si="5"/>
        <v>1816977192.0513315</v>
      </c>
      <c r="F17" s="229">
        <f t="shared" si="5"/>
        <v>353353649.70384663</v>
      </c>
      <c r="G17" s="228">
        <f>G15-G16</f>
        <v>34079942.725652091</v>
      </c>
      <c r="H17" s="229">
        <f>H15-H16</f>
        <v>0</v>
      </c>
      <c r="I17" s="229">
        <f>I15-I16</f>
        <v>387433592.42949873</v>
      </c>
      <c r="J17" s="229">
        <f t="shared" si="5"/>
        <v>0</v>
      </c>
      <c r="K17" s="229">
        <f t="shared" si="5"/>
        <v>387433592.42949873</v>
      </c>
      <c r="L17" s="229">
        <f t="shared" si="5"/>
        <v>1429543599.6218331</v>
      </c>
      <c r="M17" s="228">
        <f t="shared" si="5"/>
        <v>1463623542.3474851</v>
      </c>
    </row>
    <row r="18" spans="1:14" ht="15.75" thickBot="1">
      <c r="B18" s="214"/>
      <c r="D18" s="220"/>
      <c r="E18" s="220"/>
      <c r="F18" s="220"/>
      <c r="G18" s="220"/>
      <c r="H18" s="220"/>
      <c r="K18" s="230"/>
    </row>
    <row r="19" spans="1:14" ht="16.5" thickTop="1">
      <c r="B19" s="220"/>
      <c r="D19" s="219"/>
      <c r="E19" s="143"/>
      <c r="F19" s="220"/>
      <c r="G19" s="215"/>
      <c r="H19" s="220"/>
      <c r="J19" s="221"/>
      <c r="K19" s="241"/>
      <c r="L19" s="220"/>
      <c r="M19" s="231"/>
    </row>
    <row r="20" spans="1:14">
      <c r="B20" s="220"/>
      <c r="C20" s="219"/>
      <c r="E20" s="220"/>
      <c r="G20" s="219"/>
      <c r="K20" s="232">
        <v>18528527.998273</v>
      </c>
    </row>
    <row r="21" spans="1:14">
      <c r="B21" s="232"/>
      <c r="G21" s="220"/>
      <c r="J21" s="151" t="s">
        <v>192</v>
      </c>
      <c r="K21" s="219">
        <v>15785324.52</v>
      </c>
    </row>
    <row r="22" spans="1:14">
      <c r="B22" s="232"/>
      <c r="F22" s="221"/>
      <c r="G22" s="220"/>
      <c r="J22" s="151" t="s">
        <v>193</v>
      </c>
      <c r="K22" s="220">
        <f>15961858.07-1998.45</f>
        <v>15959859.620000001</v>
      </c>
    </row>
    <row r="23" spans="1:14">
      <c r="B23" s="232"/>
      <c r="J23" s="151" t="s">
        <v>260</v>
      </c>
      <c r="K23" s="220">
        <v>15977609.016307987</v>
      </c>
    </row>
    <row r="24" spans="1:14">
      <c r="B24" s="232"/>
      <c r="J24" s="151" t="s">
        <v>277</v>
      </c>
      <c r="K24" s="220">
        <v>15640356.491480466</v>
      </c>
      <c r="M24" s="220"/>
    </row>
    <row r="25" spans="1:14">
      <c r="B25" s="232"/>
      <c r="J25" s="151" t="s">
        <v>280</v>
      </c>
      <c r="K25" s="220">
        <v>15771690.023286637</v>
      </c>
    </row>
    <row r="26" spans="1:14">
      <c r="B26" s="232"/>
      <c r="J26" s="151" t="s">
        <v>284</v>
      </c>
      <c r="K26" s="220">
        <v>15968650.012704879</v>
      </c>
      <c r="M26" s="220"/>
    </row>
    <row r="27" spans="1:14">
      <c r="J27" s="151" t="s">
        <v>285</v>
      </c>
      <c r="K27" s="232">
        <v>15966928.359999999</v>
      </c>
      <c r="L27" s="232"/>
    </row>
    <row r="28" spans="1:14">
      <c r="J28" s="151" t="s">
        <v>287</v>
      </c>
      <c r="K28" s="220">
        <v>16046992.133033469</v>
      </c>
      <c r="L28" s="220"/>
      <c r="M28" s="220"/>
      <c r="N28" s="233"/>
    </row>
    <row r="29" spans="1:14">
      <c r="J29" s="151" t="s">
        <v>288</v>
      </c>
      <c r="K29" s="220">
        <v>16089457.91</v>
      </c>
      <c r="L29" s="220"/>
      <c r="M29" s="220"/>
      <c r="N29" s="220"/>
    </row>
    <row r="30" spans="1:14">
      <c r="J30" s="151" t="s">
        <v>289</v>
      </c>
      <c r="K30" s="220">
        <v>18793652.859999999</v>
      </c>
      <c r="M30" s="220"/>
    </row>
    <row r="31" spans="1:14">
      <c r="I31" s="220"/>
      <c r="J31" s="151" t="s">
        <v>297</v>
      </c>
      <c r="K31" s="220">
        <v>16513341.67</v>
      </c>
      <c r="L31" s="220"/>
      <c r="N31" s="220"/>
    </row>
    <row r="32" spans="1:14">
      <c r="I32" s="220"/>
      <c r="J32" s="151" t="s">
        <v>298</v>
      </c>
      <c r="K32" s="220">
        <v>20159171.539999999</v>
      </c>
      <c r="L32" s="220"/>
      <c r="M32" s="220"/>
    </row>
    <row r="33" spans="10:13">
      <c r="J33" s="151" t="s">
        <v>299</v>
      </c>
      <c r="K33" s="220">
        <v>17156710.98</v>
      </c>
      <c r="M33" s="233"/>
    </row>
    <row r="34" spans="10:13" ht="15.75">
      <c r="J34" s="151" t="s">
        <v>300</v>
      </c>
      <c r="K34" s="219">
        <v>16895071.663580328</v>
      </c>
      <c r="L34" s="143"/>
      <c r="M34" s="220"/>
    </row>
    <row r="35" spans="10:13">
      <c r="J35" s="151" t="s">
        <v>301</v>
      </c>
      <c r="K35" s="220">
        <v>16863279.082749546</v>
      </c>
      <c r="L35" s="234"/>
      <c r="M35" s="220"/>
    </row>
    <row r="36" spans="10:13">
      <c r="J36" s="151" t="s">
        <v>328</v>
      </c>
      <c r="K36" s="219">
        <v>17183841.478451371</v>
      </c>
      <c r="L36" s="235"/>
      <c r="M36" s="220"/>
    </row>
    <row r="37" spans="10:13">
      <c r="J37" s="151" t="s">
        <v>330</v>
      </c>
      <c r="K37" s="238">
        <v>16983099.797996104</v>
      </c>
      <c r="L37" s="220"/>
    </row>
    <row r="38" spans="10:13">
      <c r="J38" s="151" t="s">
        <v>332</v>
      </c>
      <c r="K38" s="220">
        <v>17169727</v>
      </c>
    </row>
    <row r="39" spans="10:13">
      <c r="J39" s="151" t="s">
        <v>333</v>
      </c>
      <c r="K39" s="220">
        <v>17115980.395198822</v>
      </c>
      <c r="L39" s="220"/>
    </row>
    <row r="40" spans="10:13">
      <c r="J40" s="151" t="s">
        <v>336</v>
      </c>
      <c r="K40" s="220">
        <v>16784548.481574237</v>
      </c>
      <c r="L40" s="220"/>
    </row>
    <row r="41" spans="10:13">
      <c r="J41" s="151" t="s">
        <v>338</v>
      </c>
      <c r="K41" s="220">
        <v>16889021.598965824</v>
      </c>
      <c r="L41" s="220"/>
    </row>
    <row r="42" spans="10:13">
      <c r="J42" s="151" t="s">
        <v>343</v>
      </c>
      <c r="K42" s="220">
        <f>K15-SUM(K20:K41)</f>
        <v>17190749.795896113</v>
      </c>
      <c r="L42" s="220"/>
      <c r="M42" s="220"/>
    </row>
    <row r="43" spans="10:13">
      <c r="L43" s="220"/>
      <c r="M43" s="220"/>
    </row>
    <row r="44" spans="10:13">
      <c r="M44" s="220"/>
    </row>
  </sheetData>
  <mergeCells count="3">
    <mergeCell ref="B6:E6"/>
    <mergeCell ref="F6:K6"/>
    <mergeCell ref="L6:M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B75"/>
  <sheetViews>
    <sheetView zoomScale="90" zoomScaleNormal="90" workbookViewId="0">
      <selection activeCell="C5" sqref="C5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4" width="9.28515625" style="68" customWidth="1"/>
    <col min="5" max="5" width="12" style="68" bestFit="1" customWidth="1"/>
    <col min="6" max="6" width="9.28515625" style="68" customWidth="1"/>
    <col min="7" max="7" width="12.140625" style="68" customWidth="1"/>
    <col min="8" max="8" width="9.28515625" style="68" customWidth="1"/>
    <col min="9" max="9" width="11.5703125" style="68" bestFit="1" customWidth="1"/>
    <col min="10" max="10" width="9.28515625" style="68" customWidth="1"/>
    <col min="11" max="11" width="10.5703125" style="68" bestFit="1" customWidth="1"/>
    <col min="12" max="12" width="9.28515625" style="68" bestFit="1" customWidth="1"/>
    <col min="13" max="13" width="12.140625" style="68" bestFit="1" customWidth="1"/>
    <col min="14" max="14" width="26.7109375" style="68" customWidth="1"/>
    <col min="15" max="15" width="26" style="68" bestFit="1" customWidth="1"/>
    <col min="16" max="16" width="20" style="68" bestFit="1" customWidth="1"/>
    <col min="17" max="17" width="15.85546875" style="68" customWidth="1"/>
    <col min="18" max="18" width="17.42578125" style="68" customWidth="1"/>
    <col min="19" max="19" width="26" style="68" bestFit="1" customWidth="1"/>
    <col min="20" max="20" width="15.85546875" style="68" customWidth="1"/>
    <col min="21" max="21" width="18.28515625" style="68" bestFit="1" customWidth="1"/>
    <col min="22" max="22" width="14.85546875" style="68" bestFit="1" customWidth="1"/>
    <col min="23" max="23" width="20.85546875" style="68" bestFit="1" customWidth="1"/>
    <col min="24" max="24" width="31.140625" style="68" bestFit="1" customWidth="1"/>
    <col min="25" max="25" width="11.5703125" style="68" bestFit="1" customWidth="1"/>
    <col min="26" max="26" width="11" style="68" bestFit="1" customWidth="1"/>
    <col min="27" max="27" width="10" style="68" bestFit="1" customWidth="1"/>
    <col min="28" max="16384" width="9.140625" style="68"/>
  </cols>
  <sheetData>
    <row r="1" spans="2:24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24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24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</row>
    <row r="4" spans="2:24">
      <c r="B4" s="112" t="s">
        <v>200</v>
      </c>
      <c r="C4" s="113" t="s">
        <v>15</v>
      </c>
      <c r="D4" s="292" t="s">
        <v>201</v>
      </c>
      <c r="E4" s="292"/>
      <c r="F4" s="292" t="s">
        <v>202</v>
      </c>
      <c r="G4" s="292"/>
      <c r="H4" s="292" t="s">
        <v>203</v>
      </c>
      <c r="I4" s="292"/>
      <c r="J4" s="292" t="s">
        <v>204</v>
      </c>
      <c r="K4" s="292"/>
      <c r="L4" s="292" t="s">
        <v>205</v>
      </c>
      <c r="M4" s="293"/>
      <c r="P4" s="83">
        <v>42353</v>
      </c>
      <c r="S4" s="126">
        <v>44469</v>
      </c>
      <c r="T4" s="126"/>
    </row>
    <row r="5" spans="2:24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21" t="s">
        <v>255</v>
      </c>
      <c r="O5" s="68" t="s">
        <v>258</v>
      </c>
      <c r="P5" s="68" t="s">
        <v>256</v>
      </c>
      <c r="Q5" s="68" t="s">
        <v>259</v>
      </c>
      <c r="R5" s="68" t="s">
        <v>257</v>
      </c>
      <c r="S5" s="68" t="s">
        <v>256</v>
      </c>
      <c r="T5" s="68" t="s">
        <v>259</v>
      </c>
      <c r="U5" s="96" t="s">
        <v>21</v>
      </c>
      <c r="V5" s="96" t="s">
        <v>67</v>
      </c>
      <c r="W5" s="96" t="s">
        <v>66</v>
      </c>
      <c r="X5" s="96" t="s">
        <v>150</v>
      </c>
    </row>
    <row r="6" spans="2:24" ht="13.5">
      <c r="B6" s="173" t="s">
        <v>261</v>
      </c>
      <c r="C6" s="173" t="s">
        <v>262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f>D6</f>
        <v>0</v>
      </c>
      <c r="K6" s="174">
        <f>E6</f>
        <v>0</v>
      </c>
      <c r="L6" s="174">
        <f>D6+F6-H6-J6</f>
        <v>0</v>
      </c>
      <c r="M6" s="175">
        <f>E6+G6-I6-K6</f>
        <v>0</v>
      </c>
      <c r="N6" s="174">
        <v>25</v>
      </c>
      <c r="O6" s="176">
        <v>42726</v>
      </c>
      <c r="P6" s="177">
        <f>O6-$P$4+1</f>
        <v>374</v>
      </c>
      <c r="Q6" s="177">
        <f>P6/365</f>
        <v>1.0246575342465754</v>
      </c>
      <c r="R6" s="177">
        <f>N6-Q6</f>
        <v>23.975342465753425</v>
      </c>
      <c r="S6" s="177">
        <f>$S$4-O6+1</f>
        <v>1744</v>
      </c>
      <c r="T6" s="177">
        <f>S6/365</f>
        <v>4.7780821917808218</v>
      </c>
      <c r="U6" s="177">
        <f>+M6*5%</f>
        <v>0</v>
      </c>
      <c r="V6" s="177">
        <f>+M6-U6</f>
        <v>0</v>
      </c>
      <c r="W6" s="177">
        <f>T6/R6*V6</f>
        <v>0</v>
      </c>
      <c r="X6" s="177">
        <f>+M6-W6</f>
        <v>0</v>
      </c>
    </row>
    <row r="7" spans="2:24" ht="13.5">
      <c r="B7" s="127" t="s">
        <v>263</v>
      </c>
      <c r="C7" s="127" t="s">
        <v>264</v>
      </c>
      <c r="D7" s="122">
        <v>1</v>
      </c>
      <c r="E7" s="122">
        <v>4220.8999999999996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f t="shared" ref="L7:M33" si="0">D7+F7-H7-J7</f>
        <v>1</v>
      </c>
      <c r="M7" s="130">
        <f t="shared" si="0"/>
        <v>4220.8999999999996</v>
      </c>
      <c r="N7" s="128">
        <v>25</v>
      </c>
      <c r="O7" s="129">
        <v>42726</v>
      </c>
      <c r="P7" s="128">
        <f t="shared" ref="P7:P33" si="1">O7-$P$4+1</f>
        <v>374</v>
      </c>
      <c r="Q7" s="128">
        <f t="shared" ref="Q7:Q33" si="2">P7/365</f>
        <v>1.0246575342465754</v>
      </c>
      <c r="R7" s="128">
        <f t="shared" ref="R7:R33" si="3">N7-Q7</f>
        <v>23.975342465753425</v>
      </c>
      <c r="S7" s="128">
        <f t="shared" ref="S7:S33" si="4">$S$4-O7+1</f>
        <v>1744</v>
      </c>
      <c r="T7" s="128">
        <f t="shared" ref="T7:T33" si="5">S7/365</f>
        <v>4.7780821917808218</v>
      </c>
      <c r="U7" s="128">
        <f t="shared" ref="U7:U33" si="6">+M7*5%</f>
        <v>211.04499999999999</v>
      </c>
      <c r="V7" s="128">
        <f t="shared" ref="V7:V33" si="7">+M7-U7</f>
        <v>4009.8549999999996</v>
      </c>
      <c r="W7" s="128">
        <f t="shared" ref="W7:W33" si="8">T7/R7*V7</f>
        <v>799.13005599360065</v>
      </c>
      <c r="X7" s="128">
        <f t="shared" ref="X7:X33" si="9">+M7-W7</f>
        <v>3421.7699440063989</v>
      </c>
    </row>
    <row r="8" spans="2:24" ht="13.5">
      <c r="B8" s="127" t="s">
        <v>265</v>
      </c>
      <c r="C8" s="127" t="s">
        <v>266</v>
      </c>
      <c r="D8" s="122">
        <v>1</v>
      </c>
      <c r="E8" s="122">
        <v>27479.59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f t="shared" si="0"/>
        <v>1</v>
      </c>
      <c r="M8" s="130">
        <f t="shared" si="0"/>
        <v>27479.59</v>
      </c>
      <c r="N8" s="128">
        <v>25</v>
      </c>
      <c r="O8" s="129">
        <v>42726</v>
      </c>
      <c r="P8" s="128">
        <f t="shared" si="1"/>
        <v>374</v>
      </c>
      <c r="Q8" s="128">
        <f t="shared" si="2"/>
        <v>1.0246575342465754</v>
      </c>
      <c r="R8" s="128">
        <f t="shared" si="3"/>
        <v>23.975342465753425</v>
      </c>
      <c r="S8" s="128">
        <f t="shared" si="4"/>
        <v>1744</v>
      </c>
      <c r="T8" s="128">
        <f t="shared" si="5"/>
        <v>4.7780821917808218</v>
      </c>
      <c r="U8" s="128">
        <f t="shared" si="6"/>
        <v>1373.9795000000001</v>
      </c>
      <c r="V8" s="128">
        <f t="shared" si="7"/>
        <v>26105.610499999999</v>
      </c>
      <c r="W8" s="128">
        <f t="shared" si="8"/>
        <v>5202.6265240543935</v>
      </c>
      <c r="X8" s="128">
        <f t="shared" si="9"/>
        <v>22276.963475945606</v>
      </c>
    </row>
    <row r="9" spans="2:24" ht="13.5">
      <c r="B9" s="127" t="s">
        <v>267</v>
      </c>
      <c r="C9" s="127" t="s">
        <v>268</v>
      </c>
      <c r="D9" s="122">
        <v>1</v>
      </c>
      <c r="E9" s="122">
        <v>272728.26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f t="shared" si="0"/>
        <v>1</v>
      </c>
      <c r="M9" s="130">
        <f t="shared" si="0"/>
        <v>272728.26</v>
      </c>
      <c r="N9" s="128">
        <v>25</v>
      </c>
      <c r="O9" s="129">
        <v>42726</v>
      </c>
      <c r="P9" s="128">
        <f t="shared" si="1"/>
        <v>374</v>
      </c>
      <c r="Q9" s="128">
        <f t="shared" si="2"/>
        <v>1.0246575342465754</v>
      </c>
      <c r="R9" s="128">
        <f t="shared" si="3"/>
        <v>23.975342465753425</v>
      </c>
      <c r="S9" s="128">
        <f t="shared" si="4"/>
        <v>1744</v>
      </c>
      <c r="T9" s="128">
        <f t="shared" si="5"/>
        <v>4.7780821917808218</v>
      </c>
      <c r="U9" s="128">
        <f t="shared" si="6"/>
        <v>13636.413</v>
      </c>
      <c r="V9" s="128">
        <f t="shared" si="7"/>
        <v>259091.84700000001</v>
      </c>
      <c r="W9" s="128">
        <f t="shared" si="8"/>
        <v>51634.805298594452</v>
      </c>
      <c r="X9" s="128">
        <f t="shared" si="9"/>
        <v>221093.45470140554</v>
      </c>
    </row>
    <row r="10" spans="2:24" ht="13.5">
      <c r="B10" s="173" t="s">
        <v>269</v>
      </c>
      <c r="C10" s="173" t="s">
        <v>270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f>D10</f>
        <v>0</v>
      </c>
      <c r="K10" s="174">
        <f>E10</f>
        <v>0</v>
      </c>
      <c r="L10" s="174">
        <f t="shared" si="0"/>
        <v>0</v>
      </c>
      <c r="M10" s="175">
        <f t="shared" si="0"/>
        <v>0</v>
      </c>
      <c r="N10" s="177">
        <v>25</v>
      </c>
      <c r="O10" s="176">
        <v>42726</v>
      </c>
      <c r="P10" s="177">
        <f>O10-$P$4+1</f>
        <v>374</v>
      </c>
      <c r="Q10" s="177">
        <f t="shared" si="2"/>
        <v>1.0246575342465754</v>
      </c>
      <c r="R10" s="177">
        <f t="shared" si="3"/>
        <v>23.975342465753425</v>
      </c>
      <c r="S10" s="177">
        <f t="shared" si="4"/>
        <v>1744</v>
      </c>
      <c r="T10" s="177">
        <f t="shared" si="5"/>
        <v>4.7780821917808218</v>
      </c>
      <c r="U10" s="177">
        <f t="shared" si="6"/>
        <v>0</v>
      </c>
      <c r="V10" s="177">
        <f t="shared" si="7"/>
        <v>0</v>
      </c>
      <c r="W10" s="177">
        <f t="shared" si="8"/>
        <v>0</v>
      </c>
      <c r="X10" s="177">
        <f t="shared" si="9"/>
        <v>0</v>
      </c>
    </row>
    <row r="11" spans="2:24" ht="13.5">
      <c r="B11" s="127" t="s">
        <v>271</v>
      </c>
      <c r="C11" s="127" t="s">
        <v>272</v>
      </c>
      <c r="D11" s="122">
        <v>1</v>
      </c>
      <c r="E11" s="122">
        <v>171957.58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f t="shared" si="0"/>
        <v>1</v>
      </c>
      <c r="M11" s="130">
        <f t="shared" si="0"/>
        <v>171957.58</v>
      </c>
      <c r="N11" s="128">
        <v>25</v>
      </c>
      <c r="O11" s="129">
        <v>42726</v>
      </c>
      <c r="P11" s="128">
        <f t="shared" si="1"/>
        <v>374</v>
      </c>
      <c r="Q11" s="128">
        <f t="shared" si="2"/>
        <v>1.0246575342465754</v>
      </c>
      <c r="R11" s="128">
        <f t="shared" si="3"/>
        <v>23.975342465753425</v>
      </c>
      <c r="S11" s="128">
        <f t="shared" si="4"/>
        <v>1744</v>
      </c>
      <c r="T11" s="128">
        <f t="shared" si="5"/>
        <v>4.7780821917808218</v>
      </c>
      <c r="U11" s="128">
        <f t="shared" si="6"/>
        <v>8597.878999999999</v>
      </c>
      <c r="V11" s="128">
        <f t="shared" si="7"/>
        <v>163359.701</v>
      </c>
      <c r="W11" s="128">
        <f t="shared" si="8"/>
        <v>32556.201410581649</v>
      </c>
      <c r="X11" s="128">
        <f t="shared" si="9"/>
        <v>139401.37858941834</v>
      </c>
    </row>
    <row r="12" spans="2:24" ht="13.5">
      <c r="B12" s="127" t="s">
        <v>273</v>
      </c>
      <c r="C12" s="127" t="s">
        <v>274</v>
      </c>
      <c r="D12" s="122">
        <v>1</v>
      </c>
      <c r="E12" s="122">
        <v>492069.99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f t="shared" si="0"/>
        <v>1</v>
      </c>
      <c r="M12" s="130">
        <f t="shared" si="0"/>
        <v>492069.99</v>
      </c>
      <c r="N12" s="128">
        <v>25</v>
      </c>
      <c r="O12" s="129">
        <v>42726</v>
      </c>
      <c r="P12" s="128">
        <f t="shared" si="1"/>
        <v>374</v>
      </c>
      <c r="Q12" s="128">
        <f t="shared" si="2"/>
        <v>1.0246575342465754</v>
      </c>
      <c r="R12" s="128">
        <f t="shared" si="3"/>
        <v>23.975342465753425</v>
      </c>
      <c r="S12" s="128">
        <f t="shared" si="4"/>
        <v>1744</v>
      </c>
      <c r="T12" s="128">
        <f t="shared" si="5"/>
        <v>4.7780821917808218</v>
      </c>
      <c r="U12" s="128">
        <f t="shared" si="6"/>
        <v>24603.499500000002</v>
      </c>
      <c r="V12" s="128">
        <f t="shared" si="7"/>
        <v>467466.49050000001</v>
      </c>
      <c r="W12" s="128">
        <f t="shared" si="8"/>
        <v>93162.102551936929</v>
      </c>
      <c r="X12" s="128">
        <f t="shared" si="9"/>
        <v>398907.88744806306</v>
      </c>
    </row>
    <row r="13" spans="2:24" ht="13.5">
      <c r="B13" s="127" t="s">
        <v>210</v>
      </c>
      <c r="C13" s="127" t="s">
        <v>211</v>
      </c>
      <c r="D13" s="122">
        <v>1</v>
      </c>
      <c r="E13" s="122">
        <v>566057.73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f t="shared" si="0"/>
        <v>1</v>
      </c>
      <c r="M13" s="130">
        <f t="shared" si="0"/>
        <v>566057.73</v>
      </c>
      <c r="N13" s="128">
        <v>25</v>
      </c>
      <c r="O13" s="129">
        <v>42635</v>
      </c>
      <c r="P13" s="128">
        <f t="shared" si="1"/>
        <v>283</v>
      </c>
      <c r="Q13" s="128">
        <f t="shared" si="2"/>
        <v>0.77534246575342469</v>
      </c>
      <c r="R13" s="128">
        <f t="shared" si="3"/>
        <v>24.224657534246575</v>
      </c>
      <c r="S13" s="128">
        <f t="shared" si="4"/>
        <v>1835</v>
      </c>
      <c r="T13" s="128">
        <f t="shared" si="5"/>
        <v>5.0273972602739727</v>
      </c>
      <c r="U13" s="128">
        <f t="shared" si="6"/>
        <v>28302.886500000001</v>
      </c>
      <c r="V13" s="128">
        <f t="shared" si="7"/>
        <v>537754.84349999996</v>
      </c>
      <c r="W13" s="128">
        <f t="shared" si="8"/>
        <v>111601.46322353539</v>
      </c>
      <c r="X13" s="128">
        <f t="shared" si="9"/>
        <v>454456.26677646459</v>
      </c>
    </row>
    <row r="14" spans="2:24" ht="13.5">
      <c r="B14" s="127" t="s">
        <v>212</v>
      </c>
      <c r="C14" s="127" t="s">
        <v>213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f t="shared" si="0"/>
        <v>0</v>
      </c>
      <c r="M14" s="130">
        <f t="shared" si="0"/>
        <v>0</v>
      </c>
      <c r="N14" s="128">
        <v>25</v>
      </c>
      <c r="O14" s="129">
        <v>42635</v>
      </c>
      <c r="P14" s="128">
        <f t="shared" si="1"/>
        <v>283</v>
      </c>
      <c r="Q14" s="128">
        <f t="shared" si="2"/>
        <v>0.77534246575342469</v>
      </c>
      <c r="R14" s="128">
        <f t="shared" si="3"/>
        <v>24.224657534246575</v>
      </c>
      <c r="S14" s="128">
        <f t="shared" si="4"/>
        <v>1835</v>
      </c>
      <c r="T14" s="128">
        <f t="shared" si="5"/>
        <v>5.0273972602739727</v>
      </c>
      <c r="U14" s="128">
        <f t="shared" si="6"/>
        <v>0</v>
      </c>
      <c r="V14" s="128">
        <f t="shared" si="7"/>
        <v>0</v>
      </c>
      <c r="W14" s="128">
        <f t="shared" si="8"/>
        <v>0</v>
      </c>
      <c r="X14" s="128">
        <f t="shared" si="9"/>
        <v>0</v>
      </c>
    </row>
    <row r="15" spans="2:24" ht="13.5">
      <c r="B15" s="178" t="s">
        <v>214</v>
      </c>
      <c r="C15" s="178" t="s">
        <v>215</v>
      </c>
      <c r="D15" s="179">
        <v>0</v>
      </c>
      <c r="E15" s="179">
        <v>0</v>
      </c>
      <c r="F15" s="179">
        <v>0</v>
      </c>
      <c r="G15" s="179">
        <v>0</v>
      </c>
      <c r="H15" s="179">
        <f>D15</f>
        <v>0</v>
      </c>
      <c r="I15" s="179">
        <f>E15</f>
        <v>0</v>
      </c>
      <c r="J15" s="179">
        <v>0</v>
      </c>
      <c r="K15" s="179">
        <v>0</v>
      </c>
      <c r="L15" s="179">
        <f t="shared" si="0"/>
        <v>0</v>
      </c>
      <c r="M15" s="180">
        <f t="shared" si="0"/>
        <v>0</v>
      </c>
      <c r="N15" s="181">
        <v>25</v>
      </c>
      <c r="O15" s="182">
        <v>42635</v>
      </c>
      <c r="P15" s="181">
        <f t="shared" si="1"/>
        <v>283</v>
      </c>
      <c r="Q15" s="181">
        <f t="shared" si="2"/>
        <v>0.77534246575342469</v>
      </c>
      <c r="R15" s="181">
        <f t="shared" si="3"/>
        <v>24.224657534246575</v>
      </c>
      <c r="S15" s="181">
        <f t="shared" si="4"/>
        <v>1835</v>
      </c>
      <c r="T15" s="181">
        <f t="shared" si="5"/>
        <v>5.0273972602739727</v>
      </c>
      <c r="U15" s="181">
        <f t="shared" si="6"/>
        <v>0</v>
      </c>
      <c r="V15" s="181">
        <f t="shared" si="7"/>
        <v>0</v>
      </c>
      <c r="W15" s="181">
        <f>T15/R15*V15</f>
        <v>0</v>
      </c>
      <c r="X15" s="181">
        <f t="shared" si="9"/>
        <v>0</v>
      </c>
    </row>
    <row r="16" spans="2:24" ht="13.5">
      <c r="B16" s="178" t="s">
        <v>216</v>
      </c>
      <c r="C16" s="178" t="s">
        <v>217</v>
      </c>
      <c r="D16" s="179">
        <v>0</v>
      </c>
      <c r="E16" s="179">
        <v>0</v>
      </c>
      <c r="F16" s="179">
        <v>0</v>
      </c>
      <c r="G16" s="179">
        <v>0</v>
      </c>
      <c r="H16" s="179">
        <f>D16</f>
        <v>0</v>
      </c>
      <c r="I16" s="179">
        <f>E16</f>
        <v>0</v>
      </c>
      <c r="J16" s="179">
        <v>0</v>
      </c>
      <c r="K16" s="179">
        <v>0</v>
      </c>
      <c r="L16" s="179">
        <f t="shared" si="0"/>
        <v>0</v>
      </c>
      <c r="M16" s="180">
        <f t="shared" si="0"/>
        <v>0</v>
      </c>
      <c r="N16" s="181">
        <v>25</v>
      </c>
      <c r="O16" s="182">
        <v>42635</v>
      </c>
      <c r="P16" s="181">
        <f t="shared" si="1"/>
        <v>283</v>
      </c>
      <c r="Q16" s="181">
        <f t="shared" si="2"/>
        <v>0.77534246575342469</v>
      </c>
      <c r="R16" s="181">
        <f t="shared" si="3"/>
        <v>24.224657534246575</v>
      </c>
      <c r="S16" s="181">
        <f t="shared" si="4"/>
        <v>1835</v>
      </c>
      <c r="T16" s="181">
        <f t="shared" si="5"/>
        <v>5.0273972602739727</v>
      </c>
      <c r="U16" s="181">
        <f t="shared" si="6"/>
        <v>0</v>
      </c>
      <c r="V16" s="181">
        <f t="shared" si="7"/>
        <v>0</v>
      </c>
      <c r="W16" s="181">
        <f t="shared" si="8"/>
        <v>0</v>
      </c>
      <c r="X16" s="181">
        <f t="shared" si="9"/>
        <v>0</v>
      </c>
    </row>
    <row r="17" spans="2:24" ht="13.5">
      <c r="B17" s="127" t="s">
        <v>218</v>
      </c>
      <c r="C17" s="127" t="s">
        <v>219</v>
      </c>
      <c r="D17" s="122">
        <v>1</v>
      </c>
      <c r="E17" s="122">
        <v>3331.53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0"/>
        <v>1</v>
      </c>
      <c r="M17" s="130">
        <f t="shared" si="0"/>
        <v>3331.53</v>
      </c>
      <c r="N17" s="128">
        <v>25</v>
      </c>
      <c r="O17" s="129">
        <v>42635</v>
      </c>
      <c r="P17" s="128">
        <f t="shared" si="1"/>
        <v>283</v>
      </c>
      <c r="Q17" s="128">
        <f>P17/365</f>
        <v>0.77534246575342469</v>
      </c>
      <c r="R17" s="128">
        <f t="shared" si="3"/>
        <v>24.224657534246575</v>
      </c>
      <c r="S17" s="128">
        <f t="shared" si="4"/>
        <v>1835</v>
      </c>
      <c r="T17" s="128">
        <f t="shared" si="5"/>
        <v>5.0273972602739727</v>
      </c>
      <c r="U17" s="128">
        <f t="shared" si="6"/>
        <v>166.57650000000001</v>
      </c>
      <c r="V17" s="128">
        <f t="shared" si="7"/>
        <v>3164.9535000000001</v>
      </c>
      <c r="W17" s="128">
        <f t="shared" si="8"/>
        <v>656.82986569780599</v>
      </c>
      <c r="X17" s="128">
        <f t="shared" si="9"/>
        <v>2674.7001343021943</v>
      </c>
    </row>
    <row r="18" spans="2:24" ht="13.5">
      <c r="B18" s="127" t="s">
        <v>220</v>
      </c>
      <c r="C18" s="127" t="s">
        <v>221</v>
      </c>
      <c r="D18" s="122">
        <v>14</v>
      </c>
      <c r="E18" s="122">
        <v>39618.75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0"/>
        <v>14</v>
      </c>
      <c r="M18" s="130">
        <f t="shared" si="0"/>
        <v>39618.75</v>
      </c>
      <c r="N18" s="128">
        <v>25</v>
      </c>
      <c r="O18" s="129">
        <v>42635</v>
      </c>
      <c r="P18" s="128">
        <f t="shared" si="1"/>
        <v>283</v>
      </c>
      <c r="Q18" s="128">
        <f t="shared" si="2"/>
        <v>0.77534246575342469</v>
      </c>
      <c r="R18" s="128">
        <f t="shared" si="3"/>
        <v>24.224657534246575</v>
      </c>
      <c r="S18" s="128">
        <f t="shared" si="4"/>
        <v>1835</v>
      </c>
      <c r="T18" s="128">
        <f t="shared" si="5"/>
        <v>5.0273972602739727</v>
      </c>
      <c r="U18" s="128">
        <f t="shared" si="6"/>
        <v>1980.9375</v>
      </c>
      <c r="V18" s="128">
        <f t="shared" si="7"/>
        <v>37637.8125</v>
      </c>
      <c r="W18" s="128">
        <f t="shared" si="8"/>
        <v>7811.0592555417334</v>
      </c>
      <c r="X18" s="128">
        <f t="shared" si="9"/>
        <v>31807.690744458268</v>
      </c>
    </row>
    <row r="19" spans="2:24" ht="13.5">
      <c r="B19" s="127" t="s">
        <v>222</v>
      </c>
      <c r="C19" s="127" t="s">
        <v>223</v>
      </c>
      <c r="D19" s="122">
        <v>14</v>
      </c>
      <c r="E19" s="122">
        <v>60156.88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0"/>
        <v>14</v>
      </c>
      <c r="M19" s="130">
        <f t="shared" si="0"/>
        <v>60156.88</v>
      </c>
      <c r="N19" s="128">
        <v>25</v>
      </c>
      <c r="O19" s="129">
        <v>42635</v>
      </c>
      <c r="P19" s="128">
        <f t="shared" si="1"/>
        <v>283</v>
      </c>
      <c r="Q19" s="128">
        <f t="shared" si="2"/>
        <v>0.77534246575342469</v>
      </c>
      <c r="R19" s="128">
        <f t="shared" si="3"/>
        <v>24.224657534246575</v>
      </c>
      <c r="S19" s="128">
        <f t="shared" si="4"/>
        <v>1835</v>
      </c>
      <c r="T19" s="128">
        <f t="shared" si="5"/>
        <v>5.0273972602739727</v>
      </c>
      <c r="U19" s="128">
        <f t="shared" si="6"/>
        <v>3007.8440000000001</v>
      </c>
      <c r="V19" s="128">
        <f t="shared" si="7"/>
        <v>57149.036</v>
      </c>
      <c r="W19" s="128">
        <f t="shared" si="8"/>
        <v>11860.267027821761</v>
      </c>
      <c r="X19" s="128">
        <f t="shared" si="9"/>
        <v>48296.612972178234</v>
      </c>
    </row>
    <row r="20" spans="2:24" ht="13.5">
      <c r="B20" s="127" t="s">
        <v>224</v>
      </c>
      <c r="C20" s="127" t="s">
        <v>225</v>
      </c>
      <c r="D20" s="122">
        <v>1</v>
      </c>
      <c r="E20" s="122">
        <v>302.87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0"/>
        <v>1</v>
      </c>
      <c r="M20" s="130">
        <f t="shared" si="0"/>
        <v>302.87</v>
      </c>
      <c r="N20" s="128">
        <v>25</v>
      </c>
      <c r="O20" s="129">
        <v>42635</v>
      </c>
      <c r="P20" s="128">
        <f t="shared" si="1"/>
        <v>283</v>
      </c>
      <c r="Q20" s="128">
        <f t="shared" si="2"/>
        <v>0.77534246575342469</v>
      </c>
      <c r="R20" s="128">
        <f t="shared" si="3"/>
        <v>24.224657534246575</v>
      </c>
      <c r="S20" s="128">
        <f t="shared" si="4"/>
        <v>1835</v>
      </c>
      <c r="T20" s="128">
        <f t="shared" si="5"/>
        <v>5.0273972602739727</v>
      </c>
      <c r="U20" s="128">
        <f t="shared" si="6"/>
        <v>15.143500000000001</v>
      </c>
      <c r="V20" s="128">
        <f t="shared" si="7"/>
        <v>287.72649999999999</v>
      </c>
      <c r="W20" s="128">
        <f t="shared" si="8"/>
        <v>59.71252290205836</v>
      </c>
      <c r="X20" s="128">
        <f t="shared" si="9"/>
        <v>243.15747709794164</v>
      </c>
    </row>
    <row r="21" spans="2:24" ht="13.5">
      <c r="B21" s="127" t="s">
        <v>226</v>
      </c>
      <c r="C21" s="127" t="s">
        <v>227</v>
      </c>
      <c r="D21" s="122">
        <v>1</v>
      </c>
      <c r="E21" s="122">
        <v>2981.34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0"/>
        <v>1</v>
      </c>
      <c r="M21" s="130">
        <f t="shared" si="0"/>
        <v>2981.34</v>
      </c>
      <c r="N21" s="128">
        <v>25</v>
      </c>
      <c r="O21" s="129">
        <v>42635</v>
      </c>
      <c r="P21" s="128">
        <f t="shared" si="1"/>
        <v>283</v>
      </c>
      <c r="Q21" s="128">
        <f t="shared" si="2"/>
        <v>0.77534246575342469</v>
      </c>
      <c r="R21" s="128">
        <f t="shared" si="3"/>
        <v>24.224657534246575</v>
      </c>
      <c r="S21" s="128">
        <f t="shared" si="4"/>
        <v>1835</v>
      </c>
      <c r="T21" s="128">
        <f t="shared" si="5"/>
        <v>5.0273972602739727</v>
      </c>
      <c r="U21" s="128">
        <f t="shared" si="6"/>
        <v>149.06700000000001</v>
      </c>
      <c r="V21" s="128">
        <f t="shared" si="7"/>
        <v>2832.2730000000001</v>
      </c>
      <c r="W21" s="128">
        <f t="shared" si="8"/>
        <v>587.7879388147478</v>
      </c>
      <c r="X21" s="128">
        <f t="shared" si="9"/>
        <v>2393.5520611852526</v>
      </c>
    </row>
    <row r="22" spans="2:24" ht="13.5">
      <c r="B22" s="127" t="s">
        <v>228</v>
      </c>
      <c r="C22" s="127" t="s">
        <v>229</v>
      </c>
      <c r="D22" s="122">
        <v>1</v>
      </c>
      <c r="E22" s="122">
        <v>20140.63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0"/>
        <v>1</v>
      </c>
      <c r="M22" s="130">
        <f t="shared" si="0"/>
        <v>20140.63</v>
      </c>
      <c r="N22" s="128">
        <v>25</v>
      </c>
      <c r="O22" s="129">
        <v>42635</v>
      </c>
      <c r="P22" s="128">
        <f t="shared" si="1"/>
        <v>283</v>
      </c>
      <c r="Q22" s="128">
        <f t="shared" si="2"/>
        <v>0.77534246575342469</v>
      </c>
      <c r="R22" s="128">
        <f t="shared" si="3"/>
        <v>24.224657534246575</v>
      </c>
      <c r="S22" s="128">
        <f t="shared" si="4"/>
        <v>1835</v>
      </c>
      <c r="T22" s="128">
        <f t="shared" si="5"/>
        <v>5.0273972602739727</v>
      </c>
      <c r="U22" s="128">
        <f t="shared" si="6"/>
        <v>1007.0315000000001</v>
      </c>
      <c r="V22" s="128">
        <f t="shared" si="7"/>
        <v>19133.5985</v>
      </c>
      <c r="W22" s="128">
        <f t="shared" si="8"/>
        <v>3970.8384129721785</v>
      </c>
      <c r="X22" s="128">
        <f t="shared" si="9"/>
        <v>16169.791587027823</v>
      </c>
    </row>
    <row r="23" spans="2:24" ht="13.5">
      <c r="B23" s="127" t="s">
        <v>230</v>
      </c>
      <c r="C23" s="127" t="s">
        <v>231</v>
      </c>
      <c r="D23" s="122">
        <v>1</v>
      </c>
      <c r="E23" s="122">
        <v>7278.26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0"/>
        <v>1</v>
      </c>
      <c r="M23" s="130">
        <f t="shared" si="0"/>
        <v>7278.26</v>
      </c>
      <c r="N23" s="128">
        <v>25</v>
      </c>
      <c r="O23" s="129">
        <v>42635</v>
      </c>
      <c r="P23" s="128">
        <f t="shared" si="1"/>
        <v>283</v>
      </c>
      <c r="Q23" s="128">
        <f t="shared" si="2"/>
        <v>0.77534246575342469</v>
      </c>
      <c r="R23" s="128">
        <f t="shared" si="3"/>
        <v>24.224657534246575</v>
      </c>
      <c r="S23" s="128">
        <f t="shared" si="4"/>
        <v>1835</v>
      </c>
      <c r="T23" s="128">
        <f t="shared" si="5"/>
        <v>5.0273972602739727</v>
      </c>
      <c r="U23" s="128">
        <f t="shared" si="6"/>
        <v>363.91300000000001</v>
      </c>
      <c r="V23" s="128">
        <f t="shared" si="7"/>
        <v>6914.3469999999998</v>
      </c>
      <c r="W23" s="128">
        <f t="shared" si="8"/>
        <v>1434.9498693734449</v>
      </c>
      <c r="X23" s="128">
        <f t="shared" si="9"/>
        <v>5843.3101306265553</v>
      </c>
    </row>
    <row r="24" spans="2:24" ht="13.5">
      <c r="B24" s="127" t="s">
        <v>232</v>
      </c>
      <c r="C24" s="127" t="s">
        <v>233</v>
      </c>
      <c r="D24" s="122">
        <v>1</v>
      </c>
      <c r="E24" s="122">
        <v>3814.23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0"/>
        <v>1</v>
      </c>
      <c r="M24" s="130">
        <f t="shared" si="0"/>
        <v>3814.23</v>
      </c>
      <c r="N24" s="128">
        <v>25</v>
      </c>
      <c r="O24" s="129">
        <v>42635</v>
      </c>
      <c r="P24" s="128">
        <f t="shared" si="1"/>
        <v>283</v>
      </c>
      <c r="Q24" s="128">
        <f t="shared" si="2"/>
        <v>0.77534246575342469</v>
      </c>
      <c r="R24" s="128">
        <f t="shared" si="3"/>
        <v>24.224657534246575</v>
      </c>
      <c r="S24" s="128">
        <f t="shared" si="4"/>
        <v>1835</v>
      </c>
      <c r="T24" s="128">
        <f t="shared" si="5"/>
        <v>5.0273972602739727</v>
      </c>
      <c r="U24" s="128">
        <f t="shared" si="6"/>
        <v>190.7115</v>
      </c>
      <c r="V24" s="128">
        <f t="shared" si="7"/>
        <v>3623.5185000000001</v>
      </c>
      <c r="W24" s="128">
        <f t="shared" si="8"/>
        <v>751.99688390635606</v>
      </c>
      <c r="X24" s="128">
        <f t="shared" si="9"/>
        <v>3062.2331160936437</v>
      </c>
    </row>
    <row r="25" spans="2:24" ht="13.5">
      <c r="B25" s="127" t="s">
        <v>234</v>
      </c>
      <c r="C25" s="127" t="s">
        <v>235</v>
      </c>
      <c r="D25" s="122">
        <v>1</v>
      </c>
      <c r="E25" s="122">
        <v>45780.19</v>
      </c>
      <c r="F25" s="122">
        <v>0</v>
      </c>
      <c r="G25" s="122">
        <v>0</v>
      </c>
      <c r="H25" s="122">
        <v>0</v>
      </c>
      <c r="I25" s="122">
        <v>45780.19</v>
      </c>
      <c r="J25" s="122">
        <v>0</v>
      </c>
      <c r="K25" s="122">
        <v>0</v>
      </c>
      <c r="L25" s="122">
        <f t="shared" si="0"/>
        <v>1</v>
      </c>
      <c r="M25" s="130">
        <f t="shared" si="0"/>
        <v>0</v>
      </c>
      <c r="N25" s="128">
        <v>25</v>
      </c>
      <c r="O25" s="129">
        <v>42635</v>
      </c>
      <c r="P25" s="128">
        <f t="shared" si="1"/>
        <v>283</v>
      </c>
      <c r="Q25" s="128">
        <f t="shared" si="2"/>
        <v>0.77534246575342469</v>
      </c>
      <c r="R25" s="128">
        <f t="shared" si="3"/>
        <v>24.224657534246575</v>
      </c>
      <c r="S25" s="128">
        <f t="shared" si="4"/>
        <v>1835</v>
      </c>
      <c r="T25" s="128">
        <f t="shared" si="5"/>
        <v>5.0273972602739727</v>
      </c>
      <c r="U25" s="128">
        <f t="shared" si="6"/>
        <v>0</v>
      </c>
      <c r="V25" s="128">
        <f t="shared" si="7"/>
        <v>0</v>
      </c>
      <c r="W25" s="128">
        <f t="shared" si="8"/>
        <v>0</v>
      </c>
      <c r="X25" s="128">
        <f t="shared" si="9"/>
        <v>0</v>
      </c>
    </row>
    <row r="26" spans="2:24" ht="13.5">
      <c r="B26" s="127" t="s">
        <v>236</v>
      </c>
      <c r="C26" s="127" t="s">
        <v>237</v>
      </c>
      <c r="D26" s="122">
        <v>1</v>
      </c>
      <c r="E26" s="122">
        <v>78527.64</v>
      </c>
      <c r="F26" s="122">
        <v>0</v>
      </c>
      <c r="G26" s="122">
        <v>0</v>
      </c>
      <c r="H26" s="122">
        <v>0</v>
      </c>
      <c r="I26" s="122">
        <v>78527.64</v>
      </c>
      <c r="J26" s="122">
        <v>0</v>
      </c>
      <c r="K26" s="122">
        <v>0</v>
      </c>
      <c r="L26" s="122">
        <f t="shared" si="0"/>
        <v>1</v>
      </c>
      <c r="M26" s="130">
        <f t="shared" si="0"/>
        <v>0</v>
      </c>
      <c r="N26" s="128">
        <v>25</v>
      </c>
      <c r="O26" s="129">
        <v>42635</v>
      </c>
      <c r="P26" s="128">
        <f t="shared" si="1"/>
        <v>283</v>
      </c>
      <c r="Q26" s="128">
        <f t="shared" si="2"/>
        <v>0.77534246575342469</v>
      </c>
      <c r="R26" s="128">
        <f t="shared" si="3"/>
        <v>24.224657534246575</v>
      </c>
      <c r="S26" s="128">
        <f t="shared" si="4"/>
        <v>1835</v>
      </c>
      <c r="T26" s="128">
        <f t="shared" si="5"/>
        <v>5.0273972602739727</v>
      </c>
      <c r="U26" s="128">
        <f t="shared" si="6"/>
        <v>0</v>
      </c>
      <c r="V26" s="128">
        <f t="shared" si="7"/>
        <v>0</v>
      </c>
      <c r="W26" s="128">
        <f t="shared" si="8"/>
        <v>0</v>
      </c>
      <c r="X26" s="128">
        <f t="shared" si="9"/>
        <v>0</v>
      </c>
    </row>
    <row r="27" spans="2:24" ht="13.5">
      <c r="B27" s="178" t="s">
        <v>238</v>
      </c>
      <c r="C27" s="178" t="s">
        <v>239</v>
      </c>
      <c r="D27" s="179">
        <v>0</v>
      </c>
      <c r="E27" s="179">
        <v>0</v>
      </c>
      <c r="F27" s="179">
        <v>0</v>
      </c>
      <c r="G27" s="179">
        <v>0</v>
      </c>
      <c r="H27" s="179">
        <f>D27</f>
        <v>0</v>
      </c>
      <c r="I27" s="179">
        <f>E27</f>
        <v>0</v>
      </c>
      <c r="J27" s="179">
        <v>0</v>
      </c>
      <c r="K27" s="179">
        <v>0</v>
      </c>
      <c r="L27" s="179">
        <f t="shared" si="0"/>
        <v>0</v>
      </c>
      <c r="M27" s="180">
        <f t="shared" si="0"/>
        <v>0</v>
      </c>
      <c r="N27" s="181">
        <v>25</v>
      </c>
      <c r="O27" s="182">
        <v>42635</v>
      </c>
      <c r="P27" s="181">
        <f t="shared" si="1"/>
        <v>283</v>
      </c>
      <c r="Q27" s="181">
        <f t="shared" si="2"/>
        <v>0.77534246575342469</v>
      </c>
      <c r="R27" s="181">
        <f t="shared" si="3"/>
        <v>24.224657534246575</v>
      </c>
      <c r="S27" s="181">
        <f t="shared" si="4"/>
        <v>1835</v>
      </c>
      <c r="T27" s="181">
        <f t="shared" si="5"/>
        <v>5.0273972602739727</v>
      </c>
      <c r="U27" s="181">
        <f t="shared" si="6"/>
        <v>0</v>
      </c>
      <c r="V27" s="181">
        <f t="shared" si="7"/>
        <v>0</v>
      </c>
      <c r="W27" s="181">
        <f t="shared" si="8"/>
        <v>0</v>
      </c>
      <c r="X27" s="181">
        <f t="shared" si="9"/>
        <v>0</v>
      </c>
    </row>
    <row r="28" spans="2:24" ht="13.5">
      <c r="B28" s="127" t="s">
        <v>240</v>
      </c>
      <c r="C28" s="127" t="s">
        <v>241</v>
      </c>
      <c r="D28" s="122">
        <v>1</v>
      </c>
      <c r="E28" s="122">
        <v>113.58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0"/>
        <v>1</v>
      </c>
      <c r="M28" s="130">
        <f t="shared" si="0"/>
        <v>113.58</v>
      </c>
      <c r="N28" s="128">
        <v>25</v>
      </c>
      <c r="O28" s="129">
        <v>42635</v>
      </c>
      <c r="P28" s="128">
        <f t="shared" si="1"/>
        <v>283</v>
      </c>
      <c r="Q28" s="128">
        <f t="shared" si="2"/>
        <v>0.77534246575342469</v>
      </c>
      <c r="R28" s="128">
        <f t="shared" si="3"/>
        <v>24.224657534246575</v>
      </c>
      <c r="S28" s="128">
        <f t="shared" si="4"/>
        <v>1835</v>
      </c>
      <c r="T28" s="128">
        <f t="shared" si="5"/>
        <v>5.0273972602739727</v>
      </c>
      <c r="U28" s="128">
        <f t="shared" si="6"/>
        <v>5.6790000000000003</v>
      </c>
      <c r="V28" s="128">
        <f t="shared" si="7"/>
        <v>107.901</v>
      </c>
      <c r="W28" s="128">
        <f t="shared" si="8"/>
        <v>22.392935421850261</v>
      </c>
      <c r="X28" s="128">
        <f t="shared" si="9"/>
        <v>91.187064578149744</v>
      </c>
    </row>
    <row r="29" spans="2:24" ht="13.5">
      <c r="B29" s="178" t="s">
        <v>242</v>
      </c>
      <c r="C29" s="178" t="s">
        <v>243</v>
      </c>
      <c r="D29" s="179">
        <v>0</v>
      </c>
      <c r="E29" s="179">
        <v>0</v>
      </c>
      <c r="F29" s="179">
        <v>0</v>
      </c>
      <c r="G29" s="179">
        <v>0</v>
      </c>
      <c r="H29" s="179">
        <f>D29</f>
        <v>0</v>
      </c>
      <c r="I29" s="179">
        <f>E29</f>
        <v>0</v>
      </c>
      <c r="J29" s="179">
        <v>0</v>
      </c>
      <c r="K29" s="179">
        <v>0</v>
      </c>
      <c r="L29" s="179">
        <f t="shared" si="0"/>
        <v>0</v>
      </c>
      <c r="M29" s="180">
        <f t="shared" si="0"/>
        <v>0</v>
      </c>
      <c r="N29" s="181">
        <v>25</v>
      </c>
      <c r="O29" s="182">
        <v>42635</v>
      </c>
      <c r="P29" s="181">
        <f t="shared" si="1"/>
        <v>283</v>
      </c>
      <c r="Q29" s="181">
        <f t="shared" si="2"/>
        <v>0.77534246575342469</v>
      </c>
      <c r="R29" s="181">
        <f t="shared" si="3"/>
        <v>24.224657534246575</v>
      </c>
      <c r="S29" s="181">
        <f t="shared" si="4"/>
        <v>1835</v>
      </c>
      <c r="T29" s="181">
        <f t="shared" si="5"/>
        <v>5.0273972602739727</v>
      </c>
      <c r="U29" s="181">
        <f t="shared" si="6"/>
        <v>0</v>
      </c>
      <c r="V29" s="181">
        <f t="shared" si="7"/>
        <v>0</v>
      </c>
      <c r="W29" s="181">
        <f t="shared" si="8"/>
        <v>0</v>
      </c>
      <c r="X29" s="181">
        <f t="shared" si="9"/>
        <v>0</v>
      </c>
    </row>
    <row r="30" spans="2:24" ht="13.5">
      <c r="B30" s="183" t="s">
        <v>244</v>
      </c>
      <c r="C30" s="183" t="s">
        <v>245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f>D30</f>
        <v>0</v>
      </c>
      <c r="K30" s="184">
        <f>E30</f>
        <v>0</v>
      </c>
      <c r="L30" s="184">
        <f t="shared" si="0"/>
        <v>0</v>
      </c>
      <c r="M30" s="185">
        <f t="shared" si="0"/>
        <v>0</v>
      </c>
      <c r="N30" s="186">
        <v>25</v>
      </c>
      <c r="O30" s="187">
        <v>42635</v>
      </c>
      <c r="P30" s="186">
        <f t="shared" si="1"/>
        <v>283</v>
      </c>
      <c r="Q30" s="186">
        <f t="shared" si="2"/>
        <v>0.77534246575342469</v>
      </c>
      <c r="R30" s="186">
        <f t="shared" si="3"/>
        <v>24.224657534246575</v>
      </c>
      <c r="S30" s="186">
        <f t="shared" si="4"/>
        <v>1835</v>
      </c>
      <c r="T30" s="186">
        <f t="shared" si="5"/>
        <v>5.0273972602739727</v>
      </c>
      <c r="U30" s="186">
        <f t="shared" si="6"/>
        <v>0</v>
      </c>
      <c r="V30" s="186">
        <f t="shared" si="7"/>
        <v>0</v>
      </c>
      <c r="W30" s="186">
        <f t="shared" si="8"/>
        <v>0</v>
      </c>
      <c r="X30" s="186">
        <f t="shared" si="9"/>
        <v>0</v>
      </c>
    </row>
    <row r="31" spans="2:24" ht="13.5">
      <c r="B31" s="127" t="s">
        <v>246</v>
      </c>
      <c r="C31" s="127" t="s">
        <v>247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0"/>
        <v>0</v>
      </c>
      <c r="M31" s="130">
        <f t="shared" si="0"/>
        <v>0</v>
      </c>
      <c r="N31" s="128">
        <v>25</v>
      </c>
      <c r="O31" s="129">
        <v>42635</v>
      </c>
      <c r="P31" s="128">
        <f t="shared" si="1"/>
        <v>283</v>
      </c>
      <c r="Q31" s="128">
        <f t="shared" si="2"/>
        <v>0.77534246575342469</v>
      </c>
      <c r="R31" s="128">
        <f t="shared" si="3"/>
        <v>24.224657534246575</v>
      </c>
      <c r="S31" s="128">
        <f t="shared" si="4"/>
        <v>1835</v>
      </c>
      <c r="T31" s="128">
        <f t="shared" si="5"/>
        <v>5.0273972602739727</v>
      </c>
      <c r="U31" s="128">
        <f>+M31*5%</f>
        <v>0</v>
      </c>
      <c r="V31" s="128">
        <f t="shared" si="7"/>
        <v>0</v>
      </c>
      <c r="W31" s="128">
        <f t="shared" si="8"/>
        <v>0</v>
      </c>
      <c r="X31" s="128">
        <f t="shared" si="9"/>
        <v>0</v>
      </c>
    </row>
    <row r="32" spans="2:24" ht="13.5">
      <c r="B32" s="127" t="s">
        <v>248</v>
      </c>
      <c r="C32" s="127" t="s">
        <v>249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0"/>
        <v>0</v>
      </c>
      <c r="M32" s="130">
        <f t="shared" si="0"/>
        <v>0</v>
      </c>
      <c r="N32" s="128">
        <v>25</v>
      </c>
      <c r="O32" s="129">
        <v>42635</v>
      </c>
      <c r="P32" s="128">
        <f t="shared" si="1"/>
        <v>283</v>
      </c>
      <c r="Q32" s="128">
        <f t="shared" si="2"/>
        <v>0.77534246575342469</v>
      </c>
      <c r="R32" s="128">
        <f t="shared" si="3"/>
        <v>24.224657534246575</v>
      </c>
      <c r="S32" s="128">
        <f t="shared" si="4"/>
        <v>1835</v>
      </c>
      <c r="T32" s="128">
        <f t="shared" si="5"/>
        <v>5.0273972602739727</v>
      </c>
      <c r="U32" s="128">
        <f t="shared" si="6"/>
        <v>0</v>
      </c>
      <c r="V32" s="128">
        <f t="shared" si="7"/>
        <v>0</v>
      </c>
      <c r="W32" s="128">
        <f t="shared" si="8"/>
        <v>0</v>
      </c>
      <c r="X32" s="128">
        <f t="shared" si="9"/>
        <v>0</v>
      </c>
    </row>
    <row r="33" spans="2:25" ht="13.5">
      <c r="B33" s="127" t="s">
        <v>250</v>
      </c>
      <c r="C33" s="127" t="s">
        <v>251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0"/>
        <v>0</v>
      </c>
      <c r="M33" s="130">
        <f t="shared" si="0"/>
        <v>0</v>
      </c>
      <c r="N33" s="128">
        <v>25</v>
      </c>
      <c r="O33" s="129">
        <v>42635</v>
      </c>
      <c r="P33" s="128">
        <f t="shared" si="1"/>
        <v>283</v>
      </c>
      <c r="Q33" s="128">
        <f t="shared" si="2"/>
        <v>0.77534246575342469</v>
      </c>
      <c r="R33" s="128">
        <f t="shared" si="3"/>
        <v>24.224657534246575</v>
      </c>
      <c r="S33" s="128">
        <f t="shared" si="4"/>
        <v>1835</v>
      </c>
      <c r="T33" s="128">
        <f t="shared" si="5"/>
        <v>5.0273972602739727</v>
      </c>
      <c r="U33" s="128">
        <f t="shared" si="6"/>
        <v>0</v>
      </c>
      <c r="V33" s="128">
        <f t="shared" si="7"/>
        <v>0</v>
      </c>
      <c r="W33" s="128">
        <f t="shared" si="8"/>
        <v>0</v>
      </c>
      <c r="X33" s="128">
        <f t="shared" si="9"/>
        <v>0</v>
      </c>
    </row>
    <row r="34" spans="2:25" ht="13.5">
      <c r="B34" s="127"/>
      <c r="C34" s="127"/>
      <c r="D34" s="122"/>
      <c r="E34" s="122"/>
      <c r="F34" s="122"/>
      <c r="G34" s="122"/>
      <c r="H34" s="122"/>
      <c r="I34" s="122"/>
      <c r="J34" s="122"/>
      <c r="K34" s="122"/>
      <c r="L34" s="122"/>
      <c r="M34" s="130"/>
      <c r="N34" s="128"/>
      <c r="O34" s="129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5" ht="13.5">
      <c r="B35" s="188" t="s">
        <v>303</v>
      </c>
      <c r="C35" s="188" t="s">
        <v>304</v>
      </c>
      <c r="D35" s="189">
        <v>0</v>
      </c>
      <c r="E35" s="189">
        <v>0</v>
      </c>
      <c r="F35" s="190">
        <v>0</v>
      </c>
      <c r="G35" s="190">
        <v>0</v>
      </c>
      <c r="H35" s="189">
        <f>F35</f>
        <v>0</v>
      </c>
      <c r="I35" s="189">
        <f>G35</f>
        <v>0</v>
      </c>
      <c r="J35" s="189">
        <v>0</v>
      </c>
      <c r="K35" s="189">
        <v>0</v>
      </c>
      <c r="L35" s="122">
        <f t="shared" ref="L35:L44" si="10">D35+F35-H35-J35</f>
        <v>0</v>
      </c>
      <c r="M35" s="130">
        <f t="shared" ref="M35:M47" si="11">E35+G35-I35-K35</f>
        <v>0</v>
      </c>
      <c r="N35" s="191">
        <v>25</v>
      </c>
      <c r="O35" s="192">
        <v>43738</v>
      </c>
      <c r="P35" s="191">
        <f t="shared" ref="P35:P37" si="12">O35-$P$4+1</f>
        <v>1386</v>
      </c>
      <c r="Q35" s="191">
        <f t="shared" ref="Q35:Q37" si="13">P35/365</f>
        <v>3.7972602739726029</v>
      </c>
      <c r="R35" s="191">
        <f t="shared" ref="R35:R37" si="14">N35-Q35</f>
        <v>21.202739726027396</v>
      </c>
      <c r="S35" s="191">
        <f t="shared" ref="S35:S37" si="15">$S$4-O35+1</f>
        <v>732</v>
      </c>
      <c r="T35" s="191">
        <f t="shared" ref="T35:T37" si="16">S35/365</f>
        <v>2.0054794520547947</v>
      </c>
      <c r="U35" s="191">
        <f t="shared" ref="U35:U37" si="17">+M35*5%</f>
        <v>0</v>
      </c>
      <c r="V35" s="191">
        <f t="shared" ref="V35:V37" si="18">+M35-U35</f>
        <v>0</v>
      </c>
      <c r="W35" s="191">
        <f t="shared" ref="W35:W37" si="19">T35/R35*V35</f>
        <v>0</v>
      </c>
      <c r="X35" s="191">
        <f t="shared" ref="X35:X37" si="20">+M35-W35</f>
        <v>0</v>
      </c>
    </row>
    <row r="36" spans="2:25" ht="13.5">
      <c r="B36" s="188" t="s">
        <v>305</v>
      </c>
      <c r="C36" s="188" t="s">
        <v>295</v>
      </c>
      <c r="D36" s="189">
        <v>0</v>
      </c>
      <c r="E36" s="189">
        <v>0</v>
      </c>
      <c r="F36" s="190">
        <v>0</v>
      </c>
      <c r="G36" s="190">
        <v>0</v>
      </c>
      <c r="H36" s="189">
        <f t="shared" ref="H36:H37" si="21">F36</f>
        <v>0</v>
      </c>
      <c r="I36" s="189">
        <f t="shared" ref="I36:I37" si="22">G36</f>
        <v>0</v>
      </c>
      <c r="J36" s="189">
        <v>0</v>
      </c>
      <c r="K36" s="189">
        <v>0</v>
      </c>
      <c r="L36" s="122">
        <f t="shared" si="10"/>
        <v>0</v>
      </c>
      <c r="M36" s="130">
        <f t="shared" si="11"/>
        <v>0</v>
      </c>
      <c r="N36" s="191">
        <v>25</v>
      </c>
      <c r="O36" s="192">
        <v>43738</v>
      </c>
      <c r="P36" s="191">
        <f t="shared" si="12"/>
        <v>1386</v>
      </c>
      <c r="Q36" s="191">
        <f t="shared" si="13"/>
        <v>3.7972602739726029</v>
      </c>
      <c r="R36" s="191">
        <f t="shared" si="14"/>
        <v>21.202739726027396</v>
      </c>
      <c r="S36" s="191">
        <f t="shared" si="15"/>
        <v>732</v>
      </c>
      <c r="T36" s="191">
        <f t="shared" si="16"/>
        <v>2.0054794520547947</v>
      </c>
      <c r="U36" s="191">
        <f t="shared" si="17"/>
        <v>0</v>
      </c>
      <c r="V36" s="191">
        <f t="shared" si="18"/>
        <v>0</v>
      </c>
      <c r="W36" s="191">
        <f t="shared" si="19"/>
        <v>0</v>
      </c>
      <c r="X36" s="191">
        <f t="shared" si="20"/>
        <v>0</v>
      </c>
    </row>
    <row r="37" spans="2:25" ht="13.5">
      <c r="B37" s="188" t="s">
        <v>306</v>
      </c>
      <c r="C37" s="188" t="s">
        <v>243</v>
      </c>
      <c r="D37" s="189">
        <v>0</v>
      </c>
      <c r="E37" s="189">
        <v>0</v>
      </c>
      <c r="F37" s="190">
        <v>0</v>
      </c>
      <c r="G37" s="190">
        <v>0</v>
      </c>
      <c r="H37" s="189">
        <f t="shared" si="21"/>
        <v>0</v>
      </c>
      <c r="I37" s="189">
        <f t="shared" si="22"/>
        <v>0</v>
      </c>
      <c r="J37" s="189">
        <v>0</v>
      </c>
      <c r="K37" s="189">
        <v>0</v>
      </c>
      <c r="L37" s="122">
        <f t="shared" si="10"/>
        <v>0</v>
      </c>
      <c r="M37" s="130">
        <f t="shared" si="11"/>
        <v>0</v>
      </c>
      <c r="N37" s="191">
        <v>25</v>
      </c>
      <c r="O37" s="192">
        <v>43738</v>
      </c>
      <c r="P37" s="191">
        <f t="shared" si="12"/>
        <v>1386</v>
      </c>
      <c r="Q37" s="191">
        <f t="shared" si="13"/>
        <v>3.7972602739726029</v>
      </c>
      <c r="R37" s="191">
        <f t="shared" si="14"/>
        <v>21.202739726027396</v>
      </c>
      <c r="S37" s="191">
        <f t="shared" si="15"/>
        <v>732</v>
      </c>
      <c r="T37" s="191">
        <f t="shared" si="16"/>
        <v>2.0054794520547947</v>
      </c>
      <c r="U37" s="191">
        <f t="shared" si="17"/>
        <v>0</v>
      </c>
      <c r="V37" s="191">
        <f t="shared" si="18"/>
        <v>0</v>
      </c>
      <c r="W37" s="191">
        <f t="shared" si="19"/>
        <v>0</v>
      </c>
      <c r="X37" s="191">
        <f t="shared" si="20"/>
        <v>0</v>
      </c>
    </row>
    <row r="38" spans="2:25" ht="13.5">
      <c r="B38" s="193" t="s">
        <v>307</v>
      </c>
      <c r="C38" s="193" t="s">
        <v>308</v>
      </c>
      <c r="D38" s="184">
        <v>0</v>
      </c>
      <c r="E38" s="184">
        <v>0</v>
      </c>
      <c r="F38" s="193">
        <v>0</v>
      </c>
      <c r="G38" s="193">
        <v>0</v>
      </c>
      <c r="H38" s="184">
        <v>0</v>
      </c>
      <c r="I38" s="184">
        <v>0</v>
      </c>
      <c r="J38" s="184">
        <f>F38</f>
        <v>0</v>
      </c>
      <c r="K38" s="184">
        <f>G38</f>
        <v>0</v>
      </c>
      <c r="L38" s="122">
        <f t="shared" si="10"/>
        <v>0</v>
      </c>
      <c r="M38" s="130">
        <f t="shared" si="11"/>
        <v>0</v>
      </c>
      <c r="N38" s="186">
        <v>25</v>
      </c>
      <c r="O38" s="187">
        <v>43830</v>
      </c>
      <c r="P38" s="186">
        <f t="shared" ref="P38:P40" si="23">O38-$P$4+1</f>
        <v>1478</v>
      </c>
      <c r="Q38" s="186">
        <f t="shared" ref="Q38:Q40" si="24">P38/365</f>
        <v>4.0493150684931507</v>
      </c>
      <c r="R38" s="186">
        <f t="shared" ref="R38:R40" si="25">N38-Q38</f>
        <v>20.950684931506849</v>
      </c>
      <c r="S38" s="186">
        <f t="shared" ref="S38:S40" si="26">$S$4-O38+1</f>
        <v>640</v>
      </c>
      <c r="T38" s="186">
        <f t="shared" ref="T38:T40" si="27">S38/365</f>
        <v>1.7534246575342465</v>
      </c>
      <c r="U38" s="186">
        <f t="shared" ref="U38:U40" si="28">+M38*5%</f>
        <v>0</v>
      </c>
      <c r="V38" s="186">
        <f t="shared" ref="V38:V40" si="29">+M38-U38</f>
        <v>0</v>
      </c>
      <c r="W38" s="186">
        <f t="shared" ref="W38:W40" si="30">T38/R38*V38</f>
        <v>0</v>
      </c>
      <c r="X38" s="186">
        <f t="shared" ref="X38:X40" si="31">+M38-W38</f>
        <v>0</v>
      </c>
    </row>
    <row r="39" spans="2:25" ht="13.5">
      <c r="B39" s="183" t="s">
        <v>309</v>
      </c>
      <c r="C39" s="193" t="s">
        <v>310</v>
      </c>
      <c r="D39" s="184">
        <v>0</v>
      </c>
      <c r="E39" s="184">
        <v>0</v>
      </c>
      <c r="F39" s="193">
        <v>0</v>
      </c>
      <c r="G39" s="193">
        <v>0</v>
      </c>
      <c r="H39" s="184">
        <v>0</v>
      </c>
      <c r="I39" s="184">
        <v>0</v>
      </c>
      <c r="J39" s="184">
        <f t="shared" ref="J39:J40" si="32">F39</f>
        <v>0</v>
      </c>
      <c r="K39" s="184">
        <f t="shared" ref="K39:K40" si="33">G39</f>
        <v>0</v>
      </c>
      <c r="L39" s="122">
        <f t="shared" si="10"/>
        <v>0</v>
      </c>
      <c r="M39" s="130">
        <f t="shared" si="11"/>
        <v>0</v>
      </c>
      <c r="N39" s="186">
        <v>25</v>
      </c>
      <c r="O39" s="187">
        <v>43830</v>
      </c>
      <c r="P39" s="186">
        <f t="shared" si="23"/>
        <v>1478</v>
      </c>
      <c r="Q39" s="186">
        <f t="shared" si="24"/>
        <v>4.0493150684931507</v>
      </c>
      <c r="R39" s="186">
        <f t="shared" si="25"/>
        <v>20.950684931506849</v>
      </c>
      <c r="S39" s="186">
        <f t="shared" si="26"/>
        <v>640</v>
      </c>
      <c r="T39" s="186">
        <f t="shared" si="27"/>
        <v>1.7534246575342465</v>
      </c>
      <c r="U39" s="186">
        <f t="shared" si="28"/>
        <v>0</v>
      </c>
      <c r="V39" s="186">
        <f t="shared" si="29"/>
        <v>0</v>
      </c>
      <c r="W39" s="186">
        <f t="shared" si="30"/>
        <v>0</v>
      </c>
      <c r="X39" s="186">
        <f t="shared" si="31"/>
        <v>0</v>
      </c>
    </row>
    <row r="40" spans="2:25" ht="13.5">
      <c r="B40" s="183" t="s">
        <v>311</v>
      </c>
      <c r="C40" s="193" t="s">
        <v>312</v>
      </c>
      <c r="D40" s="184">
        <v>0</v>
      </c>
      <c r="E40" s="184">
        <v>0</v>
      </c>
      <c r="F40" s="193">
        <v>0</v>
      </c>
      <c r="G40" s="193">
        <v>0</v>
      </c>
      <c r="H40" s="184">
        <v>0</v>
      </c>
      <c r="I40" s="184">
        <v>0</v>
      </c>
      <c r="J40" s="184">
        <f t="shared" si="32"/>
        <v>0</v>
      </c>
      <c r="K40" s="184">
        <f t="shared" si="33"/>
        <v>0</v>
      </c>
      <c r="L40" s="122">
        <f t="shared" si="10"/>
        <v>0</v>
      </c>
      <c r="M40" s="130">
        <f t="shared" si="11"/>
        <v>0</v>
      </c>
      <c r="N40" s="186">
        <v>25</v>
      </c>
      <c r="O40" s="187">
        <v>43830</v>
      </c>
      <c r="P40" s="186">
        <f t="shared" si="23"/>
        <v>1478</v>
      </c>
      <c r="Q40" s="186">
        <f t="shared" si="24"/>
        <v>4.0493150684931507</v>
      </c>
      <c r="R40" s="186">
        <f t="shared" si="25"/>
        <v>20.950684931506849</v>
      </c>
      <c r="S40" s="186">
        <f t="shared" si="26"/>
        <v>640</v>
      </c>
      <c r="T40" s="186">
        <f t="shared" si="27"/>
        <v>1.7534246575342465</v>
      </c>
      <c r="U40" s="186">
        <f t="shared" si="28"/>
        <v>0</v>
      </c>
      <c r="V40" s="186">
        <f t="shared" si="29"/>
        <v>0</v>
      </c>
      <c r="W40" s="186">
        <f t="shared" si="30"/>
        <v>0</v>
      </c>
      <c r="X40" s="186">
        <f t="shared" si="31"/>
        <v>0</v>
      </c>
    </row>
    <row r="41" spans="2:25" ht="13.5">
      <c r="B41" s="194" t="s">
        <v>313</v>
      </c>
      <c r="C41" s="90" t="s">
        <v>314</v>
      </c>
      <c r="D41" s="123">
        <v>2</v>
      </c>
      <c r="E41" s="123">
        <v>801.84</v>
      </c>
      <c r="F41" s="90">
        <v>0</v>
      </c>
      <c r="G41" s="90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f t="shared" si="10"/>
        <v>2</v>
      </c>
      <c r="M41" s="130">
        <f t="shared" si="11"/>
        <v>801.84</v>
      </c>
      <c r="N41" s="128">
        <v>25</v>
      </c>
      <c r="O41" s="129">
        <v>43861</v>
      </c>
      <c r="P41" s="105">
        <f t="shared" ref="P41:P43" si="34">O41-$P$4+1</f>
        <v>1509</v>
      </c>
      <c r="Q41" s="105">
        <f t="shared" ref="Q41:Q43" si="35">P41/365</f>
        <v>4.1342465753424653</v>
      </c>
      <c r="R41" s="105">
        <f t="shared" ref="R41:R43" si="36">N41-Q41</f>
        <v>20.865753424657534</v>
      </c>
      <c r="S41" s="105">
        <f t="shared" ref="S41:S43" si="37">$S$4-O41+1</f>
        <v>609</v>
      </c>
      <c r="T41" s="105">
        <f t="shared" ref="T41:T43" si="38">S41/365</f>
        <v>1.6684931506849314</v>
      </c>
      <c r="U41" s="105">
        <f t="shared" ref="U41:U43" si="39">+M41*5%</f>
        <v>40.092000000000006</v>
      </c>
      <c r="V41" s="105">
        <f t="shared" ref="V41:V43" si="40">+M41-U41</f>
        <v>761.74800000000005</v>
      </c>
      <c r="W41" s="105">
        <f t="shared" ref="W41:W43" si="41">T41/R41*V41</f>
        <v>60.911834558823529</v>
      </c>
      <c r="X41" s="105">
        <f t="shared" ref="X41:X43" si="42">+M41-W41</f>
        <v>740.92816544117647</v>
      </c>
    </row>
    <row r="42" spans="2:25" ht="13.5">
      <c r="B42" s="194" t="s">
        <v>315</v>
      </c>
      <c r="C42" s="90" t="s">
        <v>231</v>
      </c>
      <c r="D42" s="123">
        <v>1</v>
      </c>
      <c r="E42" s="123">
        <v>9503.67</v>
      </c>
      <c r="F42" s="90">
        <v>0</v>
      </c>
      <c r="G42" s="90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f t="shared" si="10"/>
        <v>1</v>
      </c>
      <c r="M42" s="130">
        <f t="shared" si="11"/>
        <v>9503.67</v>
      </c>
      <c r="N42" s="128">
        <v>25</v>
      </c>
      <c r="O42" s="129">
        <v>43861</v>
      </c>
      <c r="P42" s="105">
        <f t="shared" si="34"/>
        <v>1509</v>
      </c>
      <c r="Q42" s="105">
        <f t="shared" si="35"/>
        <v>4.1342465753424653</v>
      </c>
      <c r="R42" s="105">
        <f t="shared" si="36"/>
        <v>20.865753424657534</v>
      </c>
      <c r="S42" s="105">
        <f t="shared" si="37"/>
        <v>609</v>
      </c>
      <c r="T42" s="105">
        <f t="shared" si="38"/>
        <v>1.6684931506849314</v>
      </c>
      <c r="U42" s="105">
        <f t="shared" si="39"/>
        <v>475.18350000000004</v>
      </c>
      <c r="V42" s="105">
        <f t="shared" si="40"/>
        <v>9028.4865000000009</v>
      </c>
      <c r="W42" s="105">
        <f t="shared" si="41"/>
        <v>721.94699034926475</v>
      </c>
      <c r="X42" s="105">
        <f t="shared" si="42"/>
        <v>8781.7230096507355</v>
      </c>
    </row>
    <row r="43" spans="2:25" ht="13.5">
      <c r="B43" s="194" t="s">
        <v>316</v>
      </c>
      <c r="C43" s="90" t="s">
        <v>317</v>
      </c>
      <c r="D43" s="123">
        <v>14</v>
      </c>
      <c r="E43" s="123">
        <v>69778.600000000006</v>
      </c>
      <c r="F43" s="90">
        <v>0</v>
      </c>
      <c r="G43" s="90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f t="shared" si="10"/>
        <v>14</v>
      </c>
      <c r="M43" s="130">
        <f t="shared" si="11"/>
        <v>69778.600000000006</v>
      </c>
      <c r="N43" s="128">
        <v>25</v>
      </c>
      <c r="O43" s="129">
        <v>43861</v>
      </c>
      <c r="P43" s="105">
        <f t="shared" si="34"/>
        <v>1509</v>
      </c>
      <c r="Q43" s="105">
        <f t="shared" si="35"/>
        <v>4.1342465753424653</v>
      </c>
      <c r="R43" s="105">
        <f t="shared" si="36"/>
        <v>20.865753424657534</v>
      </c>
      <c r="S43" s="105">
        <f t="shared" si="37"/>
        <v>609</v>
      </c>
      <c r="T43" s="105">
        <f t="shared" si="38"/>
        <v>1.6684931506849314</v>
      </c>
      <c r="U43" s="105">
        <f t="shared" si="39"/>
        <v>3488.9300000000003</v>
      </c>
      <c r="V43" s="105">
        <f t="shared" si="40"/>
        <v>66289.670000000013</v>
      </c>
      <c r="W43" s="105">
        <f t="shared" si="41"/>
        <v>5300.7364797794125</v>
      </c>
      <c r="X43" s="105">
        <f t="shared" si="42"/>
        <v>64477.863520220591</v>
      </c>
    </row>
    <row r="44" spans="2:25" ht="13.5">
      <c r="B44" s="194" t="s">
        <v>305</v>
      </c>
      <c r="C44" s="90" t="s">
        <v>295</v>
      </c>
      <c r="D44" s="123">
        <v>2</v>
      </c>
      <c r="E44" s="123">
        <v>1403.23</v>
      </c>
      <c r="F44" s="90">
        <v>0</v>
      </c>
      <c r="G44" s="90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f t="shared" si="10"/>
        <v>2</v>
      </c>
      <c r="M44" s="130">
        <f t="shared" si="11"/>
        <v>1403.23</v>
      </c>
      <c r="N44" s="128">
        <v>25</v>
      </c>
      <c r="O44" s="129">
        <v>43861</v>
      </c>
      <c r="P44" s="105">
        <f t="shared" ref="P44" si="43">O44-$P$4+1</f>
        <v>1509</v>
      </c>
      <c r="Q44" s="105">
        <f t="shared" ref="Q44" si="44">P44/365</f>
        <v>4.1342465753424653</v>
      </c>
      <c r="R44" s="105">
        <f t="shared" ref="R44" si="45">N44-Q44</f>
        <v>20.865753424657534</v>
      </c>
      <c r="S44" s="105">
        <f t="shared" ref="S44" si="46">$S$4-O44+1</f>
        <v>609</v>
      </c>
      <c r="T44" s="105">
        <f t="shared" ref="T44" si="47">S44/365</f>
        <v>1.6684931506849314</v>
      </c>
      <c r="U44" s="105">
        <f t="shared" ref="U44" si="48">+M44*5%</f>
        <v>70.161500000000004</v>
      </c>
      <c r="V44" s="105">
        <f t="shared" ref="V44" si="49">+M44-U44</f>
        <v>1333.0685000000001</v>
      </c>
      <c r="W44" s="105">
        <f t="shared" ref="W44" si="50">T44/R44*V44</f>
        <v>106.59647012867647</v>
      </c>
      <c r="X44" s="105">
        <f t="shared" ref="X44" si="51">+M44-W44</f>
        <v>1296.6335298713236</v>
      </c>
    </row>
    <row r="45" spans="2:25" ht="13.5">
      <c r="B45" s="127"/>
      <c r="C45" s="127"/>
      <c r="D45" s="122"/>
      <c r="E45" s="122">
        <v>36504.28</v>
      </c>
      <c r="F45" s="122"/>
      <c r="G45" s="122">
        <v>0</v>
      </c>
      <c r="H45" s="122"/>
      <c r="I45" s="122"/>
      <c r="J45" s="122"/>
      <c r="K45" s="122"/>
      <c r="L45" s="122"/>
      <c r="M45" s="130">
        <f t="shared" si="11"/>
        <v>36504.28</v>
      </c>
      <c r="N45" s="128">
        <v>25</v>
      </c>
      <c r="O45" s="129">
        <v>44043</v>
      </c>
      <c r="P45" s="105">
        <f t="shared" ref="P45" si="52">O45-$P$4+1</f>
        <v>1691</v>
      </c>
      <c r="Q45" s="105">
        <f t="shared" ref="Q45" si="53">P45/365</f>
        <v>4.6328767123287671</v>
      </c>
      <c r="R45" s="105">
        <f t="shared" ref="R45" si="54">N45-Q45</f>
        <v>20.367123287671234</v>
      </c>
      <c r="S45" s="105">
        <f t="shared" ref="S45" si="55">$S$4-O45+1</f>
        <v>427</v>
      </c>
      <c r="T45" s="105">
        <f t="shared" ref="T45" si="56">S45/365</f>
        <v>1.1698630136986301</v>
      </c>
      <c r="U45" s="105">
        <f t="shared" ref="U45" si="57">+M45*5%</f>
        <v>1825.2139999999999</v>
      </c>
      <c r="V45" s="105">
        <f t="shared" ref="V45" si="58">+M45-U45</f>
        <v>34679.065999999999</v>
      </c>
      <c r="W45" s="105">
        <f t="shared" ref="W45" si="59">T45/R45*V45</f>
        <v>1991.9237532956683</v>
      </c>
      <c r="X45" s="105">
        <f t="shared" ref="X45" si="60">+M45-W45</f>
        <v>34512.35624670433</v>
      </c>
    </row>
    <row r="46" spans="2:25" ht="13.5">
      <c r="B46" s="127"/>
      <c r="C46" s="127"/>
      <c r="D46" s="122"/>
      <c r="E46" s="122">
        <v>7266.16</v>
      </c>
      <c r="F46" s="122"/>
      <c r="G46" s="122">
        <v>0</v>
      </c>
      <c r="H46" s="122"/>
      <c r="I46" s="122"/>
      <c r="J46" s="122"/>
      <c r="K46" s="122"/>
      <c r="L46" s="122"/>
      <c r="M46" s="130">
        <f t="shared" si="11"/>
        <v>7266.16</v>
      </c>
      <c r="N46" s="128">
        <v>25</v>
      </c>
      <c r="O46" s="129">
        <v>44104</v>
      </c>
      <c r="P46" s="105">
        <f t="shared" ref="P46" si="61">O46-$P$4+1</f>
        <v>1752</v>
      </c>
      <c r="Q46" s="105">
        <f t="shared" ref="Q46" si="62">P46/365</f>
        <v>4.8</v>
      </c>
      <c r="R46" s="105">
        <f t="shared" ref="R46" si="63">N46-Q46</f>
        <v>20.2</v>
      </c>
      <c r="S46" s="105">
        <f t="shared" ref="S46" si="64">$S$4-O46+1</f>
        <v>366</v>
      </c>
      <c r="T46" s="105">
        <f t="shared" ref="T46" si="65">S46/365</f>
        <v>1.0027397260273974</v>
      </c>
      <c r="U46" s="105">
        <f t="shared" ref="U46" si="66">+M46*5%</f>
        <v>363.30799999999999</v>
      </c>
      <c r="V46" s="105">
        <f t="shared" ref="V46" si="67">+M46-U46</f>
        <v>6902.8519999999999</v>
      </c>
      <c r="W46" s="105">
        <f t="shared" ref="W46" si="68">T46/R46*V46</f>
        <v>342.66158036077582</v>
      </c>
      <c r="X46" s="105">
        <f t="shared" ref="X46" si="69">+M46-W46</f>
        <v>6923.4984196392243</v>
      </c>
    </row>
    <row r="47" spans="2:25" ht="13.5">
      <c r="B47" s="127"/>
      <c r="C47" s="127"/>
      <c r="D47" s="122"/>
      <c r="E47" s="122"/>
      <c r="F47" s="122"/>
      <c r="G47" s="122"/>
      <c r="H47" s="122"/>
      <c r="I47" s="122"/>
      <c r="J47" s="122"/>
      <c r="K47" s="122">
        <v>4741.24</v>
      </c>
      <c r="L47" s="122"/>
      <c r="M47" s="130">
        <f t="shared" si="11"/>
        <v>-4741.24</v>
      </c>
      <c r="N47" s="128">
        <v>25</v>
      </c>
      <c r="O47" s="129">
        <v>44286</v>
      </c>
      <c r="P47" s="128"/>
      <c r="Q47" s="128"/>
      <c r="R47" s="128"/>
      <c r="S47" s="128"/>
      <c r="T47" s="128"/>
      <c r="U47" s="128"/>
      <c r="V47" s="128"/>
      <c r="W47" s="128"/>
      <c r="X47" s="128"/>
    </row>
    <row r="48" spans="2:25">
      <c r="B48" s="195" t="s">
        <v>252</v>
      </c>
      <c r="C48" s="195" t="s">
        <v>253</v>
      </c>
      <c r="D48" s="196"/>
      <c r="E48" s="196">
        <f>SUM(E6:E47)</f>
        <v>1921817.7299999997</v>
      </c>
      <c r="F48" s="196"/>
      <c r="G48" s="196">
        <f>SUM(G6:G46)</f>
        <v>0</v>
      </c>
      <c r="H48" s="196"/>
      <c r="I48" s="196">
        <f>SUM(I6:I46)</f>
        <v>124307.83</v>
      </c>
      <c r="J48" s="196"/>
      <c r="K48" s="196">
        <f>SUM(K6:K47)</f>
        <v>4741.24</v>
      </c>
      <c r="L48" s="196"/>
      <c r="M48" s="196">
        <f>SUM(M6:M47)</f>
        <v>1792768.66</v>
      </c>
      <c r="N48" s="128"/>
      <c r="O48" s="128"/>
      <c r="P48" s="128"/>
      <c r="Q48" s="128"/>
      <c r="R48" s="128"/>
      <c r="S48" s="128"/>
      <c r="T48" s="128"/>
      <c r="U48" s="196">
        <f t="shared" ref="U48:X48" si="70">SUM(U6:U46)</f>
        <v>89875.49500000001</v>
      </c>
      <c r="V48" s="196">
        <f t="shared" si="70"/>
        <v>1707634.4050000005</v>
      </c>
      <c r="W48" s="196">
        <f t="shared" si="70"/>
        <v>330636.94088562101</v>
      </c>
      <c r="X48" s="196">
        <f t="shared" si="70"/>
        <v>1466872.9591143788</v>
      </c>
      <c r="Y48" s="131">
        <f>X48-'P&amp;M'!Q80</f>
        <v>4741.2399999997579</v>
      </c>
    </row>
    <row r="49" spans="5:28">
      <c r="E49" s="132"/>
      <c r="I49" s="131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5:28">
      <c r="I50" s="131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 t="s">
        <v>275</v>
      </c>
      <c r="W50" s="128">
        <v>1070.18</v>
      </c>
      <c r="X50" s="128"/>
    </row>
    <row r="51" spans="5:28">
      <c r="I51" s="68">
        <f>124308.83-101028.58</f>
        <v>23280.25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 t="s">
        <v>276</v>
      </c>
      <c r="W51" s="128">
        <v>12642.745588981708</v>
      </c>
      <c r="X51" s="128"/>
    </row>
    <row r="52" spans="5:28">
      <c r="M52" s="131"/>
      <c r="V52" s="128" t="s">
        <v>278</v>
      </c>
      <c r="W52" s="131">
        <v>24409.693742074291</v>
      </c>
    </row>
    <row r="53" spans="5:28">
      <c r="V53" s="134" t="s">
        <v>279</v>
      </c>
      <c r="W53" s="131">
        <v>19597.620223909376</v>
      </c>
    </row>
    <row r="54" spans="5:28">
      <c r="V54" s="134" t="s">
        <v>283</v>
      </c>
      <c r="W54" s="131">
        <v>22679.68</v>
      </c>
    </row>
    <row r="55" spans="5:28">
      <c r="V55" s="134" t="s">
        <v>285</v>
      </c>
      <c r="W55" s="131">
        <v>22679.68</v>
      </c>
    </row>
    <row r="56" spans="5:28">
      <c r="V56" s="134" t="s">
        <v>286</v>
      </c>
      <c r="W56" s="131">
        <v>22186.639999999999</v>
      </c>
    </row>
    <row r="57" spans="5:28">
      <c r="V57" s="134" t="s">
        <v>318</v>
      </c>
      <c r="W57" s="131">
        <v>122521.65359630682</v>
      </c>
      <c r="X57" s="197">
        <v>108014.67670265319</v>
      </c>
      <c r="Y57" s="131"/>
    </row>
    <row r="58" spans="5:28">
      <c r="V58" s="134" t="s">
        <v>289</v>
      </c>
      <c r="W58" s="131">
        <v>22003.267473765303</v>
      </c>
      <c r="X58" s="105">
        <v>501.978147251753</v>
      </c>
      <c r="Y58" s="131"/>
    </row>
    <row r="59" spans="5:28">
      <c r="V59" s="134" t="s">
        <v>297</v>
      </c>
      <c r="W59" s="131">
        <v>21538.790771112079</v>
      </c>
    </row>
    <row r="60" spans="5:28">
      <c r="M60" s="132"/>
      <c r="T60" s="131"/>
      <c r="V60" s="134" t="s">
        <v>319</v>
      </c>
      <c r="W60" s="131">
        <v>21070.558001602563</v>
      </c>
    </row>
    <row r="61" spans="5:28">
      <c r="V61" s="134" t="s">
        <v>320</v>
      </c>
      <c r="W61" s="131">
        <v>118025.89077167743</v>
      </c>
      <c r="X61" s="68">
        <v>109994.47</v>
      </c>
      <c r="Y61" s="131"/>
      <c r="Z61" s="131"/>
      <c r="AA61" s="131"/>
    </row>
    <row r="62" spans="5:28">
      <c r="V62" s="134" t="s">
        <v>321</v>
      </c>
      <c r="W62" s="131">
        <v>20332.133120128216</v>
      </c>
      <c r="X62" s="68">
        <v>17748.36</v>
      </c>
      <c r="Y62" s="131"/>
    </row>
    <row r="63" spans="5:28">
      <c r="T63" s="131"/>
      <c r="V63" s="134" t="s">
        <v>322</v>
      </c>
      <c r="W63" s="131">
        <f>412794.330194857-201950.28</f>
        <v>210844.05019485697</v>
      </c>
      <c r="X63" s="68">
        <f>195588.72+201950.28+24917.33</f>
        <v>422456.33</v>
      </c>
      <c r="Y63" s="68">
        <f>SUM(X61:X63)</f>
        <v>550199.16</v>
      </c>
      <c r="AB63" s="197">
        <v>108014.67670265319</v>
      </c>
    </row>
    <row r="64" spans="5:28">
      <c r="V64" s="134" t="s">
        <v>323</v>
      </c>
      <c r="W64" s="131">
        <v>18283.825256818731</v>
      </c>
      <c r="Y64" s="68">
        <v>589798</v>
      </c>
      <c r="AB64" s="105">
        <v>501.978147251753</v>
      </c>
    </row>
    <row r="65" spans="22:28">
      <c r="V65" s="134" t="s">
        <v>331</v>
      </c>
      <c r="W65" s="131">
        <v>18835.509999999998</v>
      </c>
      <c r="X65" s="197">
        <f>W65/2</f>
        <v>9417.7549999999992</v>
      </c>
      <c r="Y65" s="68">
        <f>Y64-Y63</f>
        <v>39598.839999999967</v>
      </c>
    </row>
    <row r="66" spans="22:28">
      <c r="V66" s="134" t="s">
        <v>334</v>
      </c>
      <c r="W66" s="68">
        <v>18835.509999999998</v>
      </c>
      <c r="Y66" s="68">
        <v>240869.23</v>
      </c>
    </row>
    <row r="67" spans="22:28">
      <c r="V67" s="134" t="s">
        <v>335</v>
      </c>
      <c r="W67" s="131">
        <v>19222.20925238734</v>
      </c>
      <c r="X67" s="68">
        <v>240869.23</v>
      </c>
      <c r="AB67" s="68">
        <v>109994.47</v>
      </c>
    </row>
    <row r="68" spans="22:28">
      <c r="V68" s="134" t="s">
        <v>337</v>
      </c>
      <c r="W68" s="131">
        <v>18804.56212943458</v>
      </c>
    </row>
    <row r="69" spans="22:28">
      <c r="V69" s="134" t="s">
        <v>341</v>
      </c>
      <c r="W69" s="131">
        <v>19269.798603274743</v>
      </c>
      <c r="AB69" s="68">
        <f>195588.72+24917.33</f>
        <v>220506.05</v>
      </c>
    </row>
    <row r="70" spans="22:28">
      <c r="V70" s="134" t="s">
        <v>344</v>
      </c>
      <c r="W70" s="131"/>
    </row>
    <row r="71" spans="22:28">
      <c r="V71" s="198" t="s">
        <v>75</v>
      </c>
      <c r="W71" s="199">
        <f>SUM(W50:W69)</f>
        <v>774853.99872633</v>
      </c>
    </row>
    <row r="72" spans="22:28">
      <c r="V72" s="198"/>
      <c r="W72" s="199"/>
    </row>
    <row r="75" spans="22:28">
      <c r="AA75" s="197"/>
    </row>
  </sheetData>
  <mergeCells count="5"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91"/>
  <sheetViews>
    <sheetView showGridLines="0" topLeftCell="A67" workbookViewId="0">
      <selection activeCell="C19" sqref="C19"/>
    </sheetView>
  </sheetViews>
  <sheetFormatPr defaultRowHeight="15"/>
  <cols>
    <col min="1" max="1" width="3" style="88" customWidth="1"/>
    <col min="2" max="2" width="41" style="88" bestFit="1" customWidth="1"/>
    <col min="3" max="3" width="16" style="88" bestFit="1" customWidth="1"/>
    <col min="4" max="4" width="18.42578125" style="88" bestFit="1" customWidth="1"/>
    <col min="5" max="5" width="16" style="88" bestFit="1" customWidth="1"/>
    <col min="6" max="6" width="21" style="88" bestFit="1" customWidth="1"/>
    <col min="7" max="7" width="16" style="88" bestFit="1" customWidth="1"/>
    <col min="8" max="8" width="14.85546875" style="88" customWidth="1"/>
    <col min="9" max="9" width="9.85546875" style="88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8" width="11" style="88" bestFit="1" customWidth="1"/>
    <col min="19" max="19" width="11.7109375" style="88" bestFit="1" customWidth="1"/>
    <col min="20" max="16384" width="9.140625" style="88"/>
  </cols>
  <sheetData>
    <row r="2" spans="2:19">
      <c r="B2" s="101" t="str">
        <f>+Lead!A10</f>
        <v>Plant &amp; Machinery</v>
      </c>
      <c r="K2" s="89">
        <v>44469</v>
      </c>
    </row>
    <row r="3" spans="2:19">
      <c r="B3" s="96" t="s">
        <v>15</v>
      </c>
      <c r="C3" s="96" t="s">
        <v>16</v>
      </c>
      <c r="D3" s="97" t="s">
        <v>17</v>
      </c>
      <c r="E3" s="97" t="s">
        <v>145</v>
      </c>
      <c r="F3" s="98" t="s">
        <v>13</v>
      </c>
      <c r="G3" s="98" t="s">
        <v>149</v>
      </c>
      <c r="H3" s="96" t="s">
        <v>19</v>
      </c>
      <c r="I3" s="98" t="s">
        <v>20</v>
      </c>
      <c r="J3" s="96" t="s">
        <v>21</v>
      </c>
      <c r="K3" s="96" t="s">
        <v>146</v>
      </c>
      <c r="L3" s="96" t="s">
        <v>147</v>
      </c>
      <c r="M3" s="99" t="s">
        <v>65</v>
      </c>
      <c r="N3" s="96" t="s">
        <v>148</v>
      </c>
      <c r="O3" s="96" t="s">
        <v>67</v>
      </c>
      <c r="P3" s="96" t="s">
        <v>66</v>
      </c>
      <c r="Q3" s="96" t="s">
        <v>150</v>
      </c>
    </row>
    <row r="4" spans="2:19">
      <c r="B4" s="90" t="s">
        <v>302</v>
      </c>
      <c r="C4" s="67"/>
      <c r="D4" s="89"/>
      <c r="E4" s="91"/>
      <c r="F4" s="87"/>
      <c r="G4" s="92"/>
      <c r="H4" s="67"/>
      <c r="J4" s="93"/>
    </row>
    <row r="5" spans="2:19">
      <c r="B5" s="90"/>
      <c r="C5" s="67"/>
      <c r="D5" s="89"/>
      <c r="E5" s="91"/>
      <c r="F5" s="87"/>
      <c r="G5" s="92"/>
      <c r="H5" s="67"/>
      <c r="J5" s="93"/>
    </row>
    <row r="6" spans="2:19">
      <c r="B6" s="67" t="s">
        <v>151</v>
      </c>
      <c r="C6" s="67" t="s">
        <v>6</v>
      </c>
      <c r="D6" s="89">
        <v>42353</v>
      </c>
      <c r="E6" s="87">
        <v>13349812.794238051</v>
      </c>
      <c r="F6" s="87">
        <v>0</v>
      </c>
      <c r="G6" s="92">
        <f>E6+F6</f>
        <v>13349812.794238051</v>
      </c>
      <c r="H6" s="67" t="s">
        <v>151</v>
      </c>
      <c r="I6" s="88">
        <v>25</v>
      </c>
      <c r="J6" s="93">
        <f>E6*5%</f>
        <v>667490.63971190259</v>
      </c>
      <c r="K6" s="93">
        <f>$K$2-D6+1</f>
        <v>2117</v>
      </c>
      <c r="L6" s="93">
        <f>K6/365</f>
        <v>5.8</v>
      </c>
      <c r="M6" s="93">
        <f>I6-L6</f>
        <v>19.2</v>
      </c>
      <c r="N6" s="90" t="str">
        <f>IF(M6&lt;=0,"NO","YES")</f>
        <v>YES</v>
      </c>
      <c r="O6" s="94">
        <f>G6-J6</f>
        <v>12682322.154526148</v>
      </c>
      <c r="P6" s="92">
        <f>O6/I6*L6</f>
        <v>2942298.7398500661</v>
      </c>
      <c r="Q6" s="95">
        <f>G6-P6</f>
        <v>10407514.054387985</v>
      </c>
      <c r="R6" s="137"/>
      <c r="S6" s="137"/>
    </row>
    <row r="7" spans="2:19">
      <c r="B7" s="67"/>
      <c r="C7" s="67" t="s">
        <v>6</v>
      </c>
      <c r="D7" s="89">
        <v>42444</v>
      </c>
      <c r="E7" s="87">
        <v>438866.03</v>
      </c>
      <c r="F7" s="87">
        <v>0</v>
      </c>
      <c r="G7" s="92">
        <f>E7+F7</f>
        <v>438866.03</v>
      </c>
      <c r="H7" s="67" t="s">
        <v>151</v>
      </c>
      <c r="I7" s="88">
        <v>25</v>
      </c>
      <c r="J7" s="93">
        <f>E7*5%</f>
        <v>21943.301500000001</v>
      </c>
      <c r="K7" s="93">
        <f>$K$2-D7+1</f>
        <v>2026</v>
      </c>
      <c r="L7" s="93">
        <f>K7/365</f>
        <v>5.5506849315068489</v>
      </c>
      <c r="M7" s="93">
        <f>I7-L7</f>
        <v>19.449315068493149</v>
      </c>
      <c r="N7" s="90" t="str">
        <f>IF(M7&lt;=0,"NO","YES")</f>
        <v>YES</v>
      </c>
      <c r="O7" s="94">
        <f>G7-J7</f>
        <v>416922.72850000003</v>
      </c>
      <c r="P7" s="92">
        <f>O7/I7*L7</f>
        <v>92568.268267506835</v>
      </c>
      <c r="Q7" s="95">
        <f>G7-P7</f>
        <v>346297.76173249318</v>
      </c>
      <c r="R7" s="137"/>
      <c r="S7" s="137"/>
    </row>
    <row r="8" spans="2:19">
      <c r="B8" s="67"/>
      <c r="C8" s="67" t="s">
        <v>6</v>
      </c>
      <c r="D8" s="89">
        <v>43054</v>
      </c>
      <c r="E8" s="87">
        <v>2170135.5299999998</v>
      </c>
      <c r="F8" s="87">
        <v>0</v>
      </c>
      <c r="G8" s="92">
        <f>E8+F8</f>
        <v>2170135.5299999998</v>
      </c>
      <c r="H8" s="67" t="s">
        <v>151</v>
      </c>
      <c r="I8" s="88">
        <v>25</v>
      </c>
      <c r="J8" s="93">
        <f>E8*5%</f>
        <v>108506.77649999999</v>
      </c>
      <c r="K8" s="93">
        <f>$K$2-D8+1</f>
        <v>1416</v>
      </c>
      <c r="L8" s="93">
        <f>K8/365</f>
        <v>3.8794520547945206</v>
      </c>
      <c r="M8" s="93">
        <f>I8-L8</f>
        <v>21.12054794520548</v>
      </c>
      <c r="N8" s="90" t="str">
        <f>IF(M8&lt;=0,"NO","YES")</f>
        <v>YES</v>
      </c>
      <c r="O8" s="94">
        <f>G8-J8</f>
        <v>2061628.7534999999</v>
      </c>
      <c r="P8" s="92">
        <f>O8/I8*L8</f>
        <v>319919.59615956165</v>
      </c>
      <c r="Q8" s="95">
        <f>G8-P8</f>
        <v>1850215.9338404383</v>
      </c>
      <c r="R8" s="137"/>
      <c r="S8" s="137"/>
    </row>
    <row r="9" spans="2:19">
      <c r="B9" s="67"/>
      <c r="C9" s="67" t="s">
        <v>6</v>
      </c>
      <c r="D9" s="89">
        <v>43190</v>
      </c>
      <c r="E9" s="87">
        <v>1257059</v>
      </c>
      <c r="F9" s="87">
        <v>0</v>
      </c>
      <c r="G9" s="92">
        <f>E9+F9</f>
        <v>1257059</v>
      </c>
      <c r="H9" s="67" t="s">
        <v>151</v>
      </c>
      <c r="I9" s="88">
        <v>25</v>
      </c>
      <c r="J9" s="93">
        <f>E9*5%</f>
        <v>62852.950000000004</v>
      </c>
      <c r="K9" s="93">
        <f>$K$2-D9+1</f>
        <v>1280</v>
      </c>
      <c r="L9" s="93">
        <f>K9/365</f>
        <v>3.506849315068493</v>
      </c>
      <c r="M9" s="93">
        <f>I9-L9</f>
        <v>21.493150684931507</v>
      </c>
      <c r="N9" s="90" t="str">
        <f>IF(M9&lt;=0,"NO","YES")</f>
        <v>YES</v>
      </c>
      <c r="O9" s="94">
        <f>G9-J9</f>
        <v>1194206.05</v>
      </c>
      <c r="P9" s="92">
        <f>O9/I9*L9</f>
        <v>167516.02673972602</v>
      </c>
      <c r="Q9" s="95">
        <f>G9-P9</f>
        <v>1089542.9732602739</v>
      </c>
      <c r="R9" s="137"/>
      <c r="S9" s="137"/>
    </row>
    <row r="10" spans="2:19">
      <c r="B10" s="67" t="s">
        <v>152</v>
      </c>
      <c r="C10" s="67" t="s">
        <v>6</v>
      </c>
      <c r="D10" s="89">
        <v>42353</v>
      </c>
      <c r="E10" s="87">
        <v>23580162.917827323</v>
      </c>
      <c r="F10" s="87">
        <v>0</v>
      </c>
      <c r="G10" s="92">
        <f>E10+F10</f>
        <v>23580162.917827323</v>
      </c>
      <c r="H10" s="67" t="s">
        <v>151</v>
      </c>
      <c r="I10" s="88">
        <v>25</v>
      </c>
      <c r="J10" s="93">
        <f>E10*5%</f>
        <v>1179008.1458913663</v>
      </c>
      <c r="K10" s="93">
        <f>$K$2-D10+1</f>
        <v>2117</v>
      </c>
      <c r="L10" s="93">
        <f>K10/365</f>
        <v>5.8</v>
      </c>
      <c r="M10" s="93">
        <f>I10-L10</f>
        <v>19.2</v>
      </c>
      <c r="N10" s="90" t="str">
        <f>IF(M10&lt;=0,"NO","YES")</f>
        <v>YES</v>
      </c>
      <c r="O10" s="94">
        <f>G10-J10</f>
        <v>22401154.771935958</v>
      </c>
      <c r="P10" s="92">
        <f>O10/I10*L10</f>
        <v>5197067.9070891421</v>
      </c>
      <c r="Q10" s="95">
        <f>G10-P10</f>
        <v>18383095.010738179</v>
      </c>
      <c r="R10" s="137"/>
      <c r="S10" s="137"/>
    </row>
    <row r="11" spans="2:19">
      <c r="E11" s="87"/>
      <c r="F11" s="102"/>
      <c r="R11" s="137"/>
      <c r="S11" s="137"/>
    </row>
    <row r="12" spans="2:19">
      <c r="B12" s="67" t="s">
        <v>154</v>
      </c>
      <c r="C12" s="67" t="s">
        <v>6</v>
      </c>
      <c r="D12" s="89">
        <v>42353</v>
      </c>
      <c r="E12" s="87">
        <v>18016945.345661405</v>
      </c>
      <c r="F12" s="87">
        <v>0</v>
      </c>
      <c r="G12" s="92">
        <f>E12+F12</f>
        <v>18016945.345661405</v>
      </c>
      <c r="H12" s="67" t="s">
        <v>153</v>
      </c>
      <c r="I12" s="88">
        <v>25</v>
      </c>
      <c r="J12" s="93">
        <f>E12*5%</f>
        <v>900847.26728307037</v>
      </c>
      <c r="K12" s="93">
        <f t="shared" ref="K12:K16" si="0">$K$2-D12+1</f>
        <v>2117</v>
      </c>
      <c r="L12" s="93">
        <f t="shared" ref="L12:L16" si="1">K12/365</f>
        <v>5.8</v>
      </c>
      <c r="M12" s="93">
        <f t="shared" ref="M12:M16" si="2">I12-L12</f>
        <v>19.2</v>
      </c>
      <c r="N12" s="90" t="str">
        <f t="shared" ref="N12:N16" si="3">IF(M12&lt;=0,"NO","YES")</f>
        <v>YES</v>
      </c>
      <c r="O12" s="94">
        <f t="shared" ref="O12:O16" si="4">G12-J12</f>
        <v>17116098.078378335</v>
      </c>
      <c r="P12" s="92">
        <f t="shared" ref="P12:P16" si="5">O12/I12*L12</f>
        <v>3970934.7541837734</v>
      </c>
      <c r="Q12" s="95">
        <f t="shared" ref="Q12:Q16" si="6">G12-P12</f>
        <v>14046010.591477633</v>
      </c>
      <c r="R12" s="137"/>
      <c r="S12" s="137"/>
    </row>
    <row r="13" spans="2:19">
      <c r="B13" s="67"/>
      <c r="C13" s="67" t="s">
        <v>6</v>
      </c>
      <c r="D13" s="89">
        <v>42444</v>
      </c>
      <c r="E13" s="87">
        <v>28232.720000000001</v>
      </c>
      <c r="F13" s="87">
        <v>0</v>
      </c>
      <c r="G13" s="92">
        <f>E13+F13</f>
        <v>28232.720000000001</v>
      </c>
      <c r="H13" s="67" t="s">
        <v>153</v>
      </c>
      <c r="I13" s="88">
        <v>25</v>
      </c>
      <c r="J13" s="93">
        <f>E13*5%</f>
        <v>1411.6360000000002</v>
      </c>
      <c r="K13" s="93">
        <f t="shared" si="0"/>
        <v>2026</v>
      </c>
      <c r="L13" s="93">
        <f t="shared" si="1"/>
        <v>5.5506849315068489</v>
      </c>
      <c r="M13" s="93">
        <f t="shared" si="2"/>
        <v>19.449315068493149</v>
      </c>
      <c r="N13" s="90" t="str">
        <f t="shared" si="3"/>
        <v>YES</v>
      </c>
      <c r="O13" s="94">
        <f t="shared" si="4"/>
        <v>26821.084000000003</v>
      </c>
      <c r="P13" s="92">
        <f t="shared" si="5"/>
        <v>5955.0154722191783</v>
      </c>
      <c r="Q13" s="95">
        <f t="shared" si="6"/>
        <v>22277.704527780821</v>
      </c>
      <c r="R13" s="137"/>
      <c r="S13" s="137"/>
    </row>
    <row r="14" spans="2:19">
      <c r="B14" s="67"/>
      <c r="C14" s="67"/>
      <c r="D14" s="89"/>
      <c r="E14" s="87"/>
      <c r="F14" s="87"/>
      <c r="G14" s="92"/>
      <c r="H14" s="67"/>
      <c r="J14" s="93"/>
      <c r="K14" s="93"/>
      <c r="L14" s="93"/>
      <c r="M14" s="93"/>
      <c r="N14" s="90"/>
      <c r="O14" s="94"/>
      <c r="P14" s="92"/>
      <c r="Q14" s="95"/>
      <c r="R14" s="137"/>
      <c r="S14" s="137"/>
    </row>
    <row r="15" spans="2:19">
      <c r="B15" s="67" t="s">
        <v>155</v>
      </c>
      <c r="C15" s="67" t="s">
        <v>6</v>
      </c>
      <c r="D15" s="89">
        <v>42353</v>
      </c>
      <c r="E15" s="87">
        <v>6359488.7958694519</v>
      </c>
      <c r="F15" s="87">
        <v>0</v>
      </c>
      <c r="G15" s="92">
        <f>E15+F15</f>
        <v>6359488.7958694519</v>
      </c>
      <c r="H15" s="67" t="s">
        <v>153</v>
      </c>
      <c r="I15" s="88">
        <v>25</v>
      </c>
      <c r="J15" s="93">
        <f>E15*5%</f>
        <v>317974.43979347264</v>
      </c>
      <c r="K15" s="93">
        <f t="shared" si="0"/>
        <v>2117</v>
      </c>
      <c r="L15" s="93">
        <f t="shared" si="1"/>
        <v>5.8</v>
      </c>
      <c r="M15" s="93">
        <f t="shared" si="2"/>
        <v>19.2</v>
      </c>
      <c r="N15" s="90" t="str">
        <f t="shared" si="3"/>
        <v>YES</v>
      </c>
      <c r="O15" s="94">
        <f t="shared" si="4"/>
        <v>6041514.3560759798</v>
      </c>
      <c r="P15" s="92">
        <f t="shared" si="5"/>
        <v>1401631.3306096273</v>
      </c>
      <c r="Q15" s="95">
        <f t="shared" si="6"/>
        <v>4957857.4652598249</v>
      </c>
      <c r="R15" s="137"/>
      <c r="S15" s="137"/>
    </row>
    <row r="16" spans="2:19">
      <c r="B16" s="67" t="s">
        <v>156</v>
      </c>
      <c r="C16" s="67" t="s">
        <v>6</v>
      </c>
      <c r="D16" s="89">
        <v>42353</v>
      </c>
      <c r="E16" s="87">
        <v>23471348.609397441</v>
      </c>
      <c r="F16" s="87">
        <v>0</v>
      </c>
      <c r="G16" s="92">
        <f>E16+F16</f>
        <v>23471348.609397441</v>
      </c>
      <c r="H16" s="67" t="s">
        <v>153</v>
      </c>
      <c r="I16" s="88">
        <v>25</v>
      </c>
      <c r="J16" s="93">
        <f>E16*5%</f>
        <v>1173567.4304698722</v>
      </c>
      <c r="K16" s="93">
        <f t="shared" si="0"/>
        <v>2117</v>
      </c>
      <c r="L16" s="93">
        <f t="shared" si="1"/>
        <v>5.8</v>
      </c>
      <c r="M16" s="93">
        <f t="shared" si="2"/>
        <v>19.2</v>
      </c>
      <c r="N16" s="90" t="str">
        <f t="shared" si="3"/>
        <v>YES</v>
      </c>
      <c r="O16" s="94">
        <f t="shared" si="4"/>
        <v>22297781.178927571</v>
      </c>
      <c r="P16" s="92">
        <f t="shared" si="5"/>
        <v>5173085.2335111964</v>
      </c>
      <c r="Q16" s="95">
        <f t="shared" si="6"/>
        <v>18298263.375886247</v>
      </c>
      <c r="R16" s="137"/>
      <c r="S16" s="137"/>
    </row>
    <row r="17" spans="2:19">
      <c r="E17" s="87"/>
      <c r="F17" s="102"/>
      <c r="R17" s="137"/>
      <c r="S17" s="137"/>
    </row>
    <row r="18" spans="2:19">
      <c r="B18" s="67" t="s">
        <v>158</v>
      </c>
      <c r="C18" s="67" t="s">
        <v>6</v>
      </c>
      <c r="D18" s="89">
        <v>42353</v>
      </c>
      <c r="E18" s="87">
        <v>16285817.652894545</v>
      </c>
      <c r="F18" s="87">
        <v>0</v>
      </c>
      <c r="G18" s="92">
        <f>E18+F18</f>
        <v>16285817.652894545</v>
      </c>
      <c r="H18" s="67" t="s">
        <v>157</v>
      </c>
      <c r="I18" s="88">
        <v>25</v>
      </c>
      <c r="J18" s="93">
        <f t="shared" ref="J18:J21" si="7">E18*5%</f>
        <v>814290.88264472736</v>
      </c>
      <c r="K18" s="93">
        <f>$K$2-D18+1</f>
        <v>2117</v>
      </c>
      <c r="L18" s="93">
        <f>K18/365</f>
        <v>5.8</v>
      </c>
      <c r="M18" s="93">
        <f>I18-L18</f>
        <v>19.2</v>
      </c>
      <c r="N18" s="90" t="str">
        <f>IF(M18&lt;=0,"NO","YES")</f>
        <v>YES</v>
      </c>
      <c r="O18" s="94">
        <f>G18-J18</f>
        <v>15471526.770249818</v>
      </c>
      <c r="P18" s="92">
        <f>O18/I18*L18</f>
        <v>3589394.2106979578</v>
      </c>
      <c r="Q18" s="95">
        <f>G18-P18</f>
        <v>12696423.442196587</v>
      </c>
      <c r="R18" s="137"/>
      <c r="S18" s="137"/>
    </row>
    <row r="19" spans="2:19">
      <c r="C19" s="67" t="s">
        <v>6</v>
      </c>
      <c r="D19" s="89">
        <v>42444</v>
      </c>
      <c r="E19" s="87">
        <v>7921.18</v>
      </c>
      <c r="F19" s="87">
        <v>0</v>
      </c>
      <c r="G19" s="92">
        <f>E19+F19</f>
        <v>7921.18</v>
      </c>
      <c r="H19" s="67" t="s">
        <v>157</v>
      </c>
      <c r="I19" s="88">
        <v>25</v>
      </c>
      <c r="J19" s="93">
        <f t="shared" si="7"/>
        <v>396.05900000000003</v>
      </c>
      <c r="K19" s="93">
        <f>$K$2-D19+1</f>
        <v>2026</v>
      </c>
      <c r="L19" s="93">
        <f>K19/365</f>
        <v>5.5506849315068489</v>
      </c>
      <c r="M19" s="93">
        <f>I19-L19</f>
        <v>19.449315068493149</v>
      </c>
      <c r="N19" s="90" t="str">
        <f>IF(M19&lt;=0,"NO","YES")</f>
        <v>YES</v>
      </c>
      <c r="O19" s="94">
        <f>G19-J19</f>
        <v>7525.1210000000001</v>
      </c>
      <c r="P19" s="92">
        <f>O19/I19*L19</f>
        <v>1670.7830296986301</v>
      </c>
      <c r="Q19" s="95">
        <f>G19-P19</f>
        <v>6250.3969703013699</v>
      </c>
      <c r="R19" s="137"/>
      <c r="S19" s="137"/>
    </row>
    <row r="20" spans="2:19">
      <c r="B20" s="67" t="s">
        <v>160</v>
      </c>
      <c r="C20" s="67" t="s">
        <v>6</v>
      </c>
      <c r="D20" s="89">
        <v>42353</v>
      </c>
      <c r="E20" s="87">
        <v>22019718.364748299</v>
      </c>
      <c r="F20" s="87">
        <v>0</v>
      </c>
      <c r="G20" s="92">
        <f t="shared" ref="G20:G29" si="8">E20+F20</f>
        <v>22019718.364748299</v>
      </c>
      <c r="H20" s="67" t="s">
        <v>159</v>
      </c>
      <c r="I20" s="88">
        <v>25</v>
      </c>
      <c r="J20" s="93">
        <f t="shared" si="7"/>
        <v>1100985.9182374149</v>
      </c>
      <c r="K20" s="93">
        <f t="shared" ref="K20:K29" si="9">$K$2-D20+1</f>
        <v>2117</v>
      </c>
      <c r="L20" s="93">
        <f t="shared" ref="L20:L29" si="10">K20/365</f>
        <v>5.8</v>
      </c>
      <c r="M20" s="93">
        <f t="shared" ref="M20:M29" si="11">I20-L20</f>
        <v>19.2</v>
      </c>
      <c r="N20" s="90" t="str">
        <f t="shared" ref="N20:N29" si="12">IF(M20&lt;=0,"NO","YES")</f>
        <v>YES</v>
      </c>
      <c r="O20" s="94">
        <f t="shared" ref="O20:O29" si="13">G20-J20</f>
        <v>20918732.446510885</v>
      </c>
      <c r="P20" s="92">
        <f t="shared" ref="P20:P29" si="14">O20/I20*L20</f>
        <v>4853145.9275905257</v>
      </c>
      <c r="Q20" s="95">
        <f t="shared" ref="Q20:Q29" si="15">G20-P20</f>
        <v>17166572.437157772</v>
      </c>
      <c r="R20" s="137"/>
      <c r="S20" s="137"/>
    </row>
    <row r="21" spans="2:19">
      <c r="B21" s="67"/>
      <c r="C21" s="67" t="s">
        <v>6</v>
      </c>
      <c r="D21" s="89">
        <v>42444</v>
      </c>
      <c r="E21" s="87">
        <v>393980.52</v>
      </c>
      <c r="F21" s="87">
        <v>0</v>
      </c>
      <c r="G21" s="92">
        <f t="shared" si="8"/>
        <v>393980.52</v>
      </c>
      <c r="H21" s="67" t="s">
        <v>159</v>
      </c>
      <c r="I21" s="88">
        <v>25</v>
      </c>
      <c r="J21" s="93">
        <f t="shared" si="7"/>
        <v>19699.026000000002</v>
      </c>
      <c r="K21" s="93">
        <f t="shared" si="9"/>
        <v>2026</v>
      </c>
      <c r="L21" s="93">
        <f t="shared" si="10"/>
        <v>5.5506849315068489</v>
      </c>
      <c r="M21" s="93">
        <f t="shared" si="11"/>
        <v>19.449315068493149</v>
      </c>
      <c r="N21" s="90" t="str">
        <f t="shared" si="12"/>
        <v>YES</v>
      </c>
      <c r="O21" s="94">
        <f t="shared" si="13"/>
        <v>374281.49400000001</v>
      </c>
      <c r="P21" s="92">
        <f t="shared" si="14"/>
        <v>83100.745955506849</v>
      </c>
      <c r="Q21" s="95">
        <f t="shared" si="15"/>
        <v>310879.77404449316</v>
      </c>
      <c r="R21" s="137"/>
      <c r="S21" s="137"/>
    </row>
    <row r="22" spans="2:19">
      <c r="B22" s="67"/>
      <c r="C22" s="67"/>
      <c r="D22" s="89"/>
      <c r="E22" s="87"/>
      <c r="F22" s="87"/>
      <c r="G22" s="92"/>
      <c r="H22" s="67"/>
      <c r="J22" s="93"/>
      <c r="K22" s="93"/>
      <c r="L22" s="93"/>
      <c r="M22" s="93"/>
      <c r="N22" s="90"/>
      <c r="O22" s="94"/>
      <c r="P22" s="92"/>
      <c r="Q22" s="95"/>
      <c r="R22" s="137"/>
      <c r="S22" s="137"/>
    </row>
    <row r="23" spans="2:19">
      <c r="B23" s="67" t="s">
        <v>161</v>
      </c>
      <c r="C23" s="67" t="s">
        <v>6</v>
      </c>
      <c r="D23" s="89">
        <v>42353</v>
      </c>
      <c r="E23" s="87">
        <v>44551346.382107601</v>
      </c>
      <c r="F23" s="87">
        <v>0</v>
      </c>
      <c r="G23" s="92">
        <f t="shared" si="8"/>
        <v>44551346.382107601</v>
      </c>
      <c r="H23" s="67" t="s">
        <v>159</v>
      </c>
      <c r="I23" s="88">
        <v>25</v>
      </c>
      <c r="J23" s="93">
        <f t="shared" ref="J23:J24" si="16">E23*5%</f>
        <v>2227567.3191053802</v>
      </c>
      <c r="K23" s="93">
        <f t="shared" si="9"/>
        <v>2117</v>
      </c>
      <c r="L23" s="93">
        <f t="shared" si="10"/>
        <v>5.8</v>
      </c>
      <c r="M23" s="93">
        <f t="shared" si="11"/>
        <v>19.2</v>
      </c>
      <c r="N23" s="90" t="str">
        <f t="shared" si="12"/>
        <v>YES</v>
      </c>
      <c r="O23" s="94">
        <f t="shared" si="13"/>
        <v>42323779.063002221</v>
      </c>
      <c r="P23" s="92">
        <f t="shared" si="14"/>
        <v>9819116.7426165156</v>
      </c>
      <c r="Q23" s="95">
        <f t="shared" si="15"/>
        <v>34732229.639491081</v>
      </c>
      <c r="R23" s="137"/>
      <c r="S23" s="137"/>
    </row>
    <row r="24" spans="2:19">
      <c r="B24" s="67"/>
      <c r="C24" s="67" t="s">
        <v>6</v>
      </c>
      <c r="D24" s="89">
        <v>42353</v>
      </c>
      <c r="E24" s="87">
        <v>2368075.5</v>
      </c>
      <c r="F24" s="87">
        <v>0</v>
      </c>
      <c r="G24" s="92">
        <f t="shared" ref="G24" si="17">E24+F24</f>
        <v>2368075.5</v>
      </c>
      <c r="H24" s="67" t="s">
        <v>159</v>
      </c>
      <c r="I24" s="88">
        <v>25</v>
      </c>
      <c r="J24" s="93">
        <f t="shared" si="16"/>
        <v>118403.77500000001</v>
      </c>
      <c r="K24" s="93">
        <f t="shared" si="9"/>
        <v>2117</v>
      </c>
      <c r="L24" s="93">
        <f t="shared" si="10"/>
        <v>5.8</v>
      </c>
      <c r="M24" s="93">
        <f t="shared" si="11"/>
        <v>19.2</v>
      </c>
      <c r="N24" s="90" t="str">
        <f t="shared" si="12"/>
        <v>YES</v>
      </c>
      <c r="O24" s="94">
        <f t="shared" si="13"/>
        <v>2249671.7250000001</v>
      </c>
      <c r="P24" s="92">
        <f t="shared" si="14"/>
        <v>521923.84020000004</v>
      </c>
      <c r="Q24" s="95">
        <f t="shared" si="15"/>
        <v>1846151.6598</v>
      </c>
      <c r="R24" s="137"/>
      <c r="S24" s="137"/>
    </row>
    <row r="25" spans="2:19">
      <c r="B25" s="67"/>
      <c r="C25" s="67"/>
      <c r="D25" s="89"/>
      <c r="E25" s="87"/>
      <c r="F25" s="87"/>
      <c r="G25" s="92"/>
      <c r="H25" s="67"/>
      <c r="J25" s="93"/>
      <c r="K25" s="93"/>
      <c r="L25" s="93"/>
      <c r="M25" s="93"/>
      <c r="N25" s="90"/>
      <c r="O25" s="94"/>
      <c r="P25" s="92"/>
      <c r="Q25" s="95"/>
      <c r="R25" s="137"/>
      <c r="S25" s="137"/>
    </row>
    <row r="26" spans="2:19">
      <c r="B26" s="67" t="s">
        <v>162</v>
      </c>
      <c r="C26" s="67" t="s">
        <v>6</v>
      </c>
      <c r="D26" s="89">
        <v>42353</v>
      </c>
      <c r="E26" s="87">
        <v>35972912.726142198</v>
      </c>
      <c r="F26" s="87">
        <v>0</v>
      </c>
      <c r="G26" s="92">
        <f t="shared" si="8"/>
        <v>35972912.726142198</v>
      </c>
      <c r="H26" s="67" t="s">
        <v>159</v>
      </c>
      <c r="I26" s="88">
        <v>25</v>
      </c>
      <c r="J26" s="93">
        <f t="shared" ref="J26:J33" si="18">E26*5%</f>
        <v>1798645.6363071101</v>
      </c>
      <c r="K26" s="93">
        <f t="shared" si="9"/>
        <v>2117</v>
      </c>
      <c r="L26" s="93">
        <f t="shared" si="10"/>
        <v>5.8</v>
      </c>
      <c r="M26" s="93">
        <f t="shared" si="11"/>
        <v>19.2</v>
      </c>
      <c r="N26" s="90" t="str">
        <f t="shared" si="12"/>
        <v>YES</v>
      </c>
      <c r="O26" s="94">
        <f t="shared" si="13"/>
        <v>34174267.089835085</v>
      </c>
      <c r="P26" s="92">
        <f t="shared" si="14"/>
        <v>7928429.9648417393</v>
      </c>
      <c r="Q26" s="95">
        <f t="shared" si="15"/>
        <v>28044482.76130046</v>
      </c>
      <c r="R26" s="137"/>
      <c r="S26" s="137"/>
    </row>
    <row r="27" spans="2:19">
      <c r="B27" s="67" t="s">
        <v>163</v>
      </c>
      <c r="C27" s="67" t="s">
        <v>6</v>
      </c>
      <c r="D27" s="89">
        <v>42353</v>
      </c>
      <c r="E27" s="87">
        <v>1259550.8457037993</v>
      </c>
      <c r="F27" s="87">
        <v>0</v>
      </c>
      <c r="G27" s="92">
        <f t="shared" si="8"/>
        <v>1259550.8457037993</v>
      </c>
      <c r="H27" s="67" t="s">
        <v>159</v>
      </c>
      <c r="I27" s="88">
        <v>25</v>
      </c>
      <c r="J27" s="93">
        <f t="shared" si="18"/>
        <v>62977.542285189964</v>
      </c>
      <c r="K27" s="93">
        <f t="shared" si="9"/>
        <v>2117</v>
      </c>
      <c r="L27" s="93">
        <f t="shared" si="10"/>
        <v>5.8</v>
      </c>
      <c r="M27" s="93">
        <f t="shared" si="11"/>
        <v>19.2</v>
      </c>
      <c r="N27" s="90" t="str">
        <f t="shared" si="12"/>
        <v>YES</v>
      </c>
      <c r="O27" s="94">
        <f t="shared" si="13"/>
        <v>1196573.3034186093</v>
      </c>
      <c r="P27" s="92">
        <f t="shared" si="14"/>
        <v>277605.00639311736</v>
      </c>
      <c r="Q27" s="95">
        <f t="shared" si="15"/>
        <v>981945.83931068191</v>
      </c>
      <c r="R27" s="137"/>
      <c r="S27" s="137"/>
    </row>
    <row r="28" spans="2:19">
      <c r="B28" s="67"/>
      <c r="C28" s="67" t="s">
        <v>6</v>
      </c>
      <c r="D28" s="89">
        <v>43054</v>
      </c>
      <c r="E28" s="87">
        <v>2623735</v>
      </c>
      <c r="F28" s="87">
        <v>0</v>
      </c>
      <c r="G28" s="92">
        <f t="shared" ref="G28" si="19">E28+F28</f>
        <v>2623735</v>
      </c>
      <c r="H28" s="67" t="s">
        <v>159</v>
      </c>
      <c r="I28" s="88">
        <v>25</v>
      </c>
      <c r="J28" s="93">
        <f t="shared" ref="J28" si="20">E28*5%</f>
        <v>131186.75</v>
      </c>
      <c r="K28" s="93">
        <f t="shared" ref="K28" si="21">$K$2-D28+1</f>
        <v>1416</v>
      </c>
      <c r="L28" s="93">
        <f t="shared" ref="L28" si="22">K28/365</f>
        <v>3.8794520547945206</v>
      </c>
      <c r="M28" s="93">
        <f t="shared" ref="M28" si="23">I28-L28</f>
        <v>21.12054794520548</v>
      </c>
      <c r="N28" s="90" t="str">
        <f t="shared" ref="N28" si="24">IF(M28&lt;=0,"NO","YES")</f>
        <v>YES</v>
      </c>
      <c r="O28" s="94">
        <f t="shared" ref="O28" si="25">G28-J28</f>
        <v>2492548.25</v>
      </c>
      <c r="P28" s="92">
        <f t="shared" ref="P28" si="26">O28/I28*L28</f>
        <v>386788.85720547941</v>
      </c>
      <c r="Q28" s="95">
        <f t="shared" ref="Q28" si="27">G28-P28</f>
        <v>2236946.1427945206</v>
      </c>
      <c r="R28" s="137"/>
      <c r="S28" s="137"/>
    </row>
    <row r="29" spans="2:19">
      <c r="B29" s="67" t="s">
        <v>164</v>
      </c>
      <c r="C29" s="67" t="s">
        <v>6</v>
      </c>
      <c r="D29" s="89">
        <v>42353</v>
      </c>
      <c r="E29" s="87">
        <v>24356005.069706734</v>
      </c>
      <c r="F29" s="87">
        <v>0</v>
      </c>
      <c r="G29" s="92">
        <f t="shared" si="8"/>
        <v>24356005.069706734</v>
      </c>
      <c r="H29" s="67" t="s">
        <v>159</v>
      </c>
      <c r="I29" s="88">
        <v>25</v>
      </c>
      <c r="J29" s="93">
        <f t="shared" si="18"/>
        <v>1217800.2534853367</v>
      </c>
      <c r="K29" s="93">
        <f t="shared" si="9"/>
        <v>2117</v>
      </c>
      <c r="L29" s="93">
        <f t="shared" si="10"/>
        <v>5.8</v>
      </c>
      <c r="M29" s="93">
        <f t="shared" si="11"/>
        <v>19.2</v>
      </c>
      <c r="N29" s="90" t="str">
        <f t="shared" si="12"/>
        <v>YES</v>
      </c>
      <c r="O29" s="94">
        <f t="shared" si="13"/>
        <v>23138204.816221397</v>
      </c>
      <c r="P29" s="92">
        <f t="shared" si="14"/>
        <v>5368063.5173633639</v>
      </c>
      <c r="Q29" s="95">
        <f t="shared" si="15"/>
        <v>18987941.552343369</v>
      </c>
      <c r="R29" s="137"/>
      <c r="S29" s="137"/>
    </row>
    <row r="30" spans="2:19">
      <c r="C30" s="67" t="s">
        <v>6</v>
      </c>
      <c r="D30" s="89">
        <v>42444</v>
      </c>
      <c r="E30" s="87">
        <v>338728.97</v>
      </c>
      <c r="F30" s="87">
        <v>0</v>
      </c>
      <c r="G30" s="92">
        <f t="shared" ref="G30" si="28">E30+F30</f>
        <v>338728.97</v>
      </c>
      <c r="H30" s="67" t="s">
        <v>159</v>
      </c>
      <c r="I30" s="88">
        <v>25</v>
      </c>
      <c r="J30" s="93">
        <f t="shared" si="18"/>
        <v>16936.448499999999</v>
      </c>
      <c r="K30" s="93">
        <f t="shared" ref="K30" si="29">$K$2-D30+1</f>
        <v>2026</v>
      </c>
      <c r="L30" s="93">
        <f t="shared" ref="L30" si="30">K30/365</f>
        <v>5.5506849315068489</v>
      </c>
      <c r="M30" s="93">
        <f t="shared" ref="M30" si="31">I30-L30</f>
        <v>19.449315068493149</v>
      </c>
      <c r="N30" s="90" t="str">
        <f t="shared" ref="N30" si="32">IF(M30&lt;=0,"NO","YES")</f>
        <v>YES</v>
      </c>
      <c r="O30" s="94">
        <f t="shared" ref="O30" si="33">G30-J30</f>
        <v>321792.52149999997</v>
      </c>
      <c r="P30" s="92">
        <f t="shared" ref="P30" si="34">O30/I30*L30</f>
        <v>71446.756006465745</v>
      </c>
      <c r="Q30" s="95">
        <f t="shared" ref="Q30" si="35">G30-P30</f>
        <v>267282.21399353421</v>
      </c>
      <c r="R30" s="137"/>
      <c r="S30" s="137"/>
    </row>
    <row r="31" spans="2:19">
      <c r="B31" s="67" t="s">
        <v>166</v>
      </c>
      <c r="C31" s="67" t="s">
        <v>6</v>
      </c>
      <c r="D31" s="89">
        <v>42353</v>
      </c>
      <c r="E31" s="87">
        <v>4825007.5300585004</v>
      </c>
      <c r="F31" s="87">
        <v>0</v>
      </c>
      <c r="G31" s="92">
        <f t="shared" ref="G31:G33" si="36">E31+F31</f>
        <v>4825007.5300585004</v>
      </c>
      <c r="H31" s="90" t="s">
        <v>165</v>
      </c>
      <c r="I31" s="88">
        <v>25</v>
      </c>
      <c r="J31" s="93">
        <f t="shared" si="18"/>
        <v>241250.37650292504</v>
      </c>
      <c r="K31" s="93">
        <f t="shared" ref="K31:K33" si="37">$K$2-D31+1</f>
        <v>2117</v>
      </c>
      <c r="L31" s="93">
        <f t="shared" ref="L31:L33" si="38">K31/365</f>
        <v>5.8</v>
      </c>
      <c r="M31" s="93">
        <f t="shared" ref="M31:M33" si="39">I31-L31</f>
        <v>19.2</v>
      </c>
      <c r="N31" s="90" t="str">
        <f t="shared" ref="N31:N33" si="40">IF(M31&lt;=0,"NO","YES")</f>
        <v>YES</v>
      </c>
      <c r="O31" s="94">
        <f t="shared" ref="O31:O33" si="41">G31-J31</f>
        <v>4583757.1535555758</v>
      </c>
      <c r="P31" s="92">
        <f t="shared" ref="P31:P33" si="42">O31/I31*L31</f>
        <v>1063431.6596248935</v>
      </c>
      <c r="Q31" s="95">
        <f t="shared" ref="Q31:Q33" si="43">G31-P31</f>
        <v>3761575.8704336071</v>
      </c>
      <c r="R31" s="137"/>
      <c r="S31" s="137"/>
    </row>
    <row r="32" spans="2:19">
      <c r="B32" s="67" t="s">
        <v>167</v>
      </c>
      <c r="C32" s="67" t="s">
        <v>6</v>
      </c>
      <c r="D32" s="89">
        <v>42353</v>
      </c>
      <c r="E32" s="87">
        <v>8746125.509656895</v>
      </c>
      <c r="F32" s="87">
        <v>0</v>
      </c>
      <c r="G32" s="92">
        <f t="shared" si="36"/>
        <v>8746125.509656895</v>
      </c>
      <c r="H32" s="90" t="s">
        <v>165</v>
      </c>
      <c r="I32" s="88">
        <v>25</v>
      </c>
      <c r="J32" s="93">
        <f t="shared" si="18"/>
        <v>437306.27548284479</v>
      </c>
      <c r="K32" s="93">
        <f t="shared" si="37"/>
        <v>2117</v>
      </c>
      <c r="L32" s="93">
        <f t="shared" si="38"/>
        <v>5.8</v>
      </c>
      <c r="M32" s="93">
        <f t="shared" si="39"/>
        <v>19.2</v>
      </c>
      <c r="N32" s="90" t="str">
        <f t="shared" si="40"/>
        <v>YES</v>
      </c>
      <c r="O32" s="94">
        <f t="shared" si="41"/>
        <v>8308819.2341740504</v>
      </c>
      <c r="P32" s="92">
        <f t="shared" si="42"/>
        <v>1927646.0623283796</v>
      </c>
      <c r="Q32" s="95">
        <f t="shared" si="43"/>
        <v>6818479.4473285154</v>
      </c>
      <c r="R32" s="137"/>
      <c r="S32" s="137"/>
    </row>
    <row r="33" spans="2:19">
      <c r="B33" s="67" t="s">
        <v>184</v>
      </c>
      <c r="C33" s="67" t="s">
        <v>6</v>
      </c>
      <c r="D33" s="89">
        <v>42353</v>
      </c>
      <c r="E33" s="87">
        <v>14041613.3379777</v>
      </c>
      <c r="F33" s="87">
        <v>0</v>
      </c>
      <c r="G33" s="92">
        <f t="shared" si="36"/>
        <v>14041613.3379777</v>
      </c>
      <c r="H33" s="90" t="s">
        <v>168</v>
      </c>
      <c r="I33" s="88">
        <v>25</v>
      </c>
      <c r="J33" s="93">
        <f t="shared" si="18"/>
        <v>702080.66689888504</v>
      </c>
      <c r="K33" s="93">
        <f t="shared" si="37"/>
        <v>2117</v>
      </c>
      <c r="L33" s="93">
        <f t="shared" si="38"/>
        <v>5.8</v>
      </c>
      <c r="M33" s="93">
        <f t="shared" si="39"/>
        <v>19.2</v>
      </c>
      <c r="N33" s="90" t="str">
        <f t="shared" si="40"/>
        <v>YES</v>
      </c>
      <c r="O33" s="94">
        <f t="shared" si="41"/>
        <v>13339532.671078814</v>
      </c>
      <c r="P33" s="92">
        <f t="shared" si="42"/>
        <v>3094771.579690285</v>
      </c>
      <c r="Q33" s="95">
        <f t="shared" si="43"/>
        <v>10946841.758287415</v>
      </c>
      <c r="R33" s="137"/>
      <c r="S33" s="137"/>
    </row>
    <row r="34" spans="2:19">
      <c r="B34" s="67"/>
      <c r="C34" s="67" t="s">
        <v>6</v>
      </c>
      <c r="D34" s="89">
        <v>43054</v>
      </c>
      <c r="E34" s="87">
        <v>123518</v>
      </c>
      <c r="F34" s="87">
        <v>0</v>
      </c>
      <c r="G34" s="92">
        <f t="shared" ref="G34" si="44">E34+F34</f>
        <v>123518</v>
      </c>
      <c r="H34" s="90" t="s">
        <v>168</v>
      </c>
      <c r="I34" s="88">
        <v>25</v>
      </c>
      <c r="J34" s="93">
        <f t="shared" ref="J34" si="45">E34*5%</f>
        <v>6175.9000000000005</v>
      </c>
      <c r="K34" s="93">
        <f t="shared" ref="K34" si="46">$K$2-D34+1</f>
        <v>1416</v>
      </c>
      <c r="L34" s="93">
        <f t="shared" ref="L34" si="47">K34/365</f>
        <v>3.8794520547945206</v>
      </c>
      <c r="M34" s="93">
        <f t="shared" ref="M34" si="48">I34-L34</f>
        <v>21.12054794520548</v>
      </c>
      <c r="N34" s="90" t="str">
        <f t="shared" ref="N34" si="49">IF(M34&lt;=0,"NO","YES")</f>
        <v>YES</v>
      </c>
      <c r="O34" s="94">
        <f t="shared" ref="O34" si="50">G34-J34</f>
        <v>117342.1</v>
      </c>
      <c r="P34" s="92">
        <f t="shared" ref="P34" si="51">O34/I34*L34</f>
        <v>18208.922038356166</v>
      </c>
      <c r="Q34" s="95">
        <f t="shared" ref="Q34" si="52">G34-P34</f>
        <v>105309.07796164384</v>
      </c>
      <c r="R34" s="137"/>
      <c r="S34" s="137"/>
    </row>
    <row r="35" spans="2:19">
      <c r="E35" s="87"/>
      <c r="F35" s="102"/>
      <c r="R35" s="137"/>
      <c r="S35" s="137"/>
    </row>
    <row r="36" spans="2:19">
      <c r="B36" s="67" t="s">
        <v>170</v>
      </c>
      <c r="C36" s="67" t="s">
        <v>6</v>
      </c>
      <c r="D36" s="89">
        <v>42353</v>
      </c>
      <c r="E36" s="87">
        <v>523918537.85547733</v>
      </c>
      <c r="F36" s="87">
        <v>0</v>
      </c>
      <c r="G36" s="92">
        <f t="shared" ref="G36:G48" si="53">E36+F36</f>
        <v>523918537.85547733</v>
      </c>
      <c r="H36" s="90" t="s">
        <v>169</v>
      </c>
      <c r="I36" s="88">
        <v>25</v>
      </c>
      <c r="J36" s="93">
        <f t="shared" ref="J36:J43" si="54">E36*5%</f>
        <v>26195926.892773867</v>
      </c>
      <c r="K36" s="93">
        <f t="shared" ref="K36:K48" si="55">$K$2-D36+1</f>
        <v>2117</v>
      </c>
      <c r="L36" s="93">
        <f t="shared" ref="L36:L48" si="56">K36/365</f>
        <v>5.8</v>
      </c>
      <c r="M36" s="93">
        <f t="shared" ref="M36:M48" si="57">I36-L36</f>
        <v>19.2</v>
      </c>
      <c r="N36" s="90" t="str">
        <f t="shared" ref="N36:N48" si="58">IF(M36&lt;=0,"NO","YES")</f>
        <v>YES</v>
      </c>
      <c r="O36" s="94">
        <f t="shared" ref="O36:O48" si="59">G36-J36</f>
        <v>497722610.96270347</v>
      </c>
      <c r="P36" s="92">
        <f t="shared" ref="P36:P48" si="60">O36/I36*L36</f>
        <v>115471645.7433472</v>
      </c>
      <c r="Q36" s="95">
        <f t="shared" ref="Q36:Q48" si="61">G36-P36</f>
        <v>408446892.11213017</v>
      </c>
      <c r="R36" s="137"/>
      <c r="S36" s="137"/>
    </row>
    <row r="37" spans="2:19">
      <c r="B37" s="67"/>
      <c r="C37" s="67" t="s">
        <v>6</v>
      </c>
      <c r="D37" s="89">
        <v>42444</v>
      </c>
      <c r="E37" s="87">
        <v>1032443.57</v>
      </c>
      <c r="F37" s="87">
        <v>0</v>
      </c>
      <c r="G37" s="92">
        <f t="shared" si="53"/>
        <v>1032443.57</v>
      </c>
      <c r="H37" s="90" t="s">
        <v>169</v>
      </c>
      <c r="I37" s="88">
        <v>25</v>
      </c>
      <c r="J37" s="93">
        <f t="shared" si="54"/>
        <v>51622.178500000002</v>
      </c>
      <c r="K37" s="93">
        <f t="shared" si="55"/>
        <v>2026</v>
      </c>
      <c r="L37" s="93">
        <f t="shared" si="56"/>
        <v>5.5506849315068489</v>
      </c>
      <c r="M37" s="93">
        <f t="shared" si="57"/>
        <v>19.449315068493149</v>
      </c>
      <c r="N37" s="90" t="str">
        <f t="shared" si="58"/>
        <v>YES</v>
      </c>
      <c r="O37" s="94">
        <f t="shared" si="59"/>
        <v>980821.39149999991</v>
      </c>
      <c r="P37" s="92">
        <f t="shared" si="60"/>
        <v>217769.22073194516</v>
      </c>
      <c r="Q37" s="95">
        <f t="shared" si="61"/>
        <v>814674.34926805482</v>
      </c>
      <c r="R37" s="137"/>
      <c r="S37" s="137"/>
    </row>
    <row r="38" spans="2:19">
      <c r="B38" s="67"/>
      <c r="C38" s="67" t="s">
        <v>6</v>
      </c>
      <c r="D38" s="89">
        <v>42444</v>
      </c>
      <c r="E38" s="87">
        <v>453562.14</v>
      </c>
      <c r="F38" s="87">
        <v>0</v>
      </c>
      <c r="G38" s="92">
        <f t="shared" ref="G38:G41" si="62">E38+F38</f>
        <v>453562.14</v>
      </c>
      <c r="H38" s="90" t="s">
        <v>169</v>
      </c>
      <c r="I38" s="88">
        <v>25</v>
      </c>
      <c r="J38" s="93">
        <f t="shared" si="54"/>
        <v>22678.107000000004</v>
      </c>
      <c r="K38" s="93">
        <f t="shared" ref="K38" si="63">$K$2-D38+1</f>
        <v>2026</v>
      </c>
      <c r="L38" s="93">
        <f t="shared" ref="L38" si="64">K38/365</f>
        <v>5.5506849315068489</v>
      </c>
      <c r="M38" s="93">
        <f t="shared" ref="M38" si="65">I38-L38</f>
        <v>19.449315068493149</v>
      </c>
      <c r="N38" s="90" t="str">
        <f t="shared" ref="N38" si="66">IF(M38&lt;=0,"NO","YES")</f>
        <v>YES</v>
      </c>
      <c r="O38" s="94">
        <f t="shared" ref="O38" si="67">G38-J38</f>
        <v>430884.033</v>
      </c>
      <c r="P38" s="92">
        <f t="shared" ref="P38" si="68">O38/I38*L38</f>
        <v>95668.060367999991</v>
      </c>
      <c r="Q38" s="95">
        <f t="shared" ref="Q38" si="69">G38-P38</f>
        <v>357894.07963200001</v>
      </c>
      <c r="R38" s="137"/>
      <c r="S38" s="137"/>
    </row>
    <row r="39" spans="2:19">
      <c r="B39" s="67"/>
      <c r="C39" s="67" t="s">
        <v>6</v>
      </c>
      <c r="D39" s="89">
        <v>43054</v>
      </c>
      <c r="E39" s="87">
        <v>249644.88</v>
      </c>
      <c r="F39" s="87">
        <v>0</v>
      </c>
      <c r="G39" s="92">
        <f t="shared" si="62"/>
        <v>249644.88</v>
      </c>
      <c r="H39" s="90" t="s">
        <v>169</v>
      </c>
      <c r="I39" s="88">
        <v>25</v>
      </c>
      <c r="J39" s="93">
        <f t="shared" ref="J39" si="70">E39*5%</f>
        <v>12482.244000000001</v>
      </c>
      <c r="K39" s="93">
        <f t="shared" ref="K39" si="71">$K$2-D39+1</f>
        <v>1416</v>
      </c>
      <c r="L39" s="93">
        <f t="shared" ref="L39" si="72">K39/365</f>
        <v>3.8794520547945206</v>
      </c>
      <c r="M39" s="93">
        <f t="shared" ref="M39" si="73">I39-L39</f>
        <v>21.12054794520548</v>
      </c>
      <c r="N39" s="90" t="str">
        <f t="shared" ref="N39" si="74">IF(M39&lt;=0,"NO","YES")</f>
        <v>YES</v>
      </c>
      <c r="O39" s="94">
        <f t="shared" ref="O39" si="75">G39-J39</f>
        <v>237162.636</v>
      </c>
      <c r="P39" s="92">
        <f t="shared" ref="P39" si="76">O39/I39*L39</f>
        <v>36802.443022027401</v>
      </c>
      <c r="Q39" s="95">
        <f t="shared" ref="Q39" si="77">G39-P39</f>
        <v>212842.4369779726</v>
      </c>
      <c r="R39" s="137"/>
      <c r="S39" s="137"/>
    </row>
    <row r="40" spans="2:19">
      <c r="B40" s="67"/>
      <c r="C40" s="67" t="s">
        <v>6</v>
      </c>
      <c r="D40" s="89">
        <v>42353</v>
      </c>
      <c r="E40" s="87">
        <v>498000</v>
      </c>
      <c r="F40" s="87">
        <v>0</v>
      </c>
      <c r="G40" s="92">
        <f t="shared" si="62"/>
        <v>498000</v>
      </c>
      <c r="H40" s="90" t="s">
        <v>169</v>
      </c>
      <c r="I40" s="88">
        <v>25</v>
      </c>
      <c r="J40" s="93">
        <f t="shared" ref="J40" si="78">E40*5%</f>
        <v>24900</v>
      </c>
      <c r="K40" s="93">
        <f t="shared" ref="K40" si="79">$K$2-D40+1</f>
        <v>2117</v>
      </c>
      <c r="L40" s="93">
        <f t="shared" ref="L40" si="80">K40/365</f>
        <v>5.8</v>
      </c>
      <c r="M40" s="93">
        <f t="shared" ref="M40" si="81">I40-L40</f>
        <v>19.2</v>
      </c>
      <c r="N40" s="90" t="str">
        <f t="shared" ref="N40" si="82">IF(M40&lt;=0,"NO","YES")</f>
        <v>YES</v>
      </c>
      <c r="O40" s="94">
        <f t="shared" ref="O40" si="83">G40-J40</f>
        <v>473100</v>
      </c>
      <c r="P40" s="92">
        <f t="shared" ref="P40" si="84">O40/I40*L40</f>
        <v>109759.2</v>
      </c>
      <c r="Q40" s="95">
        <f t="shared" ref="Q40" si="85">G40-P40</f>
        <v>388240.8</v>
      </c>
      <c r="R40" s="137"/>
      <c r="S40" s="137"/>
    </row>
    <row r="41" spans="2:19">
      <c r="B41" s="67"/>
      <c r="C41" s="146" t="s">
        <v>6</v>
      </c>
      <c r="D41" s="147">
        <v>42353</v>
      </c>
      <c r="E41" s="148">
        <v>34211761</v>
      </c>
      <c r="F41" s="87">
        <v>0</v>
      </c>
      <c r="G41" s="149">
        <f t="shared" si="62"/>
        <v>34211761</v>
      </c>
      <c r="H41" s="150" t="s">
        <v>169</v>
      </c>
      <c r="I41" s="151">
        <v>25</v>
      </c>
      <c r="J41" s="152">
        <f t="shared" ref="J41" si="86">E41*5%</f>
        <v>1710588.05</v>
      </c>
      <c r="K41" s="152">
        <f t="shared" ref="K41" si="87">$K$2-D41+1</f>
        <v>2117</v>
      </c>
      <c r="L41" s="152">
        <f t="shared" ref="L41" si="88">K41/365</f>
        <v>5.8</v>
      </c>
      <c r="M41" s="152">
        <f t="shared" ref="M41" si="89">I41-L41</f>
        <v>19.2</v>
      </c>
      <c r="N41" s="150" t="str">
        <f t="shared" ref="N41" si="90">IF(M41&lt;=0,"NO","YES")</f>
        <v>YES</v>
      </c>
      <c r="O41" s="153">
        <f t="shared" ref="O41" si="91">G41-J41</f>
        <v>32501172.949999999</v>
      </c>
      <c r="P41" s="149">
        <f>O41/I41*L41</f>
        <v>7540272.1244000001</v>
      </c>
      <c r="Q41" s="154">
        <f t="shared" ref="Q41" si="92">G41-P41</f>
        <v>26671488.875599999</v>
      </c>
      <c r="R41" s="137"/>
      <c r="S41" s="137"/>
    </row>
    <row r="42" spans="2:19">
      <c r="B42" s="67"/>
      <c r="C42" s="67"/>
      <c r="D42" s="89"/>
      <c r="E42" s="87"/>
      <c r="F42" s="87"/>
      <c r="G42" s="92"/>
      <c r="H42" s="90"/>
      <c r="J42" s="93"/>
      <c r="K42" s="93"/>
      <c r="L42" s="93"/>
      <c r="M42" s="93"/>
      <c r="N42" s="90"/>
      <c r="O42" s="94"/>
      <c r="P42" s="92"/>
      <c r="Q42" s="95"/>
      <c r="R42" s="137"/>
      <c r="S42" s="137"/>
    </row>
    <row r="43" spans="2:19">
      <c r="B43" s="67" t="s">
        <v>171</v>
      </c>
      <c r="C43" s="67" t="s">
        <v>6</v>
      </c>
      <c r="D43" s="89">
        <v>42353</v>
      </c>
      <c r="E43" s="87">
        <v>36473351.788125299</v>
      </c>
      <c r="F43" s="87">
        <v>0</v>
      </c>
      <c r="G43" s="92">
        <f t="shared" si="53"/>
        <v>36473351.788125299</v>
      </c>
      <c r="H43" s="90" t="s">
        <v>169</v>
      </c>
      <c r="I43" s="88">
        <v>25</v>
      </c>
      <c r="J43" s="93">
        <f t="shared" si="54"/>
        <v>1823667.5894062649</v>
      </c>
      <c r="K43" s="93">
        <f t="shared" si="55"/>
        <v>2117</v>
      </c>
      <c r="L43" s="93">
        <f t="shared" si="56"/>
        <v>5.8</v>
      </c>
      <c r="M43" s="93">
        <f t="shared" si="57"/>
        <v>19.2</v>
      </c>
      <c r="N43" s="90" t="str">
        <f t="shared" si="58"/>
        <v>YES</v>
      </c>
      <c r="O43" s="94">
        <f t="shared" si="59"/>
        <v>34649684.198719032</v>
      </c>
      <c r="P43" s="92">
        <f t="shared" si="60"/>
        <v>8038726.7341028145</v>
      </c>
      <c r="Q43" s="95">
        <f t="shared" si="61"/>
        <v>28434625.054022484</v>
      </c>
      <c r="R43" s="137"/>
      <c r="S43" s="137"/>
    </row>
    <row r="44" spans="2:19">
      <c r="B44" s="67"/>
      <c r="C44" s="67" t="s">
        <v>6</v>
      </c>
      <c r="D44" s="89">
        <v>43054</v>
      </c>
      <c r="E44" s="87">
        <v>1285041.78</v>
      </c>
      <c r="F44" s="87">
        <v>0</v>
      </c>
      <c r="G44" s="92">
        <f t="shared" ref="G44" si="93">E44+F44</f>
        <v>1285041.78</v>
      </c>
      <c r="H44" s="90" t="s">
        <v>169</v>
      </c>
      <c r="I44" s="88">
        <v>25</v>
      </c>
      <c r="J44" s="93">
        <f t="shared" ref="J44" si="94">E44*5%</f>
        <v>64252.089000000007</v>
      </c>
      <c r="K44" s="93">
        <f t="shared" ref="K44" si="95">$K$2-D44+1</f>
        <v>1416</v>
      </c>
      <c r="L44" s="93">
        <f t="shared" ref="L44" si="96">K44/365</f>
        <v>3.8794520547945206</v>
      </c>
      <c r="M44" s="93">
        <f t="shared" ref="M44" si="97">I44-L44</f>
        <v>21.12054794520548</v>
      </c>
      <c r="N44" s="90" t="str">
        <f t="shared" ref="N44" si="98">IF(M44&lt;=0,"NO","YES")</f>
        <v>YES</v>
      </c>
      <c r="O44" s="94">
        <f t="shared" ref="O44" si="99">G44-J44</f>
        <v>1220789.6910000001</v>
      </c>
      <c r="P44" s="92">
        <f t="shared" ref="P44" si="100">O44/I44*L44</f>
        <v>189439.80300887674</v>
      </c>
      <c r="Q44" s="95">
        <f t="shared" ref="Q44" si="101">G44-P44</f>
        <v>1095601.9769911233</v>
      </c>
      <c r="R44" s="137"/>
      <c r="S44" s="137"/>
    </row>
    <row r="45" spans="2:19">
      <c r="B45" s="67"/>
      <c r="C45" s="67" t="s">
        <v>6</v>
      </c>
      <c r="D45" s="89">
        <v>43190</v>
      </c>
      <c r="E45" s="87">
        <v>695444</v>
      </c>
      <c r="F45" s="87">
        <v>0</v>
      </c>
      <c r="G45" s="92">
        <f t="shared" ref="G45" si="102">E45+F45</f>
        <v>695444</v>
      </c>
      <c r="H45" s="90" t="s">
        <v>169</v>
      </c>
      <c r="I45" s="88">
        <v>25</v>
      </c>
      <c r="J45" s="93">
        <f t="shared" ref="J45" si="103">E45*5%</f>
        <v>34772.200000000004</v>
      </c>
      <c r="K45" s="93">
        <f>$K$2-D45+1</f>
        <v>1280</v>
      </c>
      <c r="L45" s="93">
        <f t="shared" ref="L45" si="104">K45/365</f>
        <v>3.506849315068493</v>
      </c>
      <c r="M45" s="93">
        <f t="shared" ref="M45" si="105">I45-L45</f>
        <v>21.493150684931507</v>
      </c>
      <c r="N45" s="90" t="str">
        <f t="shared" ref="N45" si="106">IF(M45&lt;=0,"NO","YES")</f>
        <v>YES</v>
      </c>
      <c r="O45" s="94">
        <f t="shared" ref="O45" si="107">G45-J45</f>
        <v>660671.80000000005</v>
      </c>
      <c r="P45" s="92">
        <f t="shared" ref="P45" si="108">O45/I45*L45</f>
        <v>92675.05797260275</v>
      </c>
      <c r="Q45" s="95">
        <f t="shared" ref="Q45" si="109">G45-P45</f>
        <v>602768.94202739722</v>
      </c>
      <c r="R45" s="137"/>
      <c r="S45" s="137"/>
    </row>
    <row r="46" spans="2:19">
      <c r="B46" s="67"/>
      <c r="C46" s="67"/>
      <c r="D46" s="89"/>
      <c r="E46" s="87"/>
      <c r="F46" s="87"/>
      <c r="G46" s="92"/>
      <c r="H46" s="90"/>
      <c r="J46" s="93"/>
      <c r="K46" s="93"/>
      <c r="L46" s="93"/>
      <c r="M46" s="93"/>
      <c r="N46" s="90"/>
      <c r="O46" s="94"/>
      <c r="P46" s="92"/>
      <c r="Q46" s="95"/>
      <c r="R46" s="137"/>
      <c r="S46" s="137"/>
    </row>
    <row r="47" spans="2:19">
      <c r="B47" s="103" t="s">
        <v>183</v>
      </c>
      <c r="C47" s="67" t="s">
        <v>6</v>
      </c>
      <c r="D47" s="89">
        <v>42353</v>
      </c>
      <c r="E47" s="87">
        <v>258004877.19747663</v>
      </c>
      <c r="F47" s="87">
        <v>0</v>
      </c>
      <c r="G47" s="92">
        <f t="shared" si="53"/>
        <v>258004877.19747663</v>
      </c>
      <c r="H47" s="90" t="s">
        <v>172</v>
      </c>
      <c r="I47" s="88">
        <v>25</v>
      </c>
      <c r="J47" s="93">
        <f>E47*5%</f>
        <v>12900243.859873831</v>
      </c>
      <c r="K47" s="93">
        <f t="shared" si="55"/>
        <v>2117</v>
      </c>
      <c r="L47" s="93">
        <f t="shared" si="56"/>
        <v>5.8</v>
      </c>
      <c r="M47" s="93">
        <f t="shared" si="57"/>
        <v>19.2</v>
      </c>
      <c r="N47" s="90" t="str">
        <f t="shared" si="58"/>
        <v>YES</v>
      </c>
      <c r="O47" s="94">
        <f t="shared" si="59"/>
        <v>245104633.33760279</v>
      </c>
      <c r="P47" s="92">
        <f t="shared" si="60"/>
        <v>56864274.934323847</v>
      </c>
      <c r="Q47" s="95">
        <f t="shared" si="61"/>
        <v>201140602.26315278</v>
      </c>
      <c r="R47" s="137"/>
      <c r="S47" s="137"/>
    </row>
    <row r="48" spans="2:19">
      <c r="B48" s="103"/>
      <c r="C48" s="67" t="s">
        <v>6</v>
      </c>
      <c r="D48" s="89">
        <v>42444</v>
      </c>
      <c r="E48" s="87">
        <v>398046.65</v>
      </c>
      <c r="F48" s="87">
        <v>0</v>
      </c>
      <c r="G48" s="92">
        <f t="shared" si="53"/>
        <v>398046.65</v>
      </c>
      <c r="H48" s="90" t="s">
        <v>172</v>
      </c>
      <c r="I48" s="88">
        <v>25</v>
      </c>
      <c r="J48" s="93">
        <f>E48*5%</f>
        <v>19902.332500000004</v>
      </c>
      <c r="K48" s="93">
        <f t="shared" si="55"/>
        <v>2026</v>
      </c>
      <c r="L48" s="93">
        <f t="shared" si="56"/>
        <v>5.5506849315068489</v>
      </c>
      <c r="M48" s="93">
        <f t="shared" si="57"/>
        <v>19.449315068493149</v>
      </c>
      <c r="N48" s="90" t="str">
        <f t="shared" si="58"/>
        <v>YES</v>
      </c>
      <c r="O48" s="94">
        <f t="shared" si="59"/>
        <v>378144.3175</v>
      </c>
      <c r="P48" s="92">
        <f t="shared" si="60"/>
        <v>83958.398603287656</v>
      </c>
      <c r="Q48" s="95">
        <f t="shared" si="61"/>
        <v>314088.25139671238</v>
      </c>
      <c r="R48" s="137"/>
      <c r="S48" s="137"/>
    </row>
    <row r="49" spans="1:19">
      <c r="B49" s="103"/>
      <c r="C49" s="67" t="s">
        <v>6</v>
      </c>
      <c r="D49" s="89">
        <v>43054</v>
      </c>
      <c r="E49" s="87">
        <v>3512106.59</v>
      </c>
      <c r="F49" s="87">
        <v>0</v>
      </c>
      <c r="G49" s="92">
        <f t="shared" ref="G49" si="110">E49+F49</f>
        <v>3512106.59</v>
      </c>
      <c r="H49" s="90" t="s">
        <v>172</v>
      </c>
      <c r="I49" s="88">
        <v>25</v>
      </c>
      <c r="J49" s="93">
        <f>E49*5%</f>
        <v>175605.32949999999</v>
      </c>
      <c r="K49" s="93">
        <f t="shared" ref="K49" si="111">$K$2-D49+1</f>
        <v>1416</v>
      </c>
      <c r="L49" s="93">
        <f t="shared" ref="L49" si="112">K49/365</f>
        <v>3.8794520547945206</v>
      </c>
      <c r="M49" s="93">
        <f t="shared" ref="M49" si="113">I49-L49</f>
        <v>21.12054794520548</v>
      </c>
      <c r="N49" s="90" t="str">
        <f t="shared" ref="N49" si="114">IF(M49&lt;=0,"NO","YES")</f>
        <v>YES</v>
      </c>
      <c r="O49" s="94">
        <f t="shared" ref="O49" si="115">G49-J49</f>
        <v>3336501.2604999999</v>
      </c>
      <c r="P49" s="92">
        <f t="shared" ref="P49" si="116">O49/I49*L49</f>
        <v>517751.86683484924</v>
      </c>
      <c r="Q49" s="95">
        <f t="shared" ref="Q49" si="117">G49-P49</f>
        <v>2994354.7231651507</v>
      </c>
      <c r="R49" s="137"/>
      <c r="S49" s="137"/>
    </row>
    <row r="50" spans="1:19">
      <c r="B50" s="103"/>
      <c r="C50" s="67" t="s">
        <v>6</v>
      </c>
      <c r="D50" s="89">
        <v>43190</v>
      </c>
      <c r="E50" s="87">
        <v>682801.99</v>
      </c>
      <c r="F50" s="87">
        <v>0</v>
      </c>
      <c r="G50" s="92">
        <f t="shared" ref="G50:G54" si="118">E50+F50</f>
        <v>682801.99</v>
      </c>
      <c r="H50" s="90" t="s">
        <v>172</v>
      </c>
      <c r="I50" s="88">
        <v>25</v>
      </c>
      <c r="J50" s="93">
        <f>E50*5%</f>
        <v>34140.099500000004</v>
      </c>
      <c r="K50" s="93">
        <f>$K$2-D50+1</f>
        <v>1280</v>
      </c>
      <c r="L50" s="93">
        <f t="shared" ref="L50" si="119">K50/365</f>
        <v>3.506849315068493</v>
      </c>
      <c r="M50" s="93">
        <f t="shared" ref="M50" si="120">I50-L50</f>
        <v>21.493150684931507</v>
      </c>
      <c r="N50" s="90" t="str">
        <f t="shared" ref="N50" si="121">IF(M50&lt;=0,"NO","YES")</f>
        <v>YES</v>
      </c>
      <c r="O50" s="94">
        <f t="shared" ref="O50" si="122">G50-J50</f>
        <v>648661.89049999998</v>
      </c>
      <c r="P50" s="92">
        <f t="shared" ref="P50" si="123">O50/I50*L50</f>
        <v>90990.380256438337</v>
      </c>
      <c r="Q50" s="95">
        <f t="shared" ref="Q50" si="124">G50-P50</f>
        <v>591811.6097435616</v>
      </c>
      <c r="R50" s="137"/>
      <c r="S50" s="137"/>
    </row>
    <row r="51" spans="1:19">
      <c r="B51" s="103"/>
      <c r="C51" s="67" t="s">
        <v>6</v>
      </c>
      <c r="D51" s="89">
        <v>43555</v>
      </c>
      <c r="E51" s="87">
        <v>604000</v>
      </c>
      <c r="F51" s="87">
        <v>0</v>
      </c>
      <c r="G51" s="92">
        <f t="shared" si="118"/>
        <v>604000</v>
      </c>
      <c r="H51" s="90" t="s">
        <v>172</v>
      </c>
      <c r="I51" s="88">
        <v>25</v>
      </c>
      <c r="J51" s="93">
        <f t="shared" ref="J51:J54" si="125">E51*5%</f>
        <v>30200</v>
      </c>
      <c r="K51" s="93">
        <f t="shared" ref="K51:K54" si="126">$K$2-D51+1</f>
        <v>915</v>
      </c>
      <c r="L51" s="93">
        <f t="shared" ref="L51:L54" si="127">K51/365</f>
        <v>2.506849315068493</v>
      </c>
      <c r="M51" s="93">
        <f t="shared" ref="M51:M54" si="128">I51-L51</f>
        <v>22.493150684931507</v>
      </c>
      <c r="N51" s="90" t="str">
        <f t="shared" ref="N51:N54" si="129">IF(M51&lt;=0,"NO","YES")</f>
        <v>YES</v>
      </c>
      <c r="O51" s="94">
        <f t="shared" ref="O51:O54" si="130">G51-J51</f>
        <v>573800</v>
      </c>
      <c r="P51" s="92">
        <f t="shared" ref="P51:P54" si="131">O51/I51*L51</f>
        <v>57537.205479452052</v>
      </c>
      <c r="Q51" s="95">
        <f t="shared" ref="Q51:Q54" si="132">G51-P51</f>
        <v>546462.79452054796</v>
      </c>
      <c r="R51" s="137"/>
      <c r="S51" s="137"/>
    </row>
    <row r="52" spans="1:19">
      <c r="B52" s="103"/>
      <c r="C52" s="67" t="s">
        <v>6</v>
      </c>
      <c r="D52" s="89">
        <v>43555</v>
      </c>
      <c r="E52" s="87">
        <v>2130636.56</v>
      </c>
      <c r="F52" s="87">
        <v>0</v>
      </c>
      <c r="G52" s="92">
        <f t="shared" si="118"/>
        <v>2130636.56</v>
      </c>
      <c r="H52" s="90" t="s">
        <v>172</v>
      </c>
      <c r="I52" s="88">
        <v>25</v>
      </c>
      <c r="J52" s="93">
        <f t="shared" si="125"/>
        <v>106531.82800000001</v>
      </c>
      <c r="K52" s="93">
        <f t="shared" si="126"/>
        <v>915</v>
      </c>
      <c r="L52" s="93">
        <f t="shared" si="127"/>
        <v>2.506849315068493</v>
      </c>
      <c r="M52" s="93">
        <f t="shared" si="128"/>
        <v>22.493150684931507</v>
      </c>
      <c r="N52" s="90" t="str">
        <f t="shared" si="129"/>
        <v>YES</v>
      </c>
      <c r="O52" s="94">
        <f t="shared" si="130"/>
        <v>2024104.7320000001</v>
      </c>
      <c r="P52" s="92">
        <f t="shared" si="131"/>
        <v>202965.02244164384</v>
      </c>
      <c r="Q52" s="95">
        <f t="shared" si="132"/>
        <v>1927671.5375583563</v>
      </c>
      <c r="R52" s="137"/>
      <c r="S52" s="137"/>
    </row>
    <row r="53" spans="1:19">
      <c r="B53" s="103"/>
      <c r="C53" s="67" t="s">
        <v>6</v>
      </c>
      <c r="D53" s="89">
        <v>43555</v>
      </c>
      <c r="E53" s="87">
        <v>613821.81999999995</v>
      </c>
      <c r="F53" s="87">
        <v>0</v>
      </c>
      <c r="G53" s="92">
        <f t="shared" si="118"/>
        <v>613821.81999999995</v>
      </c>
      <c r="H53" s="90" t="s">
        <v>172</v>
      </c>
      <c r="I53" s="88">
        <v>25</v>
      </c>
      <c r="J53" s="93">
        <f t="shared" si="125"/>
        <v>30691.091</v>
      </c>
      <c r="K53" s="93">
        <f t="shared" si="126"/>
        <v>915</v>
      </c>
      <c r="L53" s="93">
        <f t="shared" si="127"/>
        <v>2.506849315068493</v>
      </c>
      <c r="M53" s="93">
        <f t="shared" si="128"/>
        <v>22.493150684931507</v>
      </c>
      <c r="N53" s="90" t="str">
        <f t="shared" si="129"/>
        <v>YES</v>
      </c>
      <c r="O53" s="94">
        <f t="shared" si="130"/>
        <v>583130.72899999993</v>
      </c>
      <c r="P53" s="92">
        <f t="shared" si="131"/>
        <v>58472.834743561638</v>
      </c>
      <c r="Q53" s="95">
        <f t="shared" si="132"/>
        <v>555348.98525643826</v>
      </c>
      <c r="R53" s="137"/>
      <c r="S53" s="137"/>
    </row>
    <row r="54" spans="1:19">
      <c r="B54" s="103"/>
      <c r="C54" s="67" t="s">
        <v>6</v>
      </c>
      <c r="D54" s="89">
        <v>43555</v>
      </c>
      <c r="E54" s="87">
        <v>96759</v>
      </c>
      <c r="F54" s="87">
        <v>0</v>
      </c>
      <c r="G54" s="92">
        <f t="shared" si="118"/>
        <v>96759</v>
      </c>
      <c r="H54" s="90" t="s">
        <v>172</v>
      </c>
      <c r="I54" s="88">
        <v>25</v>
      </c>
      <c r="J54" s="93">
        <f t="shared" si="125"/>
        <v>4837.95</v>
      </c>
      <c r="K54" s="93">
        <f t="shared" si="126"/>
        <v>915</v>
      </c>
      <c r="L54" s="93">
        <f t="shared" si="127"/>
        <v>2.506849315068493</v>
      </c>
      <c r="M54" s="93">
        <f t="shared" si="128"/>
        <v>22.493150684931507</v>
      </c>
      <c r="N54" s="90" t="str">
        <f t="shared" si="129"/>
        <v>YES</v>
      </c>
      <c r="O54" s="94">
        <f t="shared" si="130"/>
        <v>91921.05</v>
      </c>
      <c r="P54" s="92">
        <f t="shared" si="131"/>
        <v>9217.2888493150676</v>
      </c>
      <c r="Q54" s="95">
        <f t="shared" si="132"/>
        <v>87541.711150684932</v>
      </c>
      <c r="R54" s="137"/>
      <c r="S54" s="137"/>
    </row>
    <row r="55" spans="1:19">
      <c r="A55" s="162"/>
      <c r="B55" s="162"/>
      <c r="C55" s="163" t="s">
        <v>6</v>
      </c>
      <c r="D55" s="164">
        <v>43799</v>
      </c>
      <c r="E55" s="165">
        <v>20204611</v>
      </c>
      <c r="F55" s="165">
        <v>0</v>
      </c>
      <c r="G55" s="166">
        <f t="shared" ref="G55" si="133">E55+F55</f>
        <v>20204611</v>
      </c>
      <c r="H55" s="167" t="s">
        <v>172</v>
      </c>
      <c r="I55" s="162">
        <v>25</v>
      </c>
      <c r="J55" s="168">
        <f t="shared" ref="J55" si="134">E55*5%</f>
        <v>1010230.55</v>
      </c>
      <c r="K55" s="168">
        <f t="shared" ref="K55" si="135">$K$2-D55+1</f>
        <v>671</v>
      </c>
      <c r="L55" s="168">
        <f t="shared" ref="L55" si="136">K55/365</f>
        <v>1.8383561643835618</v>
      </c>
      <c r="M55" s="168">
        <f t="shared" ref="M55" si="137">I55-L55</f>
        <v>23.161643835616438</v>
      </c>
      <c r="N55" s="167" t="str">
        <f t="shared" ref="N55" si="138">IF(M55&lt;=0,"NO","YES")</f>
        <v>YES</v>
      </c>
      <c r="O55" s="169">
        <f t="shared" ref="O55" si="139">G55-J55</f>
        <v>19194380.449999999</v>
      </c>
      <c r="P55" s="166">
        <f t="shared" ref="P55" si="140">O55/I55*L55</f>
        <v>1411444.3048712329</v>
      </c>
      <c r="Q55" s="170">
        <f t="shared" ref="Q55" si="141">G55-P55</f>
        <v>18793166.695128769</v>
      </c>
      <c r="R55" s="137"/>
      <c r="S55" s="137"/>
    </row>
    <row r="56" spans="1:19">
      <c r="A56" s="162"/>
      <c r="B56" s="162"/>
      <c r="C56" s="163" t="s">
        <v>6</v>
      </c>
      <c r="D56" s="164">
        <v>43830</v>
      </c>
      <c r="E56" s="165">
        <v>2739831</v>
      </c>
      <c r="F56" s="165">
        <v>0</v>
      </c>
      <c r="G56" s="166">
        <f t="shared" ref="G56:G58" si="142">E56+F56</f>
        <v>2739831</v>
      </c>
      <c r="H56" s="167" t="s">
        <v>172</v>
      </c>
      <c r="I56" s="162">
        <v>25</v>
      </c>
      <c r="J56" s="168">
        <f t="shared" ref="J56" si="143">E56*5%</f>
        <v>136991.55000000002</v>
      </c>
      <c r="K56" s="168">
        <f t="shared" ref="K56" si="144">$K$2-D56+1</f>
        <v>640</v>
      </c>
      <c r="L56" s="168">
        <f t="shared" ref="L56" si="145">K56/365</f>
        <v>1.7534246575342465</v>
      </c>
      <c r="M56" s="168">
        <f t="shared" ref="M56" si="146">I56-L56</f>
        <v>23.246575342465754</v>
      </c>
      <c r="N56" s="167" t="str">
        <f t="shared" ref="N56" si="147">IF(M56&lt;=0,"NO","YES")</f>
        <v>YES</v>
      </c>
      <c r="O56" s="169">
        <f t="shared" ref="O56" si="148">G56-J56</f>
        <v>2602839.4500000002</v>
      </c>
      <c r="P56" s="166">
        <f t="shared" ref="P56" si="149">O56/I56*L56</f>
        <v>182555.31484931507</v>
      </c>
      <c r="Q56" s="170">
        <f t="shared" ref="Q56" si="150">G56-P56</f>
        <v>2557275.6851506848</v>
      </c>
      <c r="R56" s="137"/>
      <c r="S56" s="137"/>
    </row>
    <row r="57" spans="1:19">
      <c r="A57" s="162"/>
      <c r="B57" s="162"/>
      <c r="C57" s="163" t="s">
        <v>6</v>
      </c>
      <c r="D57" s="164">
        <v>43830</v>
      </c>
      <c r="E57" s="240">
        <v>144000</v>
      </c>
      <c r="F57" s="165">
        <v>0</v>
      </c>
      <c r="G57" s="166">
        <f t="shared" si="142"/>
        <v>144000</v>
      </c>
      <c r="H57" s="167" t="s">
        <v>172</v>
      </c>
      <c r="I57" s="162">
        <v>25</v>
      </c>
      <c r="J57" s="168">
        <f t="shared" ref="J57" si="151">E57*5%</f>
        <v>7200</v>
      </c>
      <c r="K57" s="168">
        <f t="shared" ref="K57" si="152">$K$2-D57+1</f>
        <v>640</v>
      </c>
      <c r="L57" s="168">
        <f t="shared" ref="L57" si="153">K57/365</f>
        <v>1.7534246575342465</v>
      </c>
      <c r="M57" s="168">
        <f t="shared" ref="M57" si="154">I57-L57</f>
        <v>23.246575342465754</v>
      </c>
      <c r="N57" s="167" t="str">
        <f t="shared" ref="N57" si="155">IF(M57&lt;=0,"NO","YES")</f>
        <v>YES</v>
      </c>
      <c r="O57" s="169">
        <f t="shared" ref="O57" si="156">G57-J57</f>
        <v>136800</v>
      </c>
      <c r="P57" s="166">
        <f t="shared" ref="P57" si="157">O57/I57*L57</f>
        <v>9594.7397260273974</v>
      </c>
      <c r="Q57" s="170">
        <f t="shared" ref="Q57" si="158">G57-P57</f>
        <v>134405.26027397261</v>
      </c>
      <c r="R57" s="137"/>
      <c r="S57" s="137"/>
    </row>
    <row r="58" spans="1:19">
      <c r="A58" s="162"/>
      <c r="B58" s="162"/>
      <c r="C58" s="163" t="s">
        <v>6</v>
      </c>
      <c r="D58" s="164">
        <v>43830</v>
      </c>
      <c r="E58" s="240">
        <v>1037275</v>
      </c>
      <c r="F58" s="165">
        <v>0</v>
      </c>
      <c r="G58" s="166">
        <f t="shared" si="142"/>
        <v>1037275</v>
      </c>
      <c r="H58" s="167" t="s">
        <v>172</v>
      </c>
      <c r="I58" s="162">
        <v>25</v>
      </c>
      <c r="J58" s="168">
        <f t="shared" ref="J58" si="159">E58*5%</f>
        <v>51863.75</v>
      </c>
      <c r="K58" s="168">
        <f t="shared" ref="K58" si="160">$K$2-D58+1</f>
        <v>640</v>
      </c>
      <c r="L58" s="168">
        <f t="shared" ref="L58" si="161">K58/365</f>
        <v>1.7534246575342465</v>
      </c>
      <c r="M58" s="168">
        <f t="shared" ref="M58" si="162">I58-L58</f>
        <v>23.246575342465754</v>
      </c>
      <c r="N58" s="167" t="str">
        <f t="shared" ref="N58" si="163">IF(M58&lt;=0,"NO","YES")</f>
        <v>YES</v>
      </c>
      <c r="O58" s="169">
        <f t="shared" ref="O58" si="164">G58-J58</f>
        <v>985411.25</v>
      </c>
      <c r="P58" s="166">
        <f t="shared" ref="P58" si="165">O58/I58*L58</f>
        <v>69113.775342465742</v>
      </c>
      <c r="Q58" s="170">
        <f t="shared" ref="Q58" si="166">G58-P58</f>
        <v>968161.22465753427</v>
      </c>
      <c r="R58" s="137"/>
      <c r="S58" s="137"/>
    </row>
    <row r="59" spans="1:19">
      <c r="C59" s="67"/>
      <c r="D59" s="89"/>
      <c r="E59" s="87"/>
      <c r="F59" s="87"/>
      <c r="R59" s="137"/>
      <c r="S59" s="137"/>
    </row>
    <row r="60" spans="1:19">
      <c r="B60" s="67" t="s">
        <v>174</v>
      </c>
      <c r="C60" s="67" t="s">
        <v>6</v>
      </c>
      <c r="D60" s="89">
        <v>42353</v>
      </c>
      <c r="E60" s="87">
        <v>124004835.85495344</v>
      </c>
      <c r="F60" s="87">
        <v>0</v>
      </c>
      <c r="G60" s="92">
        <f>E60+F60</f>
        <v>124004835.85495344</v>
      </c>
      <c r="H60" s="103" t="s">
        <v>173</v>
      </c>
      <c r="I60" s="88">
        <v>25</v>
      </c>
      <c r="J60" s="93">
        <f>E60*5%</f>
        <v>6200241.7927476726</v>
      </c>
      <c r="K60" s="93">
        <f>$K$2-D60+1</f>
        <v>2117</v>
      </c>
      <c r="L60" s="93">
        <f>K60/365</f>
        <v>5.8</v>
      </c>
      <c r="M60" s="93">
        <f>I60-L60</f>
        <v>19.2</v>
      </c>
      <c r="N60" s="90" t="str">
        <f>IF(M60&lt;=0,"NO","YES")</f>
        <v>YES</v>
      </c>
      <c r="O60" s="94">
        <f>G60-J60</f>
        <v>117804594.06220576</v>
      </c>
      <c r="P60" s="92">
        <f>O60/I60*L60</f>
        <v>27330665.822431736</v>
      </c>
      <c r="Q60" s="95">
        <f>G60-P60</f>
        <v>96674170.032521695</v>
      </c>
      <c r="R60" s="137"/>
      <c r="S60" s="137"/>
    </row>
    <row r="61" spans="1:19">
      <c r="B61" s="67"/>
      <c r="C61" s="67" t="s">
        <v>6</v>
      </c>
      <c r="D61" s="89">
        <v>42444</v>
      </c>
      <c r="E61" s="87">
        <v>3924644.37</v>
      </c>
      <c r="F61" s="87">
        <v>0</v>
      </c>
      <c r="G61" s="92">
        <f>E61+F61</f>
        <v>3924644.37</v>
      </c>
      <c r="H61" s="103" t="s">
        <v>173</v>
      </c>
      <c r="I61" s="88">
        <v>25</v>
      </c>
      <c r="J61" s="93">
        <f>E61*5%</f>
        <v>196232.21850000002</v>
      </c>
      <c r="K61" s="93">
        <f>$K$2-D61+1</f>
        <v>2026</v>
      </c>
      <c r="L61" s="93">
        <f>K61/365</f>
        <v>5.5506849315068489</v>
      </c>
      <c r="M61" s="93">
        <f>I61-L61</f>
        <v>19.449315068493149</v>
      </c>
      <c r="N61" s="90" t="str">
        <f>IF(M61&lt;=0,"NO","YES")</f>
        <v>YES</v>
      </c>
      <c r="O61" s="94">
        <f>G61-J61</f>
        <v>3728412.1515000002</v>
      </c>
      <c r="P61" s="92">
        <f>O61/I61*L61</f>
        <v>827809.64591112325</v>
      </c>
      <c r="Q61" s="95">
        <f>G61-P61</f>
        <v>3096834.724088877</v>
      </c>
      <c r="R61" s="137"/>
      <c r="S61" s="137"/>
    </row>
    <row r="62" spans="1:19">
      <c r="B62" s="67"/>
      <c r="C62" s="67" t="s">
        <v>6</v>
      </c>
      <c r="D62" s="89">
        <v>43054</v>
      </c>
      <c r="E62" s="87">
        <v>8819446.6899999995</v>
      </c>
      <c r="F62" s="87">
        <v>0</v>
      </c>
      <c r="G62" s="92">
        <f>E62+F62</f>
        <v>8819446.6899999995</v>
      </c>
      <c r="H62" s="103" t="s">
        <v>173</v>
      </c>
      <c r="I62" s="88">
        <v>25</v>
      </c>
      <c r="J62" s="93">
        <f>E62*5%</f>
        <v>440972.3345</v>
      </c>
      <c r="K62" s="93">
        <f>$K$2-D62+1</f>
        <v>1416</v>
      </c>
      <c r="L62" s="93">
        <f>K62/365</f>
        <v>3.8794520547945206</v>
      </c>
      <c r="M62" s="93">
        <f>I62-L62</f>
        <v>21.12054794520548</v>
      </c>
      <c r="N62" s="90" t="str">
        <f>IF(M62&lt;=0,"NO","YES")</f>
        <v>YES</v>
      </c>
      <c r="O62" s="94">
        <f>G62-J62</f>
        <v>8378474.3554999996</v>
      </c>
      <c r="P62" s="92">
        <f>O62/I62*L62</f>
        <v>1300155.5821795068</v>
      </c>
      <c r="Q62" s="95">
        <f>G62-P62</f>
        <v>7519291.1078204922</v>
      </c>
      <c r="R62" s="137"/>
      <c r="S62" s="137"/>
    </row>
    <row r="63" spans="1:19">
      <c r="B63" s="67"/>
      <c r="C63" s="67" t="s">
        <v>6</v>
      </c>
      <c r="D63" s="89">
        <v>43555</v>
      </c>
      <c r="E63" s="87">
        <v>1634900</v>
      </c>
      <c r="F63" s="87">
        <v>0</v>
      </c>
      <c r="G63" s="92">
        <f>E63+F63</f>
        <v>1634900</v>
      </c>
      <c r="H63" s="103" t="s">
        <v>173</v>
      </c>
      <c r="I63" s="88">
        <v>25</v>
      </c>
      <c r="J63" s="93">
        <f>E63*5%</f>
        <v>81745</v>
      </c>
      <c r="K63" s="93">
        <f>$K$2-D63+1</f>
        <v>915</v>
      </c>
      <c r="L63" s="93">
        <f>K63/365</f>
        <v>2.506849315068493</v>
      </c>
      <c r="M63" s="93">
        <f>I63-L63</f>
        <v>22.493150684931507</v>
      </c>
      <c r="N63" s="90" t="str">
        <f>IF(M63&lt;=0,"NO","YES")</f>
        <v>YES</v>
      </c>
      <c r="O63" s="94">
        <f>G63-J63</f>
        <v>1553155</v>
      </c>
      <c r="P63" s="92">
        <f>O63/I63*L63</f>
        <v>155741.02191780819</v>
      </c>
      <c r="Q63" s="95">
        <f>G63-P63</f>
        <v>1479158.9780821919</v>
      </c>
      <c r="R63" s="137"/>
      <c r="S63" s="137"/>
    </row>
    <row r="64" spans="1:19">
      <c r="B64" s="135"/>
      <c r="D64" s="135"/>
      <c r="E64" s="87"/>
      <c r="F64" s="102"/>
      <c r="I64" s="91"/>
      <c r="J64" s="136"/>
      <c r="R64" s="137"/>
      <c r="S64" s="137"/>
    </row>
    <row r="65" spans="1:19">
      <c r="B65" s="67" t="s">
        <v>176</v>
      </c>
      <c r="C65" s="67" t="s">
        <v>6</v>
      </c>
      <c r="D65" s="89">
        <v>42353</v>
      </c>
      <c r="E65" s="87">
        <v>30898667.340729259</v>
      </c>
      <c r="F65" s="87">
        <v>0</v>
      </c>
      <c r="G65" s="92">
        <f t="shared" ref="G65:G67" si="167">E65+F65</f>
        <v>30898667.340729259</v>
      </c>
      <c r="H65" s="90" t="s">
        <v>175</v>
      </c>
      <c r="I65" s="88">
        <v>25</v>
      </c>
      <c r="J65" s="93">
        <f t="shared" ref="J65:J76" si="168">E65*5%</f>
        <v>1544933.367036463</v>
      </c>
      <c r="K65" s="93">
        <f t="shared" ref="K65:K76" si="169">$K$2-D65+1</f>
        <v>2117</v>
      </c>
      <c r="L65" s="93">
        <f t="shared" ref="L65:L76" si="170">K65/365</f>
        <v>5.8</v>
      </c>
      <c r="M65" s="93">
        <f t="shared" ref="M65:M76" si="171">I65-L65</f>
        <v>19.2</v>
      </c>
      <c r="N65" s="90" t="str">
        <f t="shared" ref="N65:N76" si="172">IF(M65&lt;=0,"NO","YES")</f>
        <v>YES</v>
      </c>
      <c r="O65" s="94">
        <f t="shared" ref="O65:O76" si="173">G65-J65</f>
        <v>29353733.973692797</v>
      </c>
      <c r="P65" s="92">
        <f t="shared" ref="P65:P76" si="174">O65/I65*L65</f>
        <v>6810066.281896729</v>
      </c>
      <c r="Q65" s="95">
        <f t="shared" ref="Q65:Q76" si="175">G65-P65</f>
        <v>24088601.05883253</v>
      </c>
      <c r="R65" s="137"/>
      <c r="S65" s="137"/>
    </row>
    <row r="66" spans="1:19">
      <c r="B66" s="67"/>
      <c r="C66" s="67" t="s">
        <v>6</v>
      </c>
      <c r="D66" s="89">
        <v>42444</v>
      </c>
      <c r="E66" s="87">
        <v>537447.30000000005</v>
      </c>
      <c r="F66" s="87">
        <v>0</v>
      </c>
      <c r="G66" s="92">
        <f t="shared" ref="G66" si="176">E66+F66</f>
        <v>537447.30000000005</v>
      </c>
      <c r="H66" s="90" t="s">
        <v>175</v>
      </c>
      <c r="I66" s="88">
        <v>25</v>
      </c>
      <c r="J66" s="93">
        <f t="shared" si="168"/>
        <v>26872.365000000005</v>
      </c>
      <c r="K66" s="93">
        <f t="shared" si="169"/>
        <v>2026</v>
      </c>
      <c r="L66" s="93">
        <f t="shared" si="170"/>
        <v>5.5506849315068489</v>
      </c>
      <c r="M66" s="93">
        <f t="shared" si="171"/>
        <v>19.449315068493149</v>
      </c>
      <c r="N66" s="90" t="str">
        <f t="shared" si="172"/>
        <v>YES</v>
      </c>
      <c r="O66" s="94">
        <f t="shared" si="173"/>
        <v>510574.93500000006</v>
      </c>
      <c r="P66" s="92">
        <f t="shared" si="174"/>
        <v>113361.62392438357</v>
      </c>
      <c r="Q66" s="95">
        <f t="shared" si="175"/>
        <v>424085.6760756165</v>
      </c>
      <c r="R66" s="137"/>
      <c r="S66" s="137"/>
    </row>
    <row r="67" spans="1:19">
      <c r="B67" s="67" t="s">
        <v>177</v>
      </c>
      <c r="C67" s="67" t="s">
        <v>6</v>
      </c>
      <c r="D67" s="89">
        <v>42353</v>
      </c>
      <c r="E67" s="87">
        <v>58644599.897918634</v>
      </c>
      <c r="F67" s="87">
        <v>0</v>
      </c>
      <c r="G67" s="92">
        <f t="shared" si="167"/>
        <v>58644599.897918634</v>
      </c>
      <c r="H67" s="90" t="s">
        <v>175</v>
      </c>
      <c r="I67" s="88">
        <v>25</v>
      </c>
      <c r="J67" s="93">
        <f t="shared" si="168"/>
        <v>2932229.9948959318</v>
      </c>
      <c r="K67" s="93">
        <f t="shared" si="169"/>
        <v>2117</v>
      </c>
      <c r="L67" s="93">
        <f t="shared" si="170"/>
        <v>5.8</v>
      </c>
      <c r="M67" s="93">
        <f t="shared" si="171"/>
        <v>19.2</v>
      </c>
      <c r="N67" s="90" t="str">
        <f t="shared" si="172"/>
        <v>YES</v>
      </c>
      <c r="O67" s="94">
        <f t="shared" si="173"/>
        <v>55712369.903022699</v>
      </c>
      <c r="P67" s="92">
        <f t="shared" si="174"/>
        <v>12925269.817501267</v>
      </c>
      <c r="Q67" s="95">
        <f t="shared" si="175"/>
        <v>45719330.080417365</v>
      </c>
      <c r="R67" s="137"/>
      <c r="S67" s="137"/>
    </row>
    <row r="68" spans="1:19">
      <c r="C68" s="67" t="s">
        <v>6</v>
      </c>
      <c r="D68" s="89">
        <v>42444</v>
      </c>
      <c r="E68" s="87">
        <v>1556572</v>
      </c>
      <c r="F68" s="87">
        <v>0</v>
      </c>
      <c r="G68" s="92">
        <f t="shared" ref="G68" si="177">E68+F68</f>
        <v>1556572</v>
      </c>
      <c r="H68" s="90" t="s">
        <v>175</v>
      </c>
      <c r="I68" s="88">
        <v>25</v>
      </c>
      <c r="J68" s="93">
        <f t="shared" si="168"/>
        <v>77828.600000000006</v>
      </c>
      <c r="K68" s="93">
        <f t="shared" si="169"/>
        <v>2026</v>
      </c>
      <c r="L68" s="93">
        <f t="shared" si="170"/>
        <v>5.5506849315068489</v>
      </c>
      <c r="M68" s="93">
        <f t="shared" si="171"/>
        <v>19.449315068493149</v>
      </c>
      <c r="N68" s="90" t="str">
        <f t="shared" si="172"/>
        <v>YES</v>
      </c>
      <c r="O68" s="94">
        <f t="shared" si="173"/>
        <v>1478743.4</v>
      </c>
      <c r="P68" s="92">
        <f t="shared" si="174"/>
        <v>328321.54831780819</v>
      </c>
      <c r="Q68" s="95">
        <f t="shared" si="175"/>
        <v>1228250.4516821918</v>
      </c>
      <c r="R68" s="137"/>
      <c r="S68" s="137"/>
    </row>
    <row r="69" spans="1:19">
      <c r="B69" s="67" t="s">
        <v>179</v>
      </c>
      <c r="C69" s="67" t="s">
        <v>6</v>
      </c>
      <c r="D69" s="89">
        <v>42353</v>
      </c>
      <c r="E69" s="87">
        <v>31387814.709964152</v>
      </c>
      <c r="F69" s="87">
        <v>0</v>
      </c>
      <c r="G69" s="92">
        <f>E69+F69</f>
        <v>31387814.709964152</v>
      </c>
      <c r="H69" s="103" t="s">
        <v>178</v>
      </c>
      <c r="I69" s="88">
        <v>25</v>
      </c>
      <c r="J69" s="93">
        <f t="shared" si="168"/>
        <v>1569390.7354982076</v>
      </c>
      <c r="K69" s="93">
        <f t="shared" si="169"/>
        <v>2117</v>
      </c>
      <c r="L69" s="93">
        <f t="shared" si="170"/>
        <v>5.8</v>
      </c>
      <c r="M69" s="93">
        <f t="shared" si="171"/>
        <v>19.2</v>
      </c>
      <c r="N69" s="90" t="str">
        <f t="shared" si="172"/>
        <v>YES</v>
      </c>
      <c r="O69" s="94">
        <f t="shared" si="173"/>
        <v>29818423.974465944</v>
      </c>
      <c r="P69" s="92">
        <f t="shared" si="174"/>
        <v>6917874.362076099</v>
      </c>
      <c r="Q69" s="95">
        <f t="shared" si="175"/>
        <v>24469940.347888052</v>
      </c>
      <c r="R69" s="137"/>
      <c r="S69" s="137"/>
    </row>
    <row r="70" spans="1:19">
      <c r="B70" s="67"/>
      <c r="C70" s="67" t="s">
        <v>6</v>
      </c>
      <c r="D70" s="89">
        <v>42353</v>
      </c>
      <c r="E70" s="87">
        <v>36741</v>
      </c>
      <c r="F70" s="87">
        <v>0</v>
      </c>
      <c r="G70" s="92">
        <f>E70+F70</f>
        <v>36741</v>
      </c>
      <c r="H70" s="103" t="s">
        <v>178</v>
      </c>
      <c r="I70" s="88">
        <v>25</v>
      </c>
      <c r="J70" s="93">
        <f t="shared" si="168"/>
        <v>1837.0500000000002</v>
      </c>
      <c r="K70" s="93">
        <f t="shared" ref="K70" si="178">$K$2-D70+1</f>
        <v>2117</v>
      </c>
      <c r="L70" s="93">
        <f t="shared" ref="L70" si="179">K70/365</f>
        <v>5.8</v>
      </c>
      <c r="M70" s="93">
        <f t="shared" ref="M70" si="180">I70-L70</f>
        <v>19.2</v>
      </c>
      <c r="N70" s="90" t="str">
        <f t="shared" ref="N70" si="181">IF(M70&lt;=0,"NO","YES")</f>
        <v>YES</v>
      </c>
      <c r="O70" s="94">
        <f t="shared" ref="O70" si="182">G70-J70</f>
        <v>34903.949999999997</v>
      </c>
      <c r="P70" s="92">
        <f t="shared" ref="P70" si="183">O70/I70*L70</f>
        <v>8097.7163999999993</v>
      </c>
      <c r="Q70" s="95">
        <f t="shared" ref="Q70" si="184">G70-P70</f>
        <v>28643.283600000002</v>
      </c>
      <c r="R70" s="137"/>
      <c r="S70" s="137"/>
    </row>
    <row r="71" spans="1:19">
      <c r="C71" s="67" t="s">
        <v>6</v>
      </c>
      <c r="D71" s="89">
        <v>42444</v>
      </c>
      <c r="E71" s="87">
        <v>266082.78000000003</v>
      </c>
      <c r="F71" s="87">
        <v>0</v>
      </c>
      <c r="G71" s="92">
        <f>E71+F71</f>
        <v>266082.78000000003</v>
      </c>
      <c r="H71" s="103" t="s">
        <v>178</v>
      </c>
      <c r="I71" s="88">
        <v>25</v>
      </c>
      <c r="J71" s="93">
        <f t="shared" si="168"/>
        <v>13304.139000000003</v>
      </c>
      <c r="K71" s="93">
        <f t="shared" si="169"/>
        <v>2026</v>
      </c>
      <c r="L71" s="93">
        <f t="shared" si="170"/>
        <v>5.5506849315068489</v>
      </c>
      <c r="M71" s="93">
        <f t="shared" si="171"/>
        <v>19.449315068493149</v>
      </c>
      <c r="N71" s="90" t="str">
        <f t="shared" si="172"/>
        <v>YES</v>
      </c>
      <c r="O71" s="94">
        <f t="shared" si="173"/>
        <v>252778.64100000003</v>
      </c>
      <c r="P71" s="92">
        <f t="shared" si="174"/>
        <v>56123.783744219181</v>
      </c>
      <c r="Q71" s="95">
        <f t="shared" si="175"/>
        <v>209958.99625578086</v>
      </c>
      <c r="R71" s="137"/>
      <c r="S71" s="137"/>
    </row>
    <row r="72" spans="1:19">
      <c r="C72" s="67" t="s">
        <v>6</v>
      </c>
      <c r="D72" s="89">
        <v>43054</v>
      </c>
      <c r="E72" s="87">
        <v>1071.93</v>
      </c>
      <c r="F72" s="87">
        <v>0</v>
      </c>
      <c r="G72" s="92">
        <f>E72+F72</f>
        <v>1071.93</v>
      </c>
      <c r="H72" s="103" t="s">
        <v>178</v>
      </c>
      <c r="I72" s="88">
        <v>25</v>
      </c>
      <c r="J72" s="93">
        <f t="shared" ref="J72" si="185">E72*5%</f>
        <v>53.596500000000006</v>
      </c>
      <c r="K72" s="93">
        <f t="shared" ref="K72" si="186">$K$2-D72+1</f>
        <v>1416</v>
      </c>
      <c r="L72" s="93">
        <f t="shared" ref="L72" si="187">K72/365</f>
        <v>3.8794520547945206</v>
      </c>
      <c r="M72" s="93">
        <f t="shared" ref="M72" si="188">I72-L72</f>
        <v>21.12054794520548</v>
      </c>
      <c r="N72" s="90" t="str">
        <f t="shared" ref="N72" si="189">IF(M72&lt;=0,"NO","YES")</f>
        <v>YES</v>
      </c>
      <c r="O72" s="94">
        <f t="shared" ref="O72" si="190">G72-J72</f>
        <v>1018.3335000000001</v>
      </c>
      <c r="P72" s="92">
        <f t="shared" ref="P72" si="191">O72/I72*L72</f>
        <v>158.02303956164386</v>
      </c>
      <c r="Q72" s="95">
        <f t="shared" ref="Q72" si="192">G72-P72</f>
        <v>913.90696043835624</v>
      </c>
      <c r="R72" s="137"/>
      <c r="S72" s="137"/>
    </row>
    <row r="73" spans="1:19">
      <c r="A73" s="162"/>
      <c r="B73" s="162"/>
      <c r="C73" s="163" t="s">
        <v>6</v>
      </c>
      <c r="D73" s="164">
        <v>43830</v>
      </c>
      <c r="E73" s="240">
        <v>1251956.6299999999</v>
      </c>
      <c r="F73" s="165">
        <v>0</v>
      </c>
      <c r="G73" s="166">
        <f>E73+F73</f>
        <v>1251956.6299999999</v>
      </c>
      <c r="H73" s="171" t="s">
        <v>178</v>
      </c>
      <c r="I73" s="162">
        <v>25</v>
      </c>
      <c r="J73" s="168">
        <f t="shared" ref="J73" si="193">E73*5%</f>
        <v>62597.8315</v>
      </c>
      <c r="K73" s="168">
        <f t="shared" ref="K73" si="194">$K$2-D73+1</f>
        <v>640</v>
      </c>
      <c r="L73" s="168">
        <f t="shared" ref="L73" si="195">K73/365</f>
        <v>1.7534246575342465</v>
      </c>
      <c r="M73" s="168">
        <f t="shared" ref="M73" si="196">I73-L73</f>
        <v>23.246575342465754</v>
      </c>
      <c r="N73" s="167" t="str">
        <f t="shared" ref="N73" si="197">IF(M73&lt;=0,"NO","YES")</f>
        <v>YES</v>
      </c>
      <c r="O73" s="169">
        <f t="shared" ref="O73" si="198">G73-J73</f>
        <v>1189358.7984999998</v>
      </c>
      <c r="P73" s="166">
        <f t="shared" ref="P73" si="199">O73/I73*L73</f>
        <v>83418.041757808198</v>
      </c>
      <c r="Q73" s="170">
        <f t="shared" ref="Q73" si="200">G73-P73</f>
        <v>1168538.5882421916</v>
      </c>
      <c r="R73" s="137"/>
      <c r="S73" s="137"/>
    </row>
    <row r="74" spans="1:19">
      <c r="C74" s="67"/>
      <c r="D74" s="89"/>
      <c r="E74" s="87"/>
      <c r="F74" s="87"/>
      <c r="G74" s="92"/>
      <c r="H74" s="103"/>
      <c r="J74" s="93"/>
      <c r="K74" s="93"/>
      <c r="L74" s="93"/>
      <c r="M74" s="93"/>
      <c r="N74" s="90"/>
      <c r="O74" s="94"/>
      <c r="P74" s="92"/>
      <c r="Q74" s="95"/>
      <c r="R74" s="137"/>
      <c r="S74" s="137"/>
    </row>
    <row r="75" spans="1:19">
      <c r="B75" s="67" t="s">
        <v>181</v>
      </c>
      <c r="C75" s="67" t="s">
        <v>6</v>
      </c>
      <c r="D75" s="89">
        <v>42353</v>
      </c>
      <c r="E75" s="87">
        <v>2143783.409759331</v>
      </c>
      <c r="F75" s="87">
        <v>0</v>
      </c>
      <c r="G75" s="92">
        <f t="shared" ref="G75:G78" si="201">E75+F75</f>
        <v>2143783.409759331</v>
      </c>
      <c r="H75" s="90" t="s">
        <v>180</v>
      </c>
      <c r="I75" s="88">
        <v>25</v>
      </c>
      <c r="J75" s="93">
        <f t="shared" si="168"/>
        <v>107189.17048796656</v>
      </c>
      <c r="K75" s="93">
        <f t="shared" si="169"/>
        <v>2117</v>
      </c>
      <c r="L75" s="93">
        <f t="shared" si="170"/>
        <v>5.8</v>
      </c>
      <c r="M75" s="93">
        <f t="shared" si="171"/>
        <v>19.2</v>
      </c>
      <c r="N75" s="90" t="str">
        <f t="shared" si="172"/>
        <v>YES</v>
      </c>
      <c r="O75" s="94">
        <f t="shared" si="173"/>
        <v>2036594.2392713644</v>
      </c>
      <c r="P75" s="92">
        <f t="shared" si="174"/>
        <v>472489.86351095652</v>
      </c>
      <c r="Q75" s="95">
        <f t="shared" si="175"/>
        <v>1671293.5462483745</v>
      </c>
      <c r="R75" s="137"/>
      <c r="S75" s="137"/>
    </row>
    <row r="76" spans="1:19">
      <c r="B76" s="67"/>
      <c r="C76" s="67" t="s">
        <v>6</v>
      </c>
      <c r="D76" s="89">
        <v>42444</v>
      </c>
      <c r="E76" s="87">
        <v>121949.53</v>
      </c>
      <c r="F76" s="87">
        <v>0</v>
      </c>
      <c r="G76" s="92">
        <f t="shared" ref="G76" si="202">E76+F76</f>
        <v>121949.53</v>
      </c>
      <c r="H76" s="90" t="s">
        <v>180</v>
      </c>
      <c r="I76" s="88">
        <v>25</v>
      </c>
      <c r="J76" s="93">
        <f t="shared" si="168"/>
        <v>6097.4765000000007</v>
      </c>
      <c r="K76" s="93">
        <f t="shared" si="169"/>
        <v>2026</v>
      </c>
      <c r="L76" s="93">
        <f t="shared" si="170"/>
        <v>5.5506849315068489</v>
      </c>
      <c r="M76" s="93">
        <f t="shared" si="171"/>
        <v>19.449315068493149</v>
      </c>
      <c r="N76" s="90" t="str">
        <f t="shared" si="172"/>
        <v>YES</v>
      </c>
      <c r="O76" s="94">
        <f t="shared" si="173"/>
        <v>115852.05349999999</v>
      </c>
      <c r="P76" s="92">
        <f t="shared" si="174"/>
        <v>25722.329905863011</v>
      </c>
      <c r="Q76" s="95">
        <f t="shared" si="175"/>
        <v>96227.200094136992</v>
      </c>
      <c r="R76" s="137"/>
      <c r="S76" s="137"/>
    </row>
    <row r="77" spans="1:19">
      <c r="B77" s="67"/>
      <c r="C77" s="67"/>
      <c r="D77" s="89"/>
      <c r="E77" s="87"/>
      <c r="F77" s="87"/>
      <c r="G77" s="92"/>
      <c r="H77" s="90"/>
      <c r="J77" s="93"/>
      <c r="K77" s="93"/>
      <c r="L77" s="93"/>
      <c r="M77" s="93"/>
      <c r="N77" s="90"/>
      <c r="O77" s="94"/>
      <c r="P77" s="92"/>
      <c r="Q77" s="95"/>
      <c r="R77" s="137"/>
      <c r="S77" s="137"/>
    </row>
    <row r="78" spans="1:19">
      <c r="B78" s="67" t="s">
        <v>182</v>
      </c>
      <c r="C78" s="67" t="s">
        <v>6</v>
      </c>
      <c r="D78" s="89">
        <v>42353</v>
      </c>
      <c r="E78" s="87">
        <f>10588279.6422746-0.34</f>
        <v>10588279.3022746</v>
      </c>
      <c r="F78" s="87">
        <v>0</v>
      </c>
      <c r="G78" s="92">
        <f t="shared" si="201"/>
        <v>10588279.3022746</v>
      </c>
      <c r="H78" s="90" t="s">
        <v>180</v>
      </c>
      <c r="I78" s="88">
        <v>25</v>
      </c>
      <c r="J78" s="93">
        <f>E78*5%</f>
        <v>529413.96511373005</v>
      </c>
      <c r="K78" s="93">
        <f>$K$2-D78+1</f>
        <v>2117</v>
      </c>
      <c r="L78" s="93">
        <f>K78/365</f>
        <v>5.8</v>
      </c>
      <c r="M78" s="93">
        <f>I78-L78</f>
        <v>19.2</v>
      </c>
      <c r="N78" s="90" t="str">
        <f>IF(M78&lt;=0,"NO","YES")</f>
        <v>YES</v>
      </c>
      <c r="O78" s="94">
        <f>G78-J78</f>
        <v>10058865.33716087</v>
      </c>
      <c r="P78" s="92">
        <f>O78/I78*L78</f>
        <v>2333656.7582213217</v>
      </c>
      <c r="Q78" s="95">
        <f>G78-P78</f>
        <v>8254622.5440532779</v>
      </c>
      <c r="R78" s="137"/>
      <c r="S78" s="137"/>
    </row>
    <row r="79" spans="1:19">
      <c r="B79" s="67"/>
      <c r="C79" s="67"/>
      <c r="D79" s="89"/>
      <c r="E79" s="87"/>
      <c r="F79" s="87"/>
      <c r="G79" s="92"/>
      <c r="H79" s="90"/>
      <c r="J79" s="93"/>
      <c r="K79" s="93"/>
      <c r="L79" s="93"/>
      <c r="M79" s="93"/>
      <c r="N79" s="90"/>
      <c r="O79" s="94"/>
      <c r="P79" s="92"/>
      <c r="Q79" s="95"/>
      <c r="R79" s="137"/>
      <c r="S79" s="137"/>
    </row>
    <row r="80" spans="1:19">
      <c r="B80" s="67" t="s">
        <v>254</v>
      </c>
      <c r="C80" s="67" t="s">
        <v>6</v>
      </c>
      <c r="D80" s="89">
        <v>42635</v>
      </c>
      <c r="E80" s="161">
        <f>'Insurance Spares-30.09.21'!E48</f>
        <v>1921817.7299999997</v>
      </c>
      <c r="F80" s="161">
        <v>0</v>
      </c>
      <c r="G80" s="239">
        <f>'Insurance Spares-30.09.21'!M48</f>
        <v>1792768.66</v>
      </c>
      <c r="H80" s="67" t="s">
        <v>254</v>
      </c>
      <c r="I80" s="88">
        <v>25</v>
      </c>
      <c r="J80" s="93">
        <f>E80*5%</f>
        <v>96090.886499999993</v>
      </c>
      <c r="K80" s="93">
        <f>$K$2-D80+1</f>
        <v>1835</v>
      </c>
      <c r="L80" s="93">
        <f>+'Insurance Spares-dec,19'!R20</f>
        <v>0.77534246575342469</v>
      </c>
      <c r="M80" s="93">
        <f>I80-L80</f>
        <v>24.224657534246575</v>
      </c>
      <c r="N80" s="90" t="str">
        <f>IF(M80&lt;=0,"NO","YES")</f>
        <v>YES</v>
      </c>
      <c r="O80" s="94">
        <f>G80-J80</f>
        <v>1696677.7734999999</v>
      </c>
      <c r="P80" s="92">
        <f>'Insurance Spares-30.09.21'!W48</f>
        <v>330636.94088562101</v>
      </c>
      <c r="Q80" s="95">
        <f>G80-P80</f>
        <v>1462131.719114379</v>
      </c>
      <c r="R80" s="137"/>
      <c r="S80" s="137"/>
    </row>
    <row r="81" spans="2:17">
      <c r="E81" s="160">
        <f>SUM(E6:E80)</f>
        <v>1433313272.6286688</v>
      </c>
      <c r="F81" s="160">
        <f>SUM(F6:F80)</f>
        <v>0</v>
      </c>
      <c r="G81" s="160">
        <f>SUM(G6:G80)</f>
        <v>1433184223.5586689</v>
      </c>
      <c r="H81" s="96"/>
      <c r="I81" s="96"/>
      <c r="J81" s="98">
        <f>SUM(J6:J80)</f>
        <v>71665663.631433412</v>
      </c>
      <c r="K81" s="98"/>
      <c r="L81" s="96"/>
      <c r="M81" s="96"/>
      <c r="N81" s="96"/>
      <c r="O81" s="98">
        <f>SUM(O6:O80)</f>
        <v>1361518559.9272354</v>
      </c>
      <c r="P81" s="98">
        <f>SUM(P6:P80)</f>
        <v>309645925.06436175</v>
      </c>
      <c r="Q81" s="98">
        <f>SUM(Q6:Q80)</f>
        <v>1123538298.494307</v>
      </c>
    </row>
    <row r="82" spans="2:17">
      <c r="E82" s="172"/>
      <c r="G82" s="136"/>
      <c r="P82" s="137"/>
      <c r="Q82" s="137"/>
    </row>
    <row r="83" spans="2:17">
      <c r="E83" s="160">
        <v>1433308531.3886688</v>
      </c>
      <c r="F83" s="160">
        <v>0</v>
      </c>
      <c r="G83" s="160">
        <v>1433308531.3886688</v>
      </c>
      <c r="H83" s="96"/>
      <c r="I83" s="96"/>
      <c r="J83" s="98">
        <v>71569572.744933411</v>
      </c>
      <c r="K83" s="98"/>
      <c r="L83" s="96"/>
      <c r="M83" s="96"/>
      <c r="N83" s="96"/>
      <c r="O83" s="98">
        <v>1361738958.6437354</v>
      </c>
      <c r="P83" s="98">
        <v>295941139.70844722</v>
      </c>
      <c r="Q83" s="98">
        <v>1137367391.6802216</v>
      </c>
    </row>
    <row r="84" spans="2:17">
      <c r="E84" s="136"/>
      <c r="P84" s="137"/>
    </row>
    <row r="85" spans="2:17">
      <c r="B85" s="104"/>
      <c r="C85" s="91"/>
      <c r="E85" s="211"/>
    </row>
    <row r="86" spans="2:17">
      <c r="B86" s="104"/>
      <c r="C86" s="91"/>
    </row>
    <row r="87" spans="2:17">
      <c r="B87" s="104"/>
      <c r="C87" s="91"/>
    </row>
    <row r="89" spans="2:17">
      <c r="B89" s="104"/>
      <c r="C89" s="105"/>
    </row>
    <row r="90" spans="2:17">
      <c r="B90" s="104"/>
      <c r="C90" s="105"/>
    </row>
    <row r="91" spans="2:17">
      <c r="B91" s="104"/>
      <c r="C91" s="10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7"/>
  <sheetViews>
    <sheetView tabSelected="1" topLeftCell="D1" workbookViewId="0">
      <selection activeCell="E9" sqref="E9"/>
    </sheetView>
  </sheetViews>
  <sheetFormatPr defaultRowHeight="15"/>
  <cols>
    <col min="4" max="4" width="6.85546875" bestFit="1" customWidth="1"/>
    <col min="5" max="5" width="52.5703125" bestFit="1" customWidth="1"/>
    <col min="6" max="6" width="13.28515625" bestFit="1" customWidth="1"/>
    <col min="7" max="7" width="7.5703125" bestFit="1" customWidth="1"/>
    <col min="8" max="8" width="9.7109375" bestFit="1" customWidth="1"/>
    <col min="9" max="9" width="14" customWidth="1"/>
    <col min="10" max="10" width="15.28515625" bestFit="1" customWidth="1"/>
    <col min="11" max="11" width="7.7109375" bestFit="1" customWidth="1"/>
    <col min="12" max="12" width="12.42578125" bestFit="1" customWidth="1"/>
    <col min="13" max="14" width="13.7109375" bestFit="1" customWidth="1"/>
    <col min="15" max="15" width="8.5703125" bestFit="1" customWidth="1"/>
    <col min="16" max="16" width="17.5703125" bestFit="1" customWidth="1"/>
    <col min="17" max="17" width="12.28515625" customWidth="1"/>
    <col min="18" max="18" width="12.5703125" customWidth="1"/>
    <col min="19" max="19" width="13.140625" customWidth="1"/>
    <col min="20" max="20" width="16" customWidth="1"/>
  </cols>
  <sheetData>
    <row r="2" spans="4:20">
      <c r="D2" s="296" t="s">
        <v>390</v>
      </c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</row>
    <row r="3" spans="4:20" ht="60">
      <c r="D3" s="297" t="s">
        <v>366</v>
      </c>
      <c r="E3" s="297" t="s">
        <v>367</v>
      </c>
      <c r="F3" s="297" t="s">
        <v>370</v>
      </c>
      <c r="G3" s="297" t="s">
        <v>385</v>
      </c>
      <c r="H3" s="297" t="s">
        <v>353</v>
      </c>
      <c r="I3" s="297" t="s">
        <v>386</v>
      </c>
      <c r="J3" s="297" t="s">
        <v>387</v>
      </c>
      <c r="K3" s="297" t="s">
        <v>373</v>
      </c>
      <c r="L3" s="297" t="s">
        <v>374</v>
      </c>
      <c r="M3" s="298" t="s">
        <v>375</v>
      </c>
      <c r="N3" s="298" t="s">
        <v>388</v>
      </c>
      <c r="O3" s="299" t="s">
        <v>360</v>
      </c>
      <c r="P3" s="298" t="s">
        <v>389</v>
      </c>
      <c r="Q3" s="298" t="s">
        <v>362</v>
      </c>
      <c r="R3" s="298" t="s">
        <v>363</v>
      </c>
      <c r="S3" s="300" t="s">
        <v>364</v>
      </c>
      <c r="T3" s="298" t="s">
        <v>365</v>
      </c>
    </row>
    <row r="4" spans="4:20">
      <c r="D4" s="301">
        <v>1</v>
      </c>
      <c r="E4" s="304" t="s">
        <v>134</v>
      </c>
      <c r="F4" s="305">
        <v>42353</v>
      </c>
      <c r="G4" s="301"/>
      <c r="H4" s="305">
        <v>44603</v>
      </c>
      <c r="I4" s="306">
        <f>(H4-F4)/365</f>
        <v>6.1643835616438354</v>
      </c>
      <c r="J4" s="301"/>
      <c r="K4" s="302">
        <v>0.08</v>
      </c>
      <c r="L4" s="301" t="e">
        <f>(1-K4)/J4</f>
        <v>#DIV/0!</v>
      </c>
      <c r="M4" s="307">
        <v>28352211.196134202</v>
      </c>
      <c r="N4" s="303">
        <v>22103383.848506227</v>
      </c>
      <c r="O4" s="301"/>
      <c r="P4" s="301">
        <f>M4*(1-O4)</f>
        <v>28352211.196134202</v>
      </c>
      <c r="Q4" s="301" t="e">
        <f>P4*L4*I4</f>
        <v>#DIV/0!</v>
      </c>
      <c r="R4" s="301" t="e">
        <f>MAX(P4-Q4,0)</f>
        <v>#DIV/0!</v>
      </c>
      <c r="S4" s="302">
        <v>0.15</v>
      </c>
      <c r="T4" s="301" t="e">
        <f>IF(N4&lt;0,0,IF(R4&lt;=K4*P4,K4*P4,R4*(1-S4)))</f>
        <v>#DIV/0!</v>
      </c>
    </row>
    <row r="5" spans="4:20">
      <c r="D5" s="301">
        <v>2</v>
      </c>
      <c r="E5" s="304" t="s">
        <v>134</v>
      </c>
      <c r="F5" s="305">
        <v>42444</v>
      </c>
      <c r="G5" s="301"/>
      <c r="H5" s="305">
        <v>44603</v>
      </c>
      <c r="I5" s="306">
        <f t="shared" ref="I5:I26" si="0">(H5-F5)/365</f>
        <v>5.9150684931506845</v>
      </c>
      <c r="J5" s="301"/>
      <c r="K5" s="302">
        <v>0.08</v>
      </c>
      <c r="L5" s="301" t="e">
        <f t="shared" ref="L5:L26" si="1">(1-K5)/J5</f>
        <v>#DIV/0!</v>
      </c>
      <c r="M5" s="307">
        <v>4481337.67</v>
      </c>
      <c r="N5" s="303">
        <v>3536106.9178412054</v>
      </c>
      <c r="O5" s="301"/>
      <c r="P5" s="301">
        <f t="shared" ref="P5:P26" si="2">M5*(1-O5)</f>
        <v>4481337.67</v>
      </c>
      <c r="Q5" s="301" t="e">
        <f t="shared" ref="Q5:Q26" si="3">P5*L5*I5</f>
        <v>#DIV/0!</v>
      </c>
      <c r="R5" s="301" t="e">
        <f t="shared" ref="R5:R26" si="4">MAX(P5-Q5,0)</f>
        <v>#DIV/0!</v>
      </c>
      <c r="S5" s="302">
        <v>0.15</v>
      </c>
      <c r="T5" s="301" t="e">
        <f t="shared" ref="T5:T26" si="5">IF(N5&lt;0,0,IF(R5&lt;=K5*P5,K5*P5,R5*(1-S5)))</f>
        <v>#DIV/0!</v>
      </c>
    </row>
    <row r="6" spans="4:20">
      <c r="D6" s="301">
        <v>3</v>
      </c>
      <c r="E6" s="304" t="s">
        <v>134</v>
      </c>
      <c r="F6" s="305">
        <v>43054</v>
      </c>
      <c r="G6" s="301"/>
      <c r="H6" s="305">
        <v>44603</v>
      </c>
      <c r="I6" s="306">
        <f t="shared" si="0"/>
        <v>4.2438356164383562</v>
      </c>
      <c r="J6" s="301"/>
      <c r="K6" s="302">
        <v>0.08</v>
      </c>
      <c r="L6" s="301" t="e">
        <f t="shared" si="1"/>
        <v>#DIV/0!</v>
      </c>
      <c r="M6" s="307">
        <v>4174825.43</v>
      </c>
      <c r="N6" s="303">
        <v>3559376.0964727672</v>
      </c>
      <c r="O6" s="301"/>
      <c r="P6" s="301">
        <f t="shared" si="2"/>
        <v>4174825.43</v>
      </c>
      <c r="Q6" s="301" t="e">
        <f t="shared" si="3"/>
        <v>#DIV/0!</v>
      </c>
      <c r="R6" s="301" t="e">
        <f t="shared" si="4"/>
        <v>#DIV/0!</v>
      </c>
      <c r="S6" s="302">
        <v>0.15</v>
      </c>
      <c r="T6" s="301" t="e">
        <f t="shared" si="5"/>
        <v>#DIV/0!</v>
      </c>
    </row>
    <row r="7" spans="4:20">
      <c r="D7" s="301">
        <v>4</v>
      </c>
      <c r="E7" s="304" t="s">
        <v>135</v>
      </c>
      <c r="F7" s="305">
        <v>42353</v>
      </c>
      <c r="G7" s="301"/>
      <c r="H7" s="305">
        <v>44603</v>
      </c>
      <c r="I7" s="306">
        <f t="shared" si="0"/>
        <v>6.1643835616438354</v>
      </c>
      <c r="J7" s="301"/>
      <c r="K7" s="302">
        <v>0.08</v>
      </c>
      <c r="L7" s="301" t="e">
        <f t="shared" si="1"/>
        <v>#DIV/0!</v>
      </c>
      <c r="M7" s="307">
        <v>18824660.991227053</v>
      </c>
      <c r="N7" s="303">
        <v>14675705.70876061</v>
      </c>
      <c r="O7" s="301"/>
      <c r="P7" s="301">
        <f t="shared" si="2"/>
        <v>18824660.991227053</v>
      </c>
      <c r="Q7" s="301" t="e">
        <f t="shared" si="3"/>
        <v>#DIV/0!</v>
      </c>
      <c r="R7" s="301" t="e">
        <f t="shared" si="4"/>
        <v>#DIV/0!</v>
      </c>
      <c r="S7" s="302">
        <v>0.15</v>
      </c>
      <c r="T7" s="301" t="e">
        <f t="shared" si="5"/>
        <v>#DIV/0!</v>
      </c>
    </row>
    <row r="8" spans="4:20">
      <c r="D8" s="301">
        <v>5</v>
      </c>
      <c r="E8" s="304" t="s">
        <v>135</v>
      </c>
      <c r="F8" s="305">
        <v>43054</v>
      </c>
      <c r="G8" s="301"/>
      <c r="H8" s="305">
        <v>44603</v>
      </c>
      <c r="I8" s="306">
        <f t="shared" si="0"/>
        <v>4.2438356164383562</v>
      </c>
      <c r="J8" s="301"/>
      <c r="K8" s="302">
        <v>0.08</v>
      </c>
      <c r="L8" s="301" t="e">
        <f t="shared" si="1"/>
        <v>#DIV/0!</v>
      </c>
      <c r="M8" s="308">
        <v>226125</v>
      </c>
      <c r="N8" s="303">
        <v>192789.8383561644</v>
      </c>
      <c r="O8" s="301"/>
      <c r="P8" s="301">
        <f t="shared" si="2"/>
        <v>226125</v>
      </c>
      <c r="Q8" s="301" t="e">
        <f t="shared" si="3"/>
        <v>#DIV/0!</v>
      </c>
      <c r="R8" s="301" t="e">
        <f t="shared" si="4"/>
        <v>#DIV/0!</v>
      </c>
      <c r="S8" s="302">
        <v>0.15</v>
      </c>
      <c r="T8" s="301" t="e">
        <f t="shared" si="5"/>
        <v>#DIV/0!</v>
      </c>
    </row>
    <row r="9" spans="4:20">
      <c r="D9" s="301">
        <v>6</v>
      </c>
      <c r="E9" s="304" t="s">
        <v>135</v>
      </c>
      <c r="F9" s="305">
        <v>43190</v>
      </c>
      <c r="G9" s="301"/>
      <c r="H9" s="305">
        <v>44603</v>
      </c>
      <c r="I9" s="306">
        <f t="shared" si="0"/>
        <v>3.871232876712329</v>
      </c>
      <c r="J9" s="301"/>
      <c r="K9" s="302">
        <v>0.08</v>
      </c>
      <c r="L9" s="301" t="e">
        <f t="shared" si="1"/>
        <v>#DIV/0!</v>
      </c>
      <c r="M9" s="307">
        <v>2187034.08</v>
      </c>
      <c r="N9" s="303">
        <v>1895589.3193117809</v>
      </c>
      <c r="O9" s="301"/>
      <c r="P9" s="301">
        <f t="shared" si="2"/>
        <v>2187034.08</v>
      </c>
      <c r="Q9" s="301" t="e">
        <f t="shared" si="3"/>
        <v>#DIV/0!</v>
      </c>
      <c r="R9" s="301" t="e">
        <f t="shared" si="4"/>
        <v>#DIV/0!</v>
      </c>
      <c r="S9" s="302">
        <v>0.15</v>
      </c>
      <c r="T9" s="301" t="e">
        <f t="shared" si="5"/>
        <v>#DIV/0!</v>
      </c>
    </row>
    <row r="10" spans="4:20">
      <c r="D10" s="301">
        <v>7</v>
      </c>
      <c r="E10" s="304" t="s">
        <v>136</v>
      </c>
      <c r="F10" s="305">
        <v>42353</v>
      </c>
      <c r="G10" s="301"/>
      <c r="H10" s="305">
        <v>44603</v>
      </c>
      <c r="I10" s="306">
        <f t="shared" si="0"/>
        <v>6.1643835616438354</v>
      </c>
      <c r="J10" s="301"/>
      <c r="K10" s="302">
        <v>0.08</v>
      </c>
      <c r="L10" s="301" t="e">
        <f t="shared" si="1"/>
        <v>#DIV/0!</v>
      </c>
      <c r="M10" s="307">
        <v>90911896.830891356</v>
      </c>
      <c r="N10" s="303">
        <v>70874914.769362897</v>
      </c>
      <c r="O10" s="301"/>
      <c r="P10" s="301">
        <f t="shared" si="2"/>
        <v>90911896.830891356</v>
      </c>
      <c r="Q10" s="301" t="e">
        <f t="shared" si="3"/>
        <v>#DIV/0!</v>
      </c>
      <c r="R10" s="301" t="e">
        <f t="shared" si="4"/>
        <v>#DIV/0!</v>
      </c>
      <c r="S10" s="302">
        <v>0.15</v>
      </c>
      <c r="T10" s="301" t="e">
        <f t="shared" si="5"/>
        <v>#DIV/0!</v>
      </c>
    </row>
    <row r="11" spans="4:20">
      <c r="D11" s="301">
        <v>8</v>
      </c>
      <c r="E11" s="304" t="s">
        <v>136</v>
      </c>
      <c r="F11" s="305">
        <v>42444</v>
      </c>
      <c r="G11" s="301"/>
      <c r="H11" s="305">
        <v>44603</v>
      </c>
      <c r="I11" s="306">
        <f t="shared" si="0"/>
        <v>5.9150684931506845</v>
      </c>
      <c r="J11" s="301"/>
      <c r="K11" s="302">
        <v>0.08</v>
      </c>
      <c r="L11" s="301" t="e">
        <f t="shared" si="1"/>
        <v>#DIV/0!</v>
      </c>
      <c r="M11" s="307">
        <v>649192.55000000005</v>
      </c>
      <c r="N11" s="303">
        <v>512260.94441260275</v>
      </c>
      <c r="O11" s="301"/>
      <c r="P11" s="301">
        <f t="shared" si="2"/>
        <v>649192.55000000005</v>
      </c>
      <c r="Q11" s="301" t="e">
        <f t="shared" si="3"/>
        <v>#DIV/0!</v>
      </c>
      <c r="R11" s="301" t="e">
        <f t="shared" si="4"/>
        <v>#DIV/0!</v>
      </c>
      <c r="S11" s="302">
        <v>0.15</v>
      </c>
      <c r="T11" s="301" t="e">
        <f t="shared" si="5"/>
        <v>#DIV/0!</v>
      </c>
    </row>
    <row r="12" spans="4:20">
      <c r="D12" s="301">
        <v>9</v>
      </c>
      <c r="E12" s="304" t="s">
        <v>136</v>
      </c>
      <c r="F12" s="305">
        <v>43054</v>
      </c>
      <c r="G12" s="301"/>
      <c r="H12" s="305">
        <v>44603</v>
      </c>
      <c r="I12" s="306">
        <f t="shared" si="0"/>
        <v>4.2438356164383562</v>
      </c>
      <c r="J12" s="301"/>
      <c r="K12" s="302">
        <v>0.08</v>
      </c>
      <c r="L12" s="301" t="e">
        <f t="shared" si="1"/>
        <v>#DIV/0!</v>
      </c>
      <c r="M12" s="307">
        <v>193631.08</v>
      </c>
      <c r="N12" s="303">
        <v>165086.14533523287</v>
      </c>
      <c r="O12" s="301"/>
      <c r="P12" s="301">
        <f t="shared" si="2"/>
        <v>193631.08</v>
      </c>
      <c r="Q12" s="301" t="e">
        <f t="shared" si="3"/>
        <v>#DIV/0!</v>
      </c>
      <c r="R12" s="301" t="e">
        <f t="shared" si="4"/>
        <v>#DIV/0!</v>
      </c>
      <c r="S12" s="302">
        <v>0.15</v>
      </c>
      <c r="T12" s="301" t="e">
        <f t="shared" si="5"/>
        <v>#DIV/0!</v>
      </c>
    </row>
    <row r="13" spans="4:20">
      <c r="D13" s="301">
        <v>10</v>
      </c>
      <c r="E13" s="304" t="s">
        <v>137</v>
      </c>
      <c r="F13" s="305">
        <v>42353</v>
      </c>
      <c r="G13" s="301"/>
      <c r="H13" s="305">
        <v>44603</v>
      </c>
      <c r="I13" s="306">
        <f t="shared" si="0"/>
        <v>6.1643835616438354</v>
      </c>
      <c r="J13" s="301"/>
      <c r="K13" s="302">
        <v>0.08</v>
      </c>
      <c r="L13" s="301" t="e">
        <f t="shared" si="1"/>
        <v>#DIV/0!</v>
      </c>
      <c r="M13" s="307">
        <v>23307685.765457917</v>
      </c>
      <c r="N13" s="303">
        <v>18170671.822750993</v>
      </c>
      <c r="O13" s="301"/>
      <c r="P13" s="301">
        <f t="shared" si="2"/>
        <v>23307685.765457917</v>
      </c>
      <c r="Q13" s="301" t="e">
        <f t="shared" si="3"/>
        <v>#DIV/0!</v>
      </c>
      <c r="R13" s="301" t="e">
        <f t="shared" si="4"/>
        <v>#DIV/0!</v>
      </c>
      <c r="S13" s="302">
        <v>0.15</v>
      </c>
      <c r="T13" s="301" t="e">
        <f t="shared" si="5"/>
        <v>#DIV/0!</v>
      </c>
    </row>
    <row r="14" spans="4:20">
      <c r="D14" s="301">
        <v>11</v>
      </c>
      <c r="E14" s="304" t="s">
        <v>137</v>
      </c>
      <c r="F14" s="305">
        <v>42444</v>
      </c>
      <c r="G14" s="301"/>
      <c r="H14" s="305">
        <v>44603</v>
      </c>
      <c r="I14" s="306">
        <f t="shared" si="0"/>
        <v>5.9150684931506845</v>
      </c>
      <c r="J14" s="301"/>
      <c r="K14" s="302">
        <v>0.08</v>
      </c>
      <c r="L14" s="301" t="e">
        <f t="shared" si="1"/>
        <v>#DIV/0!</v>
      </c>
      <c r="M14" s="307">
        <v>1232002.6100000001</v>
      </c>
      <c r="N14" s="303">
        <v>972141.19372964394</v>
      </c>
      <c r="O14" s="301"/>
      <c r="P14" s="301">
        <f t="shared" si="2"/>
        <v>1232002.6100000001</v>
      </c>
      <c r="Q14" s="301" t="e">
        <f t="shared" si="3"/>
        <v>#DIV/0!</v>
      </c>
      <c r="R14" s="301" t="e">
        <f t="shared" si="4"/>
        <v>#DIV/0!</v>
      </c>
      <c r="S14" s="302">
        <v>0.15</v>
      </c>
      <c r="T14" s="301" t="e">
        <f t="shared" si="5"/>
        <v>#DIV/0!</v>
      </c>
    </row>
    <row r="15" spans="4:20">
      <c r="D15" s="301">
        <v>12</v>
      </c>
      <c r="E15" s="304" t="s">
        <v>137</v>
      </c>
      <c r="F15" s="305">
        <v>43054</v>
      </c>
      <c r="G15" s="301"/>
      <c r="H15" s="305">
        <v>44603</v>
      </c>
      <c r="I15" s="306">
        <f t="shared" si="0"/>
        <v>4.2438356164383562</v>
      </c>
      <c r="J15" s="301"/>
      <c r="K15" s="302">
        <v>0.08</v>
      </c>
      <c r="L15" s="301" t="e">
        <f t="shared" si="1"/>
        <v>#DIV/0!</v>
      </c>
      <c r="M15" s="307">
        <v>2039602.83</v>
      </c>
      <c r="N15" s="303">
        <v>1738926.2571872878</v>
      </c>
      <c r="O15" s="301"/>
      <c r="P15" s="301">
        <f t="shared" si="2"/>
        <v>2039602.83</v>
      </c>
      <c r="Q15" s="301" t="e">
        <f t="shared" si="3"/>
        <v>#DIV/0!</v>
      </c>
      <c r="R15" s="301" t="e">
        <f t="shared" si="4"/>
        <v>#DIV/0!</v>
      </c>
      <c r="S15" s="302">
        <v>0.15</v>
      </c>
      <c r="T15" s="301" t="e">
        <f t="shared" si="5"/>
        <v>#DIV/0!</v>
      </c>
    </row>
    <row r="16" spans="4:20">
      <c r="D16" s="301">
        <v>13</v>
      </c>
      <c r="E16" s="304" t="s">
        <v>138</v>
      </c>
      <c r="F16" s="305">
        <v>42353</v>
      </c>
      <c r="G16" s="301"/>
      <c r="H16" s="305">
        <v>44603</v>
      </c>
      <c r="I16" s="306">
        <f t="shared" si="0"/>
        <v>6.1643835616438354</v>
      </c>
      <c r="J16" s="301"/>
      <c r="K16" s="302">
        <v>0.08</v>
      </c>
      <c r="L16" s="301" t="e">
        <f t="shared" si="1"/>
        <v>#DIV/0!</v>
      </c>
      <c r="M16" s="307">
        <v>32197678.104446284</v>
      </c>
      <c r="N16" s="303">
        <v>25101309.850226324</v>
      </c>
      <c r="O16" s="301"/>
      <c r="P16" s="301">
        <f t="shared" si="2"/>
        <v>32197678.104446284</v>
      </c>
      <c r="Q16" s="301" t="e">
        <f t="shared" si="3"/>
        <v>#DIV/0!</v>
      </c>
      <c r="R16" s="301" t="e">
        <f t="shared" si="4"/>
        <v>#DIV/0!</v>
      </c>
      <c r="S16" s="302">
        <v>0.15</v>
      </c>
      <c r="T16" s="301" t="e">
        <f t="shared" si="5"/>
        <v>#DIV/0!</v>
      </c>
    </row>
    <row r="17" spans="4:20">
      <c r="D17" s="301">
        <v>14</v>
      </c>
      <c r="E17" s="304" t="s">
        <v>138</v>
      </c>
      <c r="F17" s="305">
        <v>42415</v>
      </c>
      <c r="G17" s="301"/>
      <c r="H17" s="305">
        <v>44603</v>
      </c>
      <c r="I17" s="306">
        <f t="shared" si="0"/>
        <v>5.9945205479452053</v>
      </c>
      <c r="J17" s="301"/>
      <c r="K17" s="302">
        <v>0.08</v>
      </c>
      <c r="L17" s="301" t="e">
        <f t="shared" si="1"/>
        <v>#DIV/0!</v>
      </c>
      <c r="M17" s="307">
        <v>807646.32</v>
      </c>
      <c r="N17" s="303">
        <v>634854.26211287663</v>
      </c>
      <c r="O17" s="301"/>
      <c r="P17" s="301">
        <f t="shared" si="2"/>
        <v>807646.32</v>
      </c>
      <c r="Q17" s="301" t="e">
        <f t="shared" si="3"/>
        <v>#DIV/0!</v>
      </c>
      <c r="R17" s="301" t="e">
        <f t="shared" si="4"/>
        <v>#DIV/0!</v>
      </c>
      <c r="S17" s="302">
        <v>0.15</v>
      </c>
      <c r="T17" s="301" t="e">
        <f t="shared" si="5"/>
        <v>#DIV/0!</v>
      </c>
    </row>
    <row r="18" spans="4:20">
      <c r="D18" s="301">
        <v>15</v>
      </c>
      <c r="E18" s="304" t="s">
        <v>138</v>
      </c>
      <c r="F18" s="305">
        <v>43054</v>
      </c>
      <c r="G18" s="301"/>
      <c r="H18" s="305">
        <v>44603</v>
      </c>
      <c r="I18" s="306">
        <f t="shared" si="0"/>
        <v>4.2438356164383562</v>
      </c>
      <c r="J18" s="301"/>
      <c r="K18" s="302">
        <v>0.08</v>
      </c>
      <c r="L18" s="301" t="e">
        <f t="shared" si="1"/>
        <v>#DIV/0!</v>
      </c>
      <c r="M18" s="307">
        <v>127239.51</v>
      </c>
      <c r="N18" s="303">
        <v>108481.96601621917</v>
      </c>
      <c r="O18" s="301"/>
      <c r="P18" s="301">
        <f t="shared" si="2"/>
        <v>127239.51</v>
      </c>
      <c r="Q18" s="301" t="e">
        <f t="shared" si="3"/>
        <v>#DIV/0!</v>
      </c>
      <c r="R18" s="301" t="e">
        <f t="shared" si="4"/>
        <v>#DIV/0!</v>
      </c>
      <c r="S18" s="302">
        <v>0.15</v>
      </c>
      <c r="T18" s="301" t="e">
        <f t="shared" si="5"/>
        <v>#DIV/0!</v>
      </c>
    </row>
    <row r="19" spans="4:20">
      <c r="D19" s="301">
        <v>16</v>
      </c>
      <c r="E19" s="304" t="s">
        <v>139</v>
      </c>
      <c r="F19" s="305">
        <v>42353</v>
      </c>
      <c r="G19" s="301"/>
      <c r="H19" s="305">
        <v>44603</v>
      </c>
      <c r="I19" s="306">
        <f t="shared" si="0"/>
        <v>6.1643835616438354</v>
      </c>
      <c r="J19" s="301"/>
      <c r="K19" s="302">
        <v>0.08</v>
      </c>
      <c r="L19" s="301" t="e">
        <f t="shared" si="1"/>
        <v>#DIV/0!</v>
      </c>
      <c r="M19" s="307">
        <v>97817663.103582382</v>
      </c>
      <c r="N19" s="303">
        <v>76258650.155552819</v>
      </c>
      <c r="O19" s="301"/>
      <c r="P19" s="301">
        <f t="shared" si="2"/>
        <v>97817663.103582382</v>
      </c>
      <c r="Q19" s="301" t="e">
        <f t="shared" si="3"/>
        <v>#DIV/0!</v>
      </c>
      <c r="R19" s="301" t="e">
        <f t="shared" si="4"/>
        <v>#DIV/0!</v>
      </c>
      <c r="S19" s="302">
        <v>0.15</v>
      </c>
      <c r="T19" s="301" t="e">
        <f t="shared" si="5"/>
        <v>#DIV/0!</v>
      </c>
    </row>
    <row r="20" spans="4:20">
      <c r="D20" s="301">
        <v>17</v>
      </c>
      <c r="E20" s="304" t="s">
        <v>139</v>
      </c>
      <c r="F20" s="305">
        <v>42444</v>
      </c>
      <c r="G20" s="301"/>
      <c r="H20" s="305">
        <v>44603</v>
      </c>
      <c r="I20" s="306">
        <f t="shared" si="0"/>
        <v>5.9150684931506845</v>
      </c>
      <c r="J20" s="301"/>
      <c r="K20" s="302">
        <v>0.08</v>
      </c>
      <c r="L20" s="301" t="e">
        <f t="shared" si="1"/>
        <v>#DIV/0!</v>
      </c>
      <c r="M20" s="307">
        <v>4105721.58</v>
      </c>
      <c r="N20" s="303">
        <v>3239718.0375313973</v>
      </c>
      <c r="O20" s="301"/>
      <c r="P20" s="301">
        <f t="shared" si="2"/>
        <v>4105721.58</v>
      </c>
      <c r="Q20" s="301" t="e">
        <f t="shared" si="3"/>
        <v>#DIV/0!</v>
      </c>
      <c r="R20" s="301" t="e">
        <f t="shared" si="4"/>
        <v>#DIV/0!</v>
      </c>
      <c r="S20" s="302">
        <v>0.15</v>
      </c>
      <c r="T20" s="301" t="e">
        <f t="shared" si="5"/>
        <v>#DIV/0!</v>
      </c>
    </row>
    <row r="21" spans="4:20">
      <c r="D21" s="301">
        <v>18</v>
      </c>
      <c r="E21" s="304" t="s">
        <v>139</v>
      </c>
      <c r="F21" s="305">
        <v>43054</v>
      </c>
      <c r="G21" s="301"/>
      <c r="H21" s="305">
        <v>44603</v>
      </c>
      <c r="I21" s="306">
        <f t="shared" si="0"/>
        <v>4.2438356164383562</v>
      </c>
      <c r="J21" s="301"/>
      <c r="K21" s="302">
        <v>0.08</v>
      </c>
      <c r="L21" s="301" t="e">
        <f t="shared" si="1"/>
        <v>#DIV/0!</v>
      </c>
      <c r="M21" s="307">
        <v>611441.54</v>
      </c>
      <c r="N21" s="303">
        <v>521303.33072789048</v>
      </c>
      <c r="O21" s="301"/>
      <c r="P21" s="301">
        <f t="shared" si="2"/>
        <v>611441.54</v>
      </c>
      <c r="Q21" s="301" t="e">
        <f t="shared" si="3"/>
        <v>#DIV/0!</v>
      </c>
      <c r="R21" s="301" t="e">
        <f t="shared" si="4"/>
        <v>#DIV/0!</v>
      </c>
      <c r="S21" s="302">
        <v>0.15</v>
      </c>
      <c r="T21" s="301" t="e">
        <f t="shared" si="5"/>
        <v>#DIV/0!</v>
      </c>
    </row>
    <row r="22" spans="4:20">
      <c r="D22" s="301">
        <v>19</v>
      </c>
      <c r="E22" s="304" t="s">
        <v>140</v>
      </c>
      <c r="F22" s="305">
        <v>42353</v>
      </c>
      <c r="G22" s="301"/>
      <c r="H22" s="305">
        <v>44603</v>
      </c>
      <c r="I22" s="306">
        <f t="shared" si="0"/>
        <v>6.1643835616438354</v>
      </c>
      <c r="J22" s="301"/>
      <c r="K22" s="302">
        <v>0.08</v>
      </c>
      <c r="L22" s="301" t="e">
        <f t="shared" si="1"/>
        <v>#DIV/0!</v>
      </c>
      <c r="M22" s="307">
        <v>27950878.745239761</v>
      </c>
      <c r="N22" s="303">
        <v>21790505.069788918</v>
      </c>
      <c r="O22" s="301"/>
      <c r="P22" s="301">
        <f t="shared" si="2"/>
        <v>27950878.745239761</v>
      </c>
      <c r="Q22" s="301" t="e">
        <f t="shared" si="3"/>
        <v>#DIV/0!</v>
      </c>
      <c r="R22" s="301" t="e">
        <f t="shared" si="4"/>
        <v>#DIV/0!</v>
      </c>
      <c r="S22" s="302">
        <v>0.15</v>
      </c>
      <c r="T22" s="301" t="e">
        <f t="shared" si="5"/>
        <v>#DIV/0!</v>
      </c>
    </row>
    <row r="23" spans="4:20">
      <c r="D23" s="301">
        <v>20</v>
      </c>
      <c r="E23" s="304" t="s">
        <v>140</v>
      </c>
      <c r="F23" s="305">
        <v>42444</v>
      </c>
      <c r="G23" s="301"/>
      <c r="H23" s="305">
        <v>44603</v>
      </c>
      <c r="I23" s="306">
        <f t="shared" si="0"/>
        <v>5.9150684931506845</v>
      </c>
      <c r="J23" s="301"/>
      <c r="K23" s="302">
        <v>0.08</v>
      </c>
      <c r="L23" s="301" t="e">
        <f t="shared" si="1"/>
        <v>#DIV/0!</v>
      </c>
      <c r="M23" s="307">
        <v>840573.03</v>
      </c>
      <c r="N23" s="303">
        <v>663274.30004482204</v>
      </c>
      <c r="O23" s="301"/>
      <c r="P23" s="301">
        <f t="shared" si="2"/>
        <v>840573.03</v>
      </c>
      <c r="Q23" s="301" t="e">
        <f t="shared" si="3"/>
        <v>#DIV/0!</v>
      </c>
      <c r="R23" s="301" t="e">
        <f t="shared" si="4"/>
        <v>#DIV/0!</v>
      </c>
      <c r="S23" s="302">
        <v>0.15</v>
      </c>
      <c r="T23" s="301" t="e">
        <f t="shared" si="5"/>
        <v>#DIV/0!</v>
      </c>
    </row>
    <row r="24" spans="4:20">
      <c r="D24" s="301">
        <v>21</v>
      </c>
      <c r="E24" s="304" t="s">
        <v>140</v>
      </c>
      <c r="F24" s="305">
        <v>43054</v>
      </c>
      <c r="G24" s="301"/>
      <c r="H24" s="305">
        <v>44603</v>
      </c>
      <c r="I24" s="306">
        <f t="shared" si="0"/>
        <v>4.2438356164383562</v>
      </c>
      <c r="J24" s="301"/>
      <c r="K24" s="302">
        <v>0.08</v>
      </c>
      <c r="L24" s="301" t="e">
        <f t="shared" si="1"/>
        <v>#DIV/0!</v>
      </c>
      <c r="M24" s="307">
        <v>546279.56000000006</v>
      </c>
      <c r="N24" s="303">
        <v>465747.47626169864</v>
      </c>
      <c r="O24" s="301"/>
      <c r="P24" s="301">
        <f t="shared" si="2"/>
        <v>546279.56000000006</v>
      </c>
      <c r="Q24" s="301" t="e">
        <f t="shared" si="3"/>
        <v>#DIV/0!</v>
      </c>
      <c r="R24" s="301" t="e">
        <f t="shared" si="4"/>
        <v>#DIV/0!</v>
      </c>
      <c r="S24" s="302">
        <v>0.15</v>
      </c>
      <c r="T24" s="301" t="e">
        <f t="shared" si="5"/>
        <v>#DIV/0!</v>
      </c>
    </row>
    <row r="25" spans="4:20">
      <c r="D25" s="301">
        <v>22</v>
      </c>
      <c r="E25" s="304" t="s">
        <v>141</v>
      </c>
      <c r="F25" s="305">
        <v>42353</v>
      </c>
      <c r="G25" s="301"/>
      <c r="H25" s="305">
        <v>44603</v>
      </c>
      <c r="I25" s="306">
        <f t="shared" si="0"/>
        <v>6.1643835616438354</v>
      </c>
      <c r="J25" s="301"/>
      <c r="K25" s="302">
        <v>0.08</v>
      </c>
      <c r="L25" s="301" t="e">
        <f t="shared" si="1"/>
        <v>#DIV/0!</v>
      </c>
      <c r="M25" s="307">
        <v>4427534.9721623817</v>
      </c>
      <c r="N25" s="303">
        <v>3451706.2642977927</v>
      </c>
      <c r="O25" s="301"/>
      <c r="P25" s="301">
        <f t="shared" si="2"/>
        <v>4427534.9721623817</v>
      </c>
      <c r="Q25" s="301" t="e">
        <f t="shared" si="3"/>
        <v>#DIV/0!</v>
      </c>
      <c r="R25" s="301" t="e">
        <f t="shared" si="4"/>
        <v>#DIV/0!</v>
      </c>
      <c r="S25" s="302">
        <v>0.15</v>
      </c>
      <c r="T25" s="301" t="e">
        <f t="shared" si="5"/>
        <v>#DIV/0!</v>
      </c>
    </row>
    <row r="26" spans="4:20">
      <c r="D26" s="301">
        <v>23</v>
      </c>
      <c r="E26" s="304" t="s">
        <v>141</v>
      </c>
      <c r="F26" s="305">
        <v>42415</v>
      </c>
      <c r="G26" s="301"/>
      <c r="H26" s="305">
        <v>44603</v>
      </c>
      <c r="I26" s="306">
        <f t="shared" si="0"/>
        <v>5.9945205479452053</v>
      </c>
      <c r="J26" s="301"/>
      <c r="K26" s="302">
        <v>0.08</v>
      </c>
      <c r="L26" s="301" t="e">
        <f t="shared" si="1"/>
        <v>#DIV/0!</v>
      </c>
      <c r="M26" s="307">
        <v>174908.28</v>
      </c>
      <c r="N26" s="303">
        <v>137487.49209534246</v>
      </c>
      <c r="O26" s="301"/>
      <c r="P26" s="301">
        <f t="shared" si="2"/>
        <v>174908.28</v>
      </c>
      <c r="Q26" s="301" t="e">
        <f t="shared" si="3"/>
        <v>#DIV/0!</v>
      </c>
      <c r="R26" s="301" t="e">
        <f t="shared" si="4"/>
        <v>#DIV/0!</v>
      </c>
      <c r="S26" s="302">
        <v>0.15</v>
      </c>
      <c r="T26" s="301" t="e">
        <f t="shared" si="5"/>
        <v>#DIV/0!</v>
      </c>
    </row>
    <row r="27" spans="4:20" s="314" customFormat="1">
      <c r="D27" s="309" t="s">
        <v>75</v>
      </c>
      <c r="E27" s="310"/>
      <c r="F27" s="310"/>
      <c r="G27" s="310"/>
      <c r="H27" s="310"/>
      <c r="I27" s="310"/>
      <c r="J27" s="310"/>
      <c r="K27" s="310"/>
      <c r="L27" s="311"/>
      <c r="M27" s="312">
        <f>SUM(M4:M26)</f>
        <v>346187770.77914131</v>
      </c>
      <c r="N27" s="312">
        <f>SUM(N4:N26)</f>
        <v>270769991.06668359</v>
      </c>
      <c r="O27" s="313"/>
      <c r="P27" s="313"/>
      <c r="Q27" s="313"/>
      <c r="R27" s="313"/>
      <c r="S27" s="313"/>
      <c r="T27" s="312" t="e">
        <f>SUM(T4:T26)</f>
        <v>#DIV/0!</v>
      </c>
    </row>
  </sheetData>
  <mergeCells count="2">
    <mergeCell ref="D27:L27"/>
    <mergeCell ref="D2:S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66"/>
  <sheetViews>
    <sheetView topLeftCell="D58" workbookViewId="0">
      <selection activeCell="Q68" sqref="Q68"/>
    </sheetView>
  </sheetViews>
  <sheetFormatPr defaultRowHeight="15"/>
  <cols>
    <col min="3" max="3" width="43.140625" customWidth="1"/>
    <col min="4" max="4" width="13.28515625" customWidth="1"/>
    <col min="5" max="5" width="11.5703125" bestFit="1" customWidth="1"/>
    <col min="6" max="6" width="14.7109375" hidden="1" customWidth="1"/>
    <col min="7" max="7" width="11.140625" hidden="1" customWidth="1"/>
    <col min="8" max="8" width="9.42578125" hidden="1" customWidth="1"/>
    <col min="9" max="9" width="9.28515625" customWidth="1"/>
    <col min="10" max="11" width="19.85546875" bestFit="1" customWidth="1"/>
    <col min="13" max="13" width="20.7109375" customWidth="1"/>
    <col min="14" max="14" width="18" bestFit="1" customWidth="1"/>
    <col min="15" max="15" width="20.7109375" bestFit="1" customWidth="1"/>
    <col min="16" max="16" width="13.5703125" customWidth="1"/>
    <col min="17" max="17" width="18" bestFit="1" customWidth="1"/>
  </cols>
  <sheetData>
    <row r="3" spans="2:17" ht="15.75">
      <c r="B3" s="294" t="s">
        <v>382</v>
      </c>
      <c r="C3" s="294"/>
      <c r="D3" s="294"/>
      <c r="E3" s="294"/>
      <c r="F3" s="294"/>
      <c r="G3" s="294"/>
      <c r="H3" s="294"/>
      <c r="I3" s="294"/>
      <c r="J3" s="294"/>
      <c r="K3" s="294"/>
      <c r="L3" s="295"/>
      <c r="M3" s="294"/>
      <c r="N3" s="294"/>
      <c r="O3" s="294"/>
      <c r="P3" s="294"/>
      <c r="Q3" s="294"/>
    </row>
    <row r="4" spans="2:17" ht="59.25" customHeight="1">
      <c r="B4" s="242" t="s">
        <v>350</v>
      </c>
      <c r="C4" s="242" t="s">
        <v>351</v>
      </c>
      <c r="D4" s="242" t="s">
        <v>352</v>
      </c>
      <c r="E4" s="242" t="s">
        <v>353</v>
      </c>
      <c r="F4" s="243" t="s">
        <v>354</v>
      </c>
      <c r="G4" s="242" t="s">
        <v>355</v>
      </c>
      <c r="H4" s="242" t="s">
        <v>356</v>
      </c>
      <c r="I4" s="244" t="s">
        <v>357</v>
      </c>
      <c r="J4" s="242" t="s">
        <v>358</v>
      </c>
      <c r="K4" s="242" t="s">
        <v>359</v>
      </c>
      <c r="L4" s="245" t="s">
        <v>360</v>
      </c>
      <c r="M4" s="246" t="s">
        <v>361</v>
      </c>
      <c r="N4" s="247" t="s">
        <v>362</v>
      </c>
      <c r="O4" s="247" t="s">
        <v>363</v>
      </c>
      <c r="P4" s="248" t="s">
        <v>364</v>
      </c>
      <c r="Q4" s="247" t="s">
        <v>365</v>
      </c>
    </row>
    <row r="5" spans="2:17">
      <c r="B5" s="249">
        <v>1</v>
      </c>
      <c r="C5" s="258" t="s">
        <v>151</v>
      </c>
      <c r="D5" s="250">
        <v>42353</v>
      </c>
      <c r="E5" s="250">
        <v>44579</v>
      </c>
      <c r="F5" s="251">
        <f t="shared" ref="F5:F65" si="0">(E5-D5)/365</f>
        <v>6.0986301369863014</v>
      </c>
      <c r="G5" s="252">
        <v>25</v>
      </c>
      <c r="H5" s="253">
        <v>0.05</v>
      </c>
      <c r="I5" s="254">
        <f t="shared" ref="I5:I65" si="1">(1-H5)/G5</f>
        <v>3.7999999999999999E-2</v>
      </c>
      <c r="J5" s="259">
        <v>13349812.794238051</v>
      </c>
      <c r="K5" s="259">
        <v>10407514.054387985</v>
      </c>
      <c r="L5" s="255">
        <v>0.05</v>
      </c>
      <c r="M5" s="259">
        <f t="shared" ref="M5:M65" si="2">J5*(1+L5)</f>
        <v>14017303.433949955</v>
      </c>
      <c r="N5" s="259">
        <f t="shared" ref="N5:N65" si="3">M5*I5*F5</f>
        <v>3248481.2681396133</v>
      </c>
      <c r="O5" s="259">
        <f t="shared" ref="O5:O65" si="4">MAX(M5-N5,0)</f>
        <v>10768822.165810341</v>
      </c>
      <c r="P5" s="284">
        <v>0.1</v>
      </c>
      <c r="Q5" s="259">
        <f t="shared" ref="Q5:Q65" si="5">IF(K5&lt;=0,0,IF(O5&lt;=M5*H5,M5*H5,O5*(1-P5)))</f>
        <v>9691939.9492293075</v>
      </c>
    </row>
    <row r="6" spans="2:17">
      <c r="B6" s="249">
        <v>2</v>
      </c>
      <c r="C6" s="258"/>
      <c r="D6" s="250">
        <v>42444</v>
      </c>
      <c r="E6" s="250">
        <v>44579</v>
      </c>
      <c r="F6" s="251">
        <f t="shared" si="0"/>
        <v>5.8493150684931505</v>
      </c>
      <c r="G6" s="252">
        <v>25</v>
      </c>
      <c r="H6" s="253">
        <v>0.05</v>
      </c>
      <c r="I6" s="254">
        <f t="shared" si="1"/>
        <v>3.7999999999999999E-2</v>
      </c>
      <c r="J6" s="259">
        <v>438866.03</v>
      </c>
      <c r="K6" s="259">
        <v>346297.76173249318</v>
      </c>
      <c r="L6" s="255">
        <v>0.08</v>
      </c>
      <c r="M6" s="259">
        <f t="shared" si="2"/>
        <v>473975.31240000005</v>
      </c>
      <c r="N6" s="259">
        <f t="shared" si="3"/>
        <v>105352.37560277262</v>
      </c>
      <c r="O6" s="259">
        <f t="shared" si="4"/>
        <v>368622.93679722742</v>
      </c>
      <c r="P6" s="284">
        <v>0.1</v>
      </c>
      <c r="Q6" s="259">
        <f t="shared" si="5"/>
        <v>331760.64311750466</v>
      </c>
    </row>
    <row r="7" spans="2:17">
      <c r="B7" s="249">
        <v>3</v>
      </c>
      <c r="C7" s="258"/>
      <c r="D7" s="250">
        <v>43054</v>
      </c>
      <c r="E7" s="250">
        <v>44579</v>
      </c>
      <c r="F7" s="251">
        <f t="shared" si="0"/>
        <v>4.1780821917808222</v>
      </c>
      <c r="G7" s="252">
        <v>25</v>
      </c>
      <c r="H7" s="253">
        <v>0.05</v>
      </c>
      <c r="I7" s="254">
        <f t="shared" si="1"/>
        <v>3.7999999999999999E-2</v>
      </c>
      <c r="J7" s="259">
        <v>2170135.5299999998</v>
      </c>
      <c r="K7" s="259">
        <v>1850215.9338404383</v>
      </c>
      <c r="L7" s="255">
        <v>0.11</v>
      </c>
      <c r="M7" s="259">
        <f t="shared" si="2"/>
        <v>2408850.4383</v>
      </c>
      <c r="N7" s="259">
        <f t="shared" si="3"/>
        <v>382446.25451913703</v>
      </c>
      <c r="O7" s="259">
        <f t="shared" si="4"/>
        <v>2026404.1837808629</v>
      </c>
      <c r="P7" s="284">
        <v>0.1</v>
      </c>
      <c r="Q7" s="259">
        <f t="shared" si="5"/>
        <v>1823763.7654027767</v>
      </c>
    </row>
    <row r="8" spans="2:17">
      <c r="B8" s="249">
        <v>4</v>
      </c>
      <c r="C8" s="258"/>
      <c r="D8" s="250">
        <v>43190</v>
      </c>
      <c r="E8" s="250">
        <v>44579</v>
      </c>
      <c r="F8" s="251">
        <f t="shared" si="0"/>
        <v>3.8054794520547945</v>
      </c>
      <c r="G8" s="252">
        <v>25</v>
      </c>
      <c r="H8" s="253">
        <v>0.05</v>
      </c>
      <c r="I8" s="254">
        <f t="shared" si="1"/>
        <v>3.7999999999999999E-2</v>
      </c>
      <c r="J8" s="259">
        <v>1257059</v>
      </c>
      <c r="K8" s="259">
        <v>1089542.9732602739</v>
      </c>
      <c r="L8" s="255">
        <v>0.09</v>
      </c>
      <c r="M8" s="259">
        <f t="shared" si="2"/>
        <v>1370194.31</v>
      </c>
      <c r="N8" s="259">
        <f t="shared" si="3"/>
        <v>198141.3590970411</v>
      </c>
      <c r="O8" s="259">
        <f t="shared" si="4"/>
        <v>1172052.9509029589</v>
      </c>
      <c r="P8" s="284">
        <v>0.1</v>
      </c>
      <c r="Q8" s="259">
        <f t="shared" si="5"/>
        <v>1054847.655812663</v>
      </c>
    </row>
    <row r="9" spans="2:17">
      <c r="B9" s="249">
        <v>5</v>
      </c>
      <c r="C9" s="258" t="s">
        <v>152</v>
      </c>
      <c r="D9" s="250">
        <v>42353</v>
      </c>
      <c r="E9" s="250">
        <v>44579</v>
      </c>
      <c r="F9" s="251">
        <f t="shared" si="0"/>
        <v>6.0986301369863014</v>
      </c>
      <c r="G9" s="252">
        <v>25</v>
      </c>
      <c r="H9" s="253">
        <v>0.05</v>
      </c>
      <c r="I9" s="254">
        <f t="shared" si="1"/>
        <v>3.7999999999999999E-2</v>
      </c>
      <c r="J9" s="259">
        <v>23580162.917827323</v>
      </c>
      <c r="K9" s="259">
        <v>18383095.010738179</v>
      </c>
      <c r="L9" s="255">
        <v>0.05</v>
      </c>
      <c r="M9" s="259">
        <f t="shared" si="2"/>
        <v>24759171.063718691</v>
      </c>
      <c r="N9" s="259">
        <f t="shared" si="3"/>
        <v>5737887.0190077722</v>
      </c>
      <c r="O9" s="259">
        <f t="shared" si="4"/>
        <v>19021284.044710919</v>
      </c>
      <c r="P9" s="284">
        <v>0.1</v>
      </c>
      <c r="Q9" s="259">
        <f t="shared" si="5"/>
        <v>17119155.640239827</v>
      </c>
    </row>
    <row r="10" spans="2:17">
      <c r="B10" s="249">
        <v>7</v>
      </c>
      <c r="C10" s="258" t="s">
        <v>154</v>
      </c>
      <c r="D10" s="250">
        <v>42353</v>
      </c>
      <c r="E10" s="250">
        <v>44579</v>
      </c>
      <c r="F10" s="251">
        <f t="shared" si="0"/>
        <v>6.0986301369863014</v>
      </c>
      <c r="G10" s="252">
        <v>25</v>
      </c>
      <c r="H10" s="253">
        <v>0.05</v>
      </c>
      <c r="I10" s="254">
        <f t="shared" si="1"/>
        <v>3.7999999999999999E-2</v>
      </c>
      <c r="J10" s="259">
        <v>18016945.345661405</v>
      </c>
      <c r="K10" s="259">
        <v>14046010.591477633</v>
      </c>
      <c r="L10" s="255">
        <v>0.05</v>
      </c>
      <c r="M10" s="259">
        <f t="shared" si="2"/>
        <v>18917792.612944476</v>
      </c>
      <c r="N10" s="259">
        <f t="shared" si="3"/>
        <v>4384159.5658732802</v>
      </c>
      <c r="O10" s="259">
        <f t="shared" si="4"/>
        <v>14533633.047071196</v>
      </c>
      <c r="P10" s="284">
        <v>0.1</v>
      </c>
      <c r="Q10" s="259">
        <f t="shared" si="5"/>
        <v>13080269.742364077</v>
      </c>
    </row>
    <row r="11" spans="2:17">
      <c r="B11" s="249">
        <v>8</v>
      </c>
      <c r="C11" s="258"/>
      <c r="D11" s="250">
        <v>42444</v>
      </c>
      <c r="E11" s="250">
        <v>44579</v>
      </c>
      <c r="F11" s="251">
        <f t="shared" si="0"/>
        <v>5.8493150684931505</v>
      </c>
      <c r="G11" s="252">
        <v>25</v>
      </c>
      <c r="H11" s="253">
        <v>0.05</v>
      </c>
      <c r="I11" s="254">
        <f t="shared" si="1"/>
        <v>3.7999999999999999E-2</v>
      </c>
      <c r="J11" s="259">
        <v>28232.720000000001</v>
      </c>
      <c r="K11" s="259">
        <v>22277.704527780821</v>
      </c>
      <c r="L11" s="255">
        <v>0.08</v>
      </c>
      <c r="M11" s="259">
        <f t="shared" si="2"/>
        <v>30491.337600000003</v>
      </c>
      <c r="N11" s="259">
        <f t="shared" si="3"/>
        <v>6777.4307383232872</v>
      </c>
      <c r="O11" s="259">
        <f t="shared" si="4"/>
        <v>23713.906861676714</v>
      </c>
      <c r="P11" s="284">
        <v>0.1</v>
      </c>
      <c r="Q11" s="259">
        <f t="shared" si="5"/>
        <v>21342.516175509045</v>
      </c>
    </row>
    <row r="12" spans="2:17">
      <c r="B12" s="249">
        <v>9</v>
      </c>
      <c r="C12" s="258" t="s">
        <v>155</v>
      </c>
      <c r="D12" s="250">
        <v>42353</v>
      </c>
      <c r="E12" s="250">
        <v>44579</v>
      </c>
      <c r="F12" s="251">
        <f t="shared" si="0"/>
        <v>6.0986301369863014</v>
      </c>
      <c r="G12" s="257">
        <v>25</v>
      </c>
      <c r="H12" s="253">
        <v>0.05</v>
      </c>
      <c r="I12" s="254">
        <f t="shared" si="1"/>
        <v>3.7999999999999999E-2</v>
      </c>
      <c r="J12" s="259">
        <v>6359488.7958694519</v>
      </c>
      <c r="K12" s="259">
        <v>4957857.4652598249</v>
      </c>
      <c r="L12" s="255">
        <v>0.05</v>
      </c>
      <c r="M12" s="259">
        <f t="shared" si="2"/>
        <v>6677463.2356629251</v>
      </c>
      <c r="N12" s="259">
        <f t="shared" si="3"/>
        <v>1547488.3840500149</v>
      </c>
      <c r="O12" s="259">
        <f t="shared" si="4"/>
        <v>5129974.8516129106</v>
      </c>
      <c r="P12" s="284">
        <v>0.1</v>
      </c>
      <c r="Q12" s="259">
        <f t="shared" si="5"/>
        <v>4616977.3664516201</v>
      </c>
    </row>
    <row r="13" spans="2:17">
      <c r="B13" s="249">
        <v>10</v>
      </c>
      <c r="C13" s="258" t="s">
        <v>156</v>
      </c>
      <c r="D13" s="250">
        <v>42353</v>
      </c>
      <c r="E13" s="250">
        <v>44579</v>
      </c>
      <c r="F13" s="251">
        <f t="shared" si="0"/>
        <v>6.0986301369863014</v>
      </c>
      <c r="G13" s="257">
        <v>25</v>
      </c>
      <c r="H13" s="253">
        <v>0.05</v>
      </c>
      <c r="I13" s="254">
        <f t="shared" si="1"/>
        <v>3.7999999999999999E-2</v>
      </c>
      <c r="J13" s="259">
        <v>23471348.609397441</v>
      </c>
      <c r="K13" s="259">
        <v>18298263.375886247</v>
      </c>
      <c r="L13" s="255">
        <v>0.05</v>
      </c>
      <c r="M13" s="259">
        <f t="shared" si="2"/>
        <v>24644916.039867315</v>
      </c>
      <c r="N13" s="259">
        <f t="shared" si="3"/>
        <v>5711408.6520008119</v>
      </c>
      <c r="O13" s="259">
        <f t="shared" si="4"/>
        <v>18933507.387866504</v>
      </c>
      <c r="P13" s="284">
        <v>0.1</v>
      </c>
      <c r="Q13" s="259">
        <f t="shared" si="5"/>
        <v>17040156.649079856</v>
      </c>
    </row>
    <row r="14" spans="2:17">
      <c r="B14" s="249">
        <v>11</v>
      </c>
      <c r="C14" s="258" t="s">
        <v>158</v>
      </c>
      <c r="D14" s="250">
        <v>42353</v>
      </c>
      <c r="E14" s="250">
        <v>44579</v>
      </c>
      <c r="F14" s="251">
        <f t="shared" si="0"/>
        <v>6.0986301369863014</v>
      </c>
      <c r="G14" s="257">
        <v>10</v>
      </c>
      <c r="H14" s="253">
        <v>0.05</v>
      </c>
      <c r="I14" s="254">
        <f t="shared" si="1"/>
        <v>9.5000000000000001E-2</v>
      </c>
      <c r="J14" s="259">
        <v>16285817.652894545</v>
      </c>
      <c r="K14" s="259">
        <v>12696423.442196587</v>
      </c>
      <c r="L14" s="255">
        <v>7.0000000000000007E-2</v>
      </c>
      <c r="M14" s="259">
        <f t="shared" si="2"/>
        <v>17425824.888597164</v>
      </c>
      <c r="N14" s="259">
        <f t="shared" si="3"/>
        <v>10095997.77860724</v>
      </c>
      <c r="O14" s="259">
        <f t="shared" si="4"/>
        <v>7329827.1099899244</v>
      </c>
      <c r="P14" s="284">
        <v>0.1</v>
      </c>
      <c r="Q14" s="259">
        <f t="shared" si="5"/>
        <v>6596844.3989909319</v>
      </c>
    </row>
    <row r="15" spans="2:17">
      <c r="B15" s="249">
        <v>12</v>
      </c>
      <c r="C15" s="258"/>
      <c r="D15" s="250">
        <v>42444</v>
      </c>
      <c r="E15" s="250">
        <v>44579</v>
      </c>
      <c r="F15" s="251">
        <f t="shared" si="0"/>
        <v>5.8493150684931505</v>
      </c>
      <c r="G15" s="257">
        <v>10</v>
      </c>
      <c r="H15" s="253">
        <v>0.05</v>
      </c>
      <c r="I15" s="254">
        <f t="shared" si="1"/>
        <v>9.5000000000000001E-2</v>
      </c>
      <c r="J15" s="259">
        <v>7921.18</v>
      </c>
      <c r="K15" s="259">
        <v>6250.3969703013699</v>
      </c>
      <c r="L15" s="255">
        <v>0.08</v>
      </c>
      <c r="M15" s="259">
        <f t="shared" si="2"/>
        <v>8554.8744000000006</v>
      </c>
      <c r="N15" s="259">
        <f t="shared" si="3"/>
        <v>4753.814795013699</v>
      </c>
      <c r="O15" s="259">
        <f t="shared" si="4"/>
        <v>3801.0596049863016</v>
      </c>
      <c r="P15" s="284">
        <v>0.1</v>
      </c>
      <c r="Q15" s="259">
        <f t="shared" si="5"/>
        <v>3420.9536444876717</v>
      </c>
    </row>
    <row r="16" spans="2:17">
      <c r="B16" s="249">
        <v>13</v>
      </c>
      <c r="C16" s="258" t="s">
        <v>160</v>
      </c>
      <c r="D16" s="250">
        <v>42353</v>
      </c>
      <c r="E16" s="250">
        <v>44579</v>
      </c>
      <c r="F16" s="251">
        <f t="shared" si="0"/>
        <v>6.0986301369863014</v>
      </c>
      <c r="G16" s="257">
        <v>15</v>
      </c>
      <c r="H16" s="253">
        <v>0.05</v>
      </c>
      <c r="I16" s="254">
        <f t="shared" si="1"/>
        <v>6.3333333333333325E-2</v>
      </c>
      <c r="J16" s="259">
        <v>22019718.364748299</v>
      </c>
      <c r="K16" s="259">
        <v>17166572.437157772</v>
      </c>
      <c r="L16" s="255">
        <v>0.1</v>
      </c>
      <c r="M16" s="259">
        <f t="shared" si="2"/>
        <v>24221690.201223131</v>
      </c>
      <c r="N16" s="259">
        <f t="shared" si="3"/>
        <v>9355544.8892285936</v>
      </c>
      <c r="O16" s="259">
        <f t="shared" si="4"/>
        <v>14866145.311994538</v>
      </c>
      <c r="P16" s="284">
        <v>0.1</v>
      </c>
      <c r="Q16" s="259">
        <f t="shared" si="5"/>
        <v>13379530.780795084</v>
      </c>
    </row>
    <row r="17" spans="2:17">
      <c r="B17" s="249">
        <v>14</v>
      </c>
      <c r="C17" s="258"/>
      <c r="D17" s="250">
        <v>42444</v>
      </c>
      <c r="E17" s="250">
        <v>44579</v>
      </c>
      <c r="F17" s="251">
        <f t="shared" si="0"/>
        <v>5.8493150684931505</v>
      </c>
      <c r="G17" s="257">
        <v>10</v>
      </c>
      <c r="H17" s="253">
        <v>0.05</v>
      </c>
      <c r="I17" s="254">
        <f t="shared" si="1"/>
        <v>9.5000000000000001E-2</v>
      </c>
      <c r="J17" s="259">
        <v>393980.52</v>
      </c>
      <c r="K17" s="259">
        <v>310879.77404449316</v>
      </c>
      <c r="L17" s="255">
        <v>0.18</v>
      </c>
      <c r="M17" s="259">
        <f t="shared" si="2"/>
        <v>464897.01360000001</v>
      </c>
      <c r="N17" s="259">
        <f t="shared" si="3"/>
        <v>258336.26516005481</v>
      </c>
      <c r="O17" s="259">
        <f t="shared" si="4"/>
        <v>206560.74843994519</v>
      </c>
      <c r="P17" s="284">
        <v>0.1</v>
      </c>
      <c r="Q17" s="259">
        <f t="shared" si="5"/>
        <v>185904.67359595068</v>
      </c>
    </row>
    <row r="18" spans="2:17">
      <c r="B18" s="249">
        <v>15</v>
      </c>
      <c r="C18" s="258" t="s">
        <v>161</v>
      </c>
      <c r="D18" s="250">
        <v>42353</v>
      </c>
      <c r="E18" s="250">
        <v>44579</v>
      </c>
      <c r="F18" s="251">
        <f t="shared" si="0"/>
        <v>6.0986301369863014</v>
      </c>
      <c r="G18" s="257">
        <v>15</v>
      </c>
      <c r="H18" s="253">
        <v>0.05</v>
      </c>
      <c r="I18" s="254">
        <f t="shared" si="1"/>
        <v>6.3333333333333325E-2</v>
      </c>
      <c r="J18" s="259">
        <v>44551346.382107601</v>
      </c>
      <c r="K18" s="259">
        <v>34732229.639491081</v>
      </c>
      <c r="L18" s="255">
        <v>0.1</v>
      </c>
      <c r="M18" s="259">
        <f t="shared" si="2"/>
        <v>49006481.020318367</v>
      </c>
      <c r="N18" s="259">
        <f t="shared" si="3"/>
        <v>18928585.463683516</v>
      </c>
      <c r="O18" s="259">
        <f t="shared" si="4"/>
        <v>30077895.556634851</v>
      </c>
      <c r="P18" s="284">
        <v>0.1</v>
      </c>
      <c r="Q18" s="259">
        <f t="shared" si="5"/>
        <v>27070106.000971366</v>
      </c>
    </row>
    <row r="19" spans="2:17">
      <c r="B19" s="249">
        <v>16</v>
      </c>
      <c r="C19" s="258"/>
      <c r="D19" s="250">
        <v>42353</v>
      </c>
      <c r="E19" s="250">
        <v>44579</v>
      </c>
      <c r="F19" s="251">
        <f t="shared" si="0"/>
        <v>6.0986301369863014</v>
      </c>
      <c r="G19" s="257">
        <v>10</v>
      </c>
      <c r="H19" s="253">
        <v>0.05</v>
      </c>
      <c r="I19" s="254">
        <f t="shared" si="1"/>
        <v>9.5000000000000001E-2</v>
      </c>
      <c r="J19" s="259">
        <v>2368075.5</v>
      </c>
      <c r="K19" s="259">
        <v>1846151.6598</v>
      </c>
      <c r="L19" s="255">
        <v>0.1</v>
      </c>
      <c r="M19" s="259">
        <f t="shared" si="2"/>
        <v>2604883.0500000003</v>
      </c>
      <c r="N19" s="259">
        <f t="shared" si="3"/>
        <v>1509190.7358452056</v>
      </c>
      <c r="O19" s="259">
        <f t="shared" si="4"/>
        <v>1095692.3141547947</v>
      </c>
      <c r="P19" s="284">
        <v>0.1</v>
      </c>
      <c r="Q19" s="259">
        <f t="shared" si="5"/>
        <v>986123.08273931523</v>
      </c>
    </row>
    <row r="20" spans="2:17">
      <c r="B20" s="249">
        <v>17</v>
      </c>
      <c r="C20" s="258" t="s">
        <v>162</v>
      </c>
      <c r="D20" s="250">
        <v>42353</v>
      </c>
      <c r="E20" s="250">
        <v>44579</v>
      </c>
      <c r="F20" s="251">
        <f t="shared" si="0"/>
        <v>6.0986301369863014</v>
      </c>
      <c r="G20" s="257">
        <v>15</v>
      </c>
      <c r="H20" s="253">
        <v>0.05</v>
      </c>
      <c r="I20" s="254">
        <f t="shared" si="1"/>
        <v>6.3333333333333325E-2</v>
      </c>
      <c r="J20" s="259">
        <v>35972912.726142198</v>
      </c>
      <c r="K20" s="259">
        <v>28044482.76130046</v>
      </c>
      <c r="L20" s="255">
        <v>0.1</v>
      </c>
      <c r="M20" s="259">
        <f t="shared" si="2"/>
        <v>39570203.998756424</v>
      </c>
      <c r="N20" s="259">
        <f t="shared" si="3"/>
        <v>15283855.780122411</v>
      </c>
      <c r="O20" s="259">
        <f t="shared" si="4"/>
        <v>24286348.218634013</v>
      </c>
      <c r="P20" s="284">
        <v>0.1</v>
      </c>
      <c r="Q20" s="259">
        <f t="shared" si="5"/>
        <v>21857713.396770611</v>
      </c>
    </row>
    <row r="21" spans="2:17">
      <c r="B21" s="249">
        <v>18</v>
      </c>
      <c r="C21" s="258" t="s">
        <v>163</v>
      </c>
      <c r="D21" s="250">
        <v>42353</v>
      </c>
      <c r="E21" s="250">
        <v>44579</v>
      </c>
      <c r="F21" s="251">
        <f t="shared" si="0"/>
        <v>6.0986301369863014</v>
      </c>
      <c r="G21" s="257">
        <v>10</v>
      </c>
      <c r="H21" s="253">
        <v>0.05</v>
      </c>
      <c r="I21" s="254">
        <f t="shared" si="1"/>
        <v>9.5000000000000001E-2</v>
      </c>
      <c r="J21" s="259">
        <v>1259550.8457037993</v>
      </c>
      <c r="K21" s="259">
        <v>981945.83931068191</v>
      </c>
      <c r="L21" s="255">
        <v>0.1</v>
      </c>
      <c r="M21" s="259">
        <f t="shared" si="2"/>
        <v>1385505.9302741792</v>
      </c>
      <c r="N21" s="259">
        <f t="shared" si="3"/>
        <v>802720.38102761842</v>
      </c>
      <c r="O21" s="259">
        <f t="shared" si="4"/>
        <v>582785.54924656078</v>
      </c>
      <c r="P21" s="284">
        <v>0.1</v>
      </c>
      <c r="Q21" s="259">
        <f t="shared" si="5"/>
        <v>524506.99432190473</v>
      </c>
    </row>
    <row r="22" spans="2:17">
      <c r="B22" s="249">
        <v>19</v>
      </c>
      <c r="C22" s="258"/>
      <c r="D22" s="250">
        <v>43054</v>
      </c>
      <c r="E22" s="250">
        <v>44579</v>
      </c>
      <c r="F22" s="251">
        <f t="shared" si="0"/>
        <v>4.1780821917808222</v>
      </c>
      <c r="G22" s="257">
        <v>10</v>
      </c>
      <c r="H22" s="253">
        <v>0.05</v>
      </c>
      <c r="I22" s="254">
        <f t="shared" si="1"/>
        <v>9.5000000000000001E-2</v>
      </c>
      <c r="J22" s="259">
        <v>2623735</v>
      </c>
      <c r="K22" s="259">
        <v>2236946.1427945206</v>
      </c>
      <c r="L22" s="255">
        <v>0.1</v>
      </c>
      <c r="M22" s="259">
        <f t="shared" si="2"/>
        <v>2886108.5000000005</v>
      </c>
      <c r="N22" s="259">
        <f t="shared" si="3"/>
        <v>1145547.8601027401</v>
      </c>
      <c r="O22" s="259">
        <f t="shared" si="4"/>
        <v>1740560.6398972603</v>
      </c>
      <c r="P22" s="284">
        <v>0.1</v>
      </c>
      <c r="Q22" s="259">
        <f t="shared" si="5"/>
        <v>1566504.5759075345</v>
      </c>
    </row>
    <row r="23" spans="2:17">
      <c r="B23" s="249">
        <v>20</v>
      </c>
      <c r="C23" s="258" t="s">
        <v>164</v>
      </c>
      <c r="D23" s="250">
        <v>42353</v>
      </c>
      <c r="E23" s="250">
        <v>44579</v>
      </c>
      <c r="F23" s="251">
        <f t="shared" si="0"/>
        <v>6.0986301369863014</v>
      </c>
      <c r="G23" s="257">
        <v>15</v>
      </c>
      <c r="H23" s="253">
        <v>0.05</v>
      </c>
      <c r="I23" s="254">
        <f t="shared" si="1"/>
        <v>6.3333333333333325E-2</v>
      </c>
      <c r="J23" s="259">
        <v>24356005.069706734</v>
      </c>
      <c r="K23" s="259">
        <v>18987941.552343369</v>
      </c>
      <c r="L23" s="255">
        <v>0.1</v>
      </c>
      <c r="M23" s="259">
        <f t="shared" si="2"/>
        <v>26791605.576677408</v>
      </c>
      <c r="N23" s="259">
        <f t="shared" si="3"/>
        <v>10348165.901917754</v>
      </c>
      <c r="O23" s="259">
        <f t="shared" si="4"/>
        <v>16443439.674759654</v>
      </c>
      <c r="P23" s="284">
        <v>0.1</v>
      </c>
      <c r="Q23" s="259">
        <f t="shared" si="5"/>
        <v>14799095.707283689</v>
      </c>
    </row>
    <row r="24" spans="2:17">
      <c r="B24" s="249">
        <v>21</v>
      </c>
      <c r="C24" s="258"/>
      <c r="D24" s="250">
        <v>42444</v>
      </c>
      <c r="E24" s="250">
        <v>44579</v>
      </c>
      <c r="F24" s="251">
        <f t="shared" si="0"/>
        <v>5.8493150684931505</v>
      </c>
      <c r="G24" s="257">
        <v>10</v>
      </c>
      <c r="H24" s="253">
        <v>0.05</v>
      </c>
      <c r="I24" s="254">
        <f t="shared" si="1"/>
        <v>9.5000000000000001E-2</v>
      </c>
      <c r="J24" s="259">
        <v>338728.97</v>
      </c>
      <c r="K24" s="259">
        <v>267282.21399353421</v>
      </c>
      <c r="L24" s="255">
        <v>0.18</v>
      </c>
      <c r="M24" s="259">
        <f t="shared" si="2"/>
        <v>399700.18459999992</v>
      </c>
      <c r="N24" s="259">
        <f t="shared" si="3"/>
        <v>222107.36970272599</v>
      </c>
      <c r="O24" s="259">
        <f t="shared" si="4"/>
        <v>177592.81489727393</v>
      </c>
      <c r="P24" s="284">
        <v>0.1</v>
      </c>
      <c r="Q24" s="259">
        <f t="shared" si="5"/>
        <v>159833.53340754655</v>
      </c>
    </row>
    <row r="25" spans="2:17">
      <c r="B25" s="249">
        <v>22</v>
      </c>
      <c r="C25" s="258" t="s">
        <v>166</v>
      </c>
      <c r="D25" s="250">
        <v>42353</v>
      </c>
      <c r="E25" s="250">
        <v>44579</v>
      </c>
      <c r="F25" s="251">
        <f t="shared" si="0"/>
        <v>6.0986301369863014</v>
      </c>
      <c r="G25" s="257">
        <v>15</v>
      </c>
      <c r="H25" s="253">
        <v>0.05</v>
      </c>
      <c r="I25" s="254">
        <f t="shared" si="1"/>
        <v>6.3333333333333325E-2</v>
      </c>
      <c r="J25" s="259">
        <v>4825007.5300585004</v>
      </c>
      <c r="K25" s="259">
        <v>3761575.8704336071</v>
      </c>
      <c r="L25" s="255">
        <v>0.09</v>
      </c>
      <c r="M25" s="259">
        <f t="shared" si="2"/>
        <v>5259258.2077637659</v>
      </c>
      <c r="N25" s="259">
        <f t="shared" si="3"/>
        <v>2031370.4715905087</v>
      </c>
      <c r="O25" s="259">
        <f t="shared" si="4"/>
        <v>3227887.7361732572</v>
      </c>
      <c r="P25" s="284">
        <v>0.1</v>
      </c>
      <c r="Q25" s="259">
        <f t="shared" si="5"/>
        <v>2905098.9625559314</v>
      </c>
    </row>
    <row r="26" spans="2:17">
      <c r="B26" s="249">
        <v>23</v>
      </c>
      <c r="C26" s="258" t="s">
        <v>167</v>
      </c>
      <c r="D26" s="250">
        <v>42353</v>
      </c>
      <c r="E26" s="250">
        <v>44579</v>
      </c>
      <c r="F26" s="251">
        <f t="shared" si="0"/>
        <v>6.0986301369863014</v>
      </c>
      <c r="G26" s="257">
        <v>6</v>
      </c>
      <c r="H26" s="253">
        <v>0.05</v>
      </c>
      <c r="I26" s="254">
        <f t="shared" si="1"/>
        <v>0.15833333333333333</v>
      </c>
      <c r="J26" s="259">
        <v>8746125.509656895</v>
      </c>
      <c r="K26" s="259">
        <v>6818479.4473285154</v>
      </c>
      <c r="L26" s="255">
        <v>7.0000000000000007E-2</v>
      </c>
      <c r="M26" s="259">
        <f t="shared" si="2"/>
        <v>9358354.2953328788</v>
      </c>
      <c r="N26" s="259">
        <f t="shared" si="3"/>
        <v>9036580.7435344476</v>
      </c>
      <c r="O26" s="259">
        <f t="shared" si="4"/>
        <v>321773.5517984312</v>
      </c>
      <c r="P26" s="284">
        <v>0.1</v>
      </c>
      <c r="Q26" s="259">
        <f t="shared" si="5"/>
        <v>467917.71476664394</v>
      </c>
    </row>
    <row r="27" spans="2:17" s="57" customFormat="1">
      <c r="B27" s="260">
        <v>24</v>
      </c>
      <c r="C27" s="261" t="s">
        <v>184</v>
      </c>
      <c r="D27" s="262">
        <v>42353</v>
      </c>
      <c r="E27" s="262">
        <v>44579</v>
      </c>
      <c r="F27" s="263">
        <f t="shared" si="0"/>
        <v>6.0986301369863014</v>
      </c>
      <c r="G27" s="257">
        <v>10</v>
      </c>
      <c r="H27" s="264">
        <v>0.05</v>
      </c>
      <c r="I27" s="265">
        <f t="shared" si="1"/>
        <v>9.5000000000000001E-2</v>
      </c>
      <c r="J27" s="266">
        <v>14041613.3379777</v>
      </c>
      <c r="K27" s="266">
        <v>10946841.758287415</v>
      </c>
      <c r="L27" s="267">
        <v>0</v>
      </c>
      <c r="M27" s="266">
        <f t="shared" si="2"/>
        <v>14041613.3379777</v>
      </c>
      <c r="N27" s="266">
        <f t="shared" si="3"/>
        <v>8135287.5961154643</v>
      </c>
      <c r="O27" s="266">
        <f t="shared" si="4"/>
        <v>5906325.7418622356</v>
      </c>
      <c r="P27" s="284">
        <v>0.1</v>
      </c>
      <c r="Q27" s="266">
        <f t="shared" si="5"/>
        <v>5315693.167676012</v>
      </c>
    </row>
    <row r="28" spans="2:17" s="57" customFormat="1">
      <c r="B28" s="260">
        <v>25</v>
      </c>
      <c r="C28" s="261"/>
      <c r="D28" s="262">
        <v>43054</v>
      </c>
      <c r="E28" s="262">
        <v>44579</v>
      </c>
      <c r="F28" s="263">
        <f t="shared" si="0"/>
        <v>4.1780821917808222</v>
      </c>
      <c r="G28" s="257">
        <v>5</v>
      </c>
      <c r="H28" s="264">
        <v>0.05</v>
      </c>
      <c r="I28" s="265">
        <f t="shared" si="1"/>
        <v>0.19</v>
      </c>
      <c r="J28" s="266">
        <v>123518</v>
      </c>
      <c r="K28" s="266">
        <v>105309.07796164384</v>
      </c>
      <c r="L28" s="267">
        <v>0</v>
      </c>
      <c r="M28" s="266">
        <f t="shared" si="2"/>
        <v>123518</v>
      </c>
      <c r="N28" s="266">
        <f t="shared" si="3"/>
        <v>98052.987671232884</v>
      </c>
      <c r="O28" s="266">
        <f t="shared" si="4"/>
        <v>25465.012328767116</v>
      </c>
      <c r="P28" s="284">
        <v>0.1</v>
      </c>
      <c r="Q28" s="266">
        <f t="shared" si="5"/>
        <v>22918.511095890404</v>
      </c>
    </row>
    <row r="29" spans="2:17">
      <c r="B29" s="249">
        <v>26</v>
      </c>
      <c r="C29" s="258" t="s">
        <v>170</v>
      </c>
      <c r="D29" s="250">
        <v>42353</v>
      </c>
      <c r="E29" s="250">
        <v>44579</v>
      </c>
      <c r="F29" s="251">
        <f t="shared" si="0"/>
        <v>6.0986301369863014</v>
      </c>
      <c r="G29" s="257">
        <v>25</v>
      </c>
      <c r="H29" s="253">
        <v>0.05</v>
      </c>
      <c r="I29" s="254">
        <f t="shared" si="1"/>
        <v>3.7999999999999999E-2</v>
      </c>
      <c r="J29" s="259">
        <v>523918537.85547733</v>
      </c>
      <c r="K29" s="259">
        <v>408446892.11213017</v>
      </c>
      <c r="L29" s="255">
        <v>0</v>
      </c>
      <c r="M29" s="259">
        <f t="shared" si="2"/>
        <v>523918537.85547733</v>
      </c>
      <c r="N29" s="259">
        <f t="shared" si="3"/>
        <v>121417044.60306607</v>
      </c>
      <c r="O29" s="259">
        <f t="shared" si="4"/>
        <v>402501493.25241125</v>
      </c>
      <c r="P29" s="284">
        <v>0.1</v>
      </c>
      <c r="Q29" s="259">
        <f t="shared" si="5"/>
        <v>362251343.92717016</v>
      </c>
    </row>
    <row r="30" spans="2:17">
      <c r="B30" s="249">
        <v>27</v>
      </c>
      <c r="C30" s="258"/>
      <c r="D30" s="250">
        <v>42444</v>
      </c>
      <c r="E30" s="250">
        <v>44579</v>
      </c>
      <c r="F30" s="251">
        <f t="shared" si="0"/>
        <v>5.8493150684931505</v>
      </c>
      <c r="G30" s="257">
        <v>10</v>
      </c>
      <c r="H30" s="253">
        <v>0.05</v>
      </c>
      <c r="I30" s="254">
        <f t="shared" si="1"/>
        <v>9.5000000000000001E-2</v>
      </c>
      <c r="J30" s="259">
        <v>1032443.57</v>
      </c>
      <c r="K30" s="259">
        <v>814674.34926805482</v>
      </c>
      <c r="L30" s="255">
        <v>0</v>
      </c>
      <c r="M30" s="259">
        <f t="shared" si="2"/>
        <v>1032443.57</v>
      </c>
      <c r="N30" s="259">
        <f t="shared" si="3"/>
        <v>573713.33448013698</v>
      </c>
      <c r="O30" s="259">
        <f t="shared" si="4"/>
        <v>458730.23551986297</v>
      </c>
      <c r="P30" s="284">
        <v>0.1</v>
      </c>
      <c r="Q30" s="259">
        <f t="shared" si="5"/>
        <v>412857.2119678767</v>
      </c>
    </row>
    <row r="31" spans="2:17">
      <c r="B31" s="249">
        <v>28</v>
      </c>
      <c r="C31" s="258"/>
      <c r="D31" s="250">
        <v>42444</v>
      </c>
      <c r="E31" s="250">
        <v>44579</v>
      </c>
      <c r="F31" s="251">
        <f t="shared" si="0"/>
        <v>5.8493150684931505</v>
      </c>
      <c r="G31" s="257">
        <v>5</v>
      </c>
      <c r="H31" s="253">
        <v>0.05</v>
      </c>
      <c r="I31" s="254">
        <f t="shared" si="1"/>
        <v>0.19</v>
      </c>
      <c r="J31" s="259">
        <v>453562.14</v>
      </c>
      <c r="K31" s="259">
        <v>357894.07963200001</v>
      </c>
      <c r="L31" s="255">
        <v>0</v>
      </c>
      <c r="M31" s="259">
        <f t="shared" si="2"/>
        <v>453562.14</v>
      </c>
      <c r="N31" s="259">
        <f t="shared" si="3"/>
        <v>504075.29340000002</v>
      </c>
      <c r="O31" s="259">
        <f t="shared" si="4"/>
        <v>0</v>
      </c>
      <c r="P31" s="284">
        <v>0.1</v>
      </c>
      <c r="Q31" s="259">
        <f t="shared" si="5"/>
        <v>22678.107000000004</v>
      </c>
    </row>
    <row r="32" spans="2:17">
      <c r="B32" s="249">
        <v>29</v>
      </c>
      <c r="C32" s="258"/>
      <c r="D32" s="250">
        <v>43054</v>
      </c>
      <c r="E32" s="250">
        <v>44579</v>
      </c>
      <c r="F32" s="251">
        <f t="shared" si="0"/>
        <v>4.1780821917808222</v>
      </c>
      <c r="G32" s="257">
        <v>5</v>
      </c>
      <c r="H32" s="253">
        <v>0.05</v>
      </c>
      <c r="I32" s="254">
        <f t="shared" si="1"/>
        <v>0.19</v>
      </c>
      <c r="J32" s="259">
        <v>249644.88</v>
      </c>
      <c r="K32" s="259">
        <v>212842.4369779726</v>
      </c>
      <c r="L32" s="255">
        <v>0</v>
      </c>
      <c r="M32" s="259">
        <f t="shared" si="2"/>
        <v>249644.88</v>
      </c>
      <c r="N32" s="259">
        <f t="shared" si="3"/>
        <v>198176.99720547948</v>
      </c>
      <c r="O32" s="259">
        <f t="shared" si="4"/>
        <v>51467.882794520527</v>
      </c>
      <c r="P32" s="284">
        <v>0.1</v>
      </c>
      <c r="Q32" s="259">
        <f t="shared" si="5"/>
        <v>46321.094515068478</v>
      </c>
    </row>
    <row r="33" spans="2:17">
      <c r="B33" s="249">
        <v>30</v>
      </c>
      <c r="C33" s="258"/>
      <c r="D33" s="250">
        <v>42353</v>
      </c>
      <c r="E33" s="250">
        <v>44579</v>
      </c>
      <c r="F33" s="251">
        <f t="shared" si="0"/>
        <v>6.0986301369863014</v>
      </c>
      <c r="G33" s="257">
        <v>5</v>
      </c>
      <c r="H33" s="253">
        <v>0.05</v>
      </c>
      <c r="I33" s="254">
        <f t="shared" si="1"/>
        <v>0.19</v>
      </c>
      <c r="J33" s="259">
        <v>498000</v>
      </c>
      <c r="K33" s="259">
        <v>388240.8</v>
      </c>
      <c r="L33" s="255">
        <v>0</v>
      </c>
      <c r="M33" s="259">
        <f t="shared" si="2"/>
        <v>498000</v>
      </c>
      <c r="N33" s="259">
        <f t="shared" si="3"/>
        <v>577052.38356164389</v>
      </c>
      <c r="O33" s="259">
        <f t="shared" si="4"/>
        <v>0</v>
      </c>
      <c r="P33" s="284">
        <v>0.1</v>
      </c>
      <c r="Q33" s="259">
        <f t="shared" si="5"/>
        <v>24900</v>
      </c>
    </row>
    <row r="34" spans="2:17">
      <c r="B34" s="249">
        <v>31</v>
      </c>
      <c r="C34" s="258"/>
      <c r="D34" s="250">
        <v>42353</v>
      </c>
      <c r="E34" s="250">
        <v>44579</v>
      </c>
      <c r="F34" s="251">
        <f t="shared" si="0"/>
        <v>6.0986301369863014</v>
      </c>
      <c r="G34" s="257">
        <v>25</v>
      </c>
      <c r="H34" s="253">
        <v>0.05</v>
      </c>
      <c r="I34" s="254">
        <f t="shared" si="1"/>
        <v>3.7999999999999999E-2</v>
      </c>
      <c r="J34" s="259">
        <v>34211761</v>
      </c>
      <c r="K34" s="259">
        <v>26671488.875599999</v>
      </c>
      <c r="L34" s="255">
        <v>0</v>
      </c>
      <c r="M34" s="259">
        <f t="shared" si="2"/>
        <v>34211761</v>
      </c>
      <c r="N34" s="259">
        <f t="shared" si="3"/>
        <v>7928505.3136109598</v>
      </c>
      <c r="O34" s="259">
        <f t="shared" si="4"/>
        <v>26283255.68638904</v>
      </c>
      <c r="P34" s="284">
        <v>0.1</v>
      </c>
      <c r="Q34" s="259">
        <f t="shared" si="5"/>
        <v>23654930.117750138</v>
      </c>
    </row>
    <row r="35" spans="2:17">
      <c r="B35" s="249">
        <v>32</v>
      </c>
      <c r="C35" s="258" t="s">
        <v>171</v>
      </c>
      <c r="D35" s="250">
        <v>42353</v>
      </c>
      <c r="E35" s="250">
        <v>44579</v>
      </c>
      <c r="F35" s="251">
        <f t="shared" si="0"/>
        <v>6.0986301369863014</v>
      </c>
      <c r="G35" s="257">
        <v>25</v>
      </c>
      <c r="H35" s="253">
        <v>0.05</v>
      </c>
      <c r="I35" s="254">
        <f t="shared" si="1"/>
        <v>3.7999999999999999E-2</v>
      </c>
      <c r="J35" s="259">
        <v>36473351.788125299</v>
      </c>
      <c r="K35" s="259">
        <v>28434625.054022484</v>
      </c>
      <c r="L35" s="255">
        <v>0</v>
      </c>
      <c r="M35" s="259">
        <f t="shared" si="2"/>
        <v>36473351.788125299</v>
      </c>
      <c r="N35" s="259">
        <f t="shared" si="3"/>
        <v>8452624.3316546362</v>
      </c>
      <c r="O35" s="259">
        <f t="shared" si="4"/>
        <v>28020727.456470661</v>
      </c>
      <c r="P35" s="284">
        <v>0.1</v>
      </c>
      <c r="Q35" s="259">
        <f t="shared" si="5"/>
        <v>25218654.710823596</v>
      </c>
    </row>
    <row r="36" spans="2:17">
      <c r="B36" s="249">
        <v>33</v>
      </c>
      <c r="C36" s="258"/>
      <c r="D36" s="250">
        <v>43054</v>
      </c>
      <c r="E36" s="250">
        <v>44579</v>
      </c>
      <c r="F36" s="251">
        <f t="shared" si="0"/>
        <v>4.1780821917808222</v>
      </c>
      <c r="G36" s="257">
        <v>10</v>
      </c>
      <c r="H36" s="253">
        <v>0.05</v>
      </c>
      <c r="I36" s="254">
        <f t="shared" si="1"/>
        <v>9.5000000000000001E-2</v>
      </c>
      <c r="J36" s="259">
        <v>1285041.78</v>
      </c>
      <c r="K36" s="259">
        <v>1095601.9769911233</v>
      </c>
      <c r="L36" s="255">
        <v>0</v>
      </c>
      <c r="M36" s="259">
        <f t="shared" si="2"/>
        <v>1285041.78</v>
      </c>
      <c r="N36" s="259">
        <f t="shared" si="3"/>
        <v>510055.96678767126</v>
      </c>
      <c r="O36" s="259">
        <f t="shared" si="4"/>
        <v>774985.81321232882</v>
      </c>
      <c r="P36" s="284">
        <v>0.1</v>
      </c>
      <c r="Q36" s="259">
        <f t="shared" si="5"/>
        <v>697487.23189109599</v>
      </c>
    </row>
    <row r="37" spans="2:17">
      <c r="B37" s="249">
        <v>34</v>
      </c>
      <c r="C37" s="258"/>
      <c r="D37" s="250">
        <v>43190</v>
      </c>
      <c r="E37" s="250">
        <v>44579</v>
      </c>
      <c r="F37" s="251">
        <f t="shared" si="0"/>
        <v>3.8054794520547945</v>
      </c>
      <c r="G37" s="257">
        <v>5</v>
      </c>
      <c r="H37" s="253">
        <v>0.05</v>
      </c>
      <c r="I37" s="254">
        <f t="shared" si="1"/>
        <v>0.19</v>
      </c>
      <c r="J37" s="259">
        <v>695444</v>
      </c>
      <c r="K37" s="259">
        <v>602768.94202739722</v>
      </c>
      <c r="L37" s="255">
        <v>0</v>
      </c>
      <c r="M37" s="259">
        <f t="shared" si="2"/>
        <v>695444</v>
      </c>
      <c r="N37" s="259">
        <f t="shared" si="3"/>
        <v>502834.59189041104</v>
      </c>
      <c r="O37" s="259">
        <f t="shared" si="4"/>
        <v>192609.40810958896</v>
      </c>
      <c r="P37" s="284">
        <v>0.1</v>
      </c>
      <c r="Q37" s="259">
        <f t="shared" si="5"/>
        <v>173348.46729863007</v>
      </c>
    </row>
    <row r="38" spans="2:17">
      <c r="B38" s="249">
        <v>35</v>
      </c>
      <c r="C38" s="258" t="s">
        <v>183</v>
      </c>
      <c r="D38" s="250">
        <v>42353</v>
      </c>
      <c r="E38" s="250">
        <v>44579</v>
      </c>
      <c r="F38" s="251">
        <f t="shared" si="0"/>
        <v>6.0986301369863014</v>
      </c>
      <c r="G38" s="257">
        <v>25</v>
      </c>
      <c r="H38" s="253">
        <v>0.05</v>
      </c>
      <c r="I38" s="254">
        <f t="shared" si="1"/>
        <v>3.7999999999999999E-2</v>
      </c>
      <c r="J38" s="259">
        <v>258004877.19747663</v>
      </c>
      <c r="K38" s="259">
        <v>201140602.26315278</v>
      </c>
      <c r="L38" s="255">
        <v>0</v>
      </c>
      <c r="M38" s="259">
        <f t="shared" si="2"/>
        <v>258004877.19747663</v>
      </c>
      <c r="N38" s="259">
        <f t="shared" si="3"/>
        <v>59792100.143507272</v>
      </c>
      <c r="O38" s="259">
        <f t="shared" si="4"/>
        <v>198212777.05396935</v>
      </c>
      <c r="P38" s="284">
        <v>0.1</v>
      </c>
      <c r="Q38" s="259">
        <f t="shared" si="5"/>
        <v>178391499.34857243</v>
      </c>
    </row>
    <row r="39" spans="2:17">
      <c r="B39" s="249">
        <v>36</v>
      </c>
      <c r="C39" s="258"/>
      <c r="D39" s="250">
        <v>42444</v>
      </c>
      <c r="E39" s="250">
        <v>44579</v>
      </c>
      <c r="F39" s="251">
        <f t="shared" si="0"/>
        <v>5.8493150684931505</v>
      </c>
      <c r="G39" s="257">
        <v>10</v>
      </c>
      <c r="H39" s="253">
        <v>0.05</v>
      </c>
      <c r="I39" s="254">
        <f t="shared" si="1"/>
        <v>9.5000000000000001E-2</v>
      </c>
      <c r="J39" s="259">
        <v>398046.65</v>
      </c>
      <c r="K39" s="259">
        <v>314088.25139671238</v>
      </c>
      <c r="L39" s="255">
        <v>0</v>
      </c>
      <c r="M39" s="259">
        <f t="shared" si="2"/>
        <v>398046.65</v>
      </c>
      <c r="N39" s="259">
        <f t="shared" si="3"/>
        <v>221188.52544178083</v>
      </c>
      <c r="O39" s="259">
        <f t="shared" si="4"/>
        <v>176858.12455821919</v>
      </c>
      <c r="P39" s="284">
        <v>0.1</v>
      </c>
      <c r="Q39" s="259">
        <f t="shared" si="5"/>
        <v>159172.31210239726</v>
      </c>
    </row>
    <row r="40" spans="2:17">
      <c r="B40" s="249">
        <v>37</v>
      </c>
      <c r="C40" s="258"/>
      <c r="D40" s="250">
        <v>43054</v>
      </c>
      <c r="E40" s="250">
        <v>44579</v>
      </c>
      <c r="F40" s="251">
        <f t="shared" si="0"/>
        <v>4.1780821917808222</v>
      </c>
      <c r="G40" s="257">
        <v>10</v>
      </c>
      <c r="H40" s="253">
        <v>0.05</v>
      </c>
      <c r="I40" s="254">
        <f t="shared" si="1"/>
        <v>9.5000000000000001E-2</v>
      </c>
      <c r="J40" s="259">
        <v>3512106.59</v>
      </c>
      <c r="K40" s="259">
        <v>2994354.7231651507</v>
      </c>
      <c r="L40" s="255">
        <v>0</v>
      </c>
      <c r="M40" s="259">
        <f t="shared" si="2"/>
        <v>3512106.59</v>
      </c>
      <c r="N40" s="259">
        <f t="shared" si="3"/>
        <v>1394017.6499349314</v>
      </c>
      <c r="O40" s="259">
        <f t="shared" si="4"/>
        <v>2118088.9400650682</v>
      </c>
      <c r="P40" s="284">
        <v>0.1</v>
      </c>
      <c r="Q40" s="259">
        <f t="shared" si="5"/>
        <v>1906280.0460585614</v>
      </c>
    </row>
    <row r="41" spans="2:17">
      <c r="B41" s="249">
        <v>38</v>
      </c>
      <c r="C41" s="258"/>
      <c r="D41" s="250">
        <v>43190</v>
      </c>
      <c r="E41" s="250">
        <v>44579</v>
      </c>
      <c r="F41" s="251">
        <f t="shared" si="0"/>
        <v>3.8054794520547945</v>
      </c>
      <c r="G41" s="257">
        <v>10</v>
      </c>
      <c r="H41" s="253">
        <v>0.05</v>
      </c>
      <c r="I41" s="254">
        <f t="shared" si="1"/>
        <v>9.5000000000000001E-2</v>
      </c>
      <c r="J41" s="259">
        <v>682801.99</v>
      </c>
      <c r="K41" s="259">
        <v>591811.6097435616</v>
      </c>
      <c r="L41" s="255">
        <v>0.03</v>
      </c>
      <c r="M41" s="259">
        <f t="shared" si="2"/>
        <v>703286.04969999997</v>
      </c>
      <c r="N41" s="259">
        <f t="shared" si="3"/>
        <v>254252.35804976299</v>
      </c>
      <c r="O41" s="259">
        <f t="shared" si="4"/>
        <v>449033.69165023696</v>
      </c>
      <c r="P41" s="284">
        <v>0.1</v>
      </c>
      <c r="Q41" s="259">
        <f t="shared" si="5"/>
        <v>404130.32248521328</v>
      </c>
    </row>
    <row r="42" spans="2:17">
      <c r="B42" s="249">
        <v>39</v>
      </c>
      <c r="C42" s="258"/>
      <c r="D42" s="250">
        <v>43555</v>
      </c>
      <c r="E42" s="250">
        <v>44579</v>
      </c>
      <c r="F42" s="251">
        <f t="shared" si="0"/>
        <v>2.8054794520547945</v>
      </c>
      <c r="G42" s="257">
        <v>10</v>
      </c>
      <c r="H42" s="253">
        <v>0.05</v>
      </c>
      <c r="I42" s="254">
        <f t="shared" si="1"/>
        <v>9.5000000000000001E-2</v>
      </c>
      <c r="J42" s="259">
        <v>604000</v>
      </c>
      <c r="K42" s="259">
        <v>546462.79452054796</v>
      </c>
      <c r="L42" s="255">
        <v>0.03</v>
      </c>
      <c r="M42" s="259">
        <f t="shared" si="2"/>
        <v>622120</v>
      </c>
      <c r="N42" s="259">
        <f t="shared" si="3"/>
        <v>165807.76328767123</v>
      </c>
      <c r="O42" s="259">
        <f t="shared" si="4"/>
        <v>456312.23671232874</v>
      </c>
      <c r="P42" s="284">
        <v>0.1</v>
      </c>
      <c r="Q42" s="259">
        <f t="shared" si="5"/>
        <v>410681.01304109587</v>
      </c>
    </row>
    <row r="43" spans="2:17">
      <c r="B43" s="249">
        <v>40</v>
      </c>
      <c r="C43" s="258"/>
      <c r="D43" s="250">
        <v>43555</v>
      </c>
      <c r="E43" s="250">
        <v>44579</v>
      </c>
      <c r="F43" s="251">
        <f t="shared" si="0"/>
        <v>2.8054794520547945</v>
      </c>
      <c r="G43" s="257">
        <v>10</v>
      </c>
      <c r="H43" s="253">
        <v>0.05</v>
      </c>
      <c r="I43" s="254">
        <f t="shared" si="1"/>
        <v>9.5000000000000001E-2</v>
      </c>
      <c r="J43" s="259">
        <v>2130636.56</v>
      </c>
      <c r="K43" s="259">
        <v>1927671.5375583563</v>
      </c>
      <c r="L43" s="255">
        <v>0.03</v>
      </c>
      <c r="M43" s="259">
        <f t="shared" si="2"/>
        <v>2194555.6568</v>
      </c>
      <c r="N43" s="259">
        <f t="shared" si="3"/>
        <v>584894.17614658631</v>
      </c>
      <c r="O43" s="259">
        <f t="shared" si="4"/>
        <v>1609661.4806534136</v>
      </c>
      <c r="P43" s="284">
        <v>0.1</v>
      </c>
      <c r="Q43" s="259">
        <f t="shared" si="5"/>
        <v>1448695.3325880722</v>
      </c>
    </row>
    <row r="44" spans="2:17">
      <c r="B44" s="249">
        <v>41</v>
      </c>
      <c r="C44" s="258"/>
      <c r="D44" s="250">
        <v>43555</v>
      </c>
      <c r="E44" s="250">
        <v>44579</v>
      </c>
      <c r="F44" s="251">
        <f t="shared" si="0"/>
        <v>2.8054794520547945</v>
      </c>
      <c r="G44" s="257">
        <v>10</v>
      </c>
      <c r="H44" s="253">
        <v>0.05</v>
      </c>
      <c r="I44" s="254">
        <f t="shared" si="1"/>
        <v>9.5000000000000001E-2</v>
      </c>
      <c r="J44" s="259">
        <v>613821.81999999995</v>
      </c>
      <c r="K44" s="259">
        <v>555348.98525643826</v>
      </c>
      <c r="L44" s="255">
        <v>0.03</v>
      </c>
      <c r="M44" s="259">
        <f t="shared" si="2"/>
        <v>632236.47459999996</v>
      </c>
      <c r="N44" s="259">
        <f t="shared" si="3"/>
        <v>168504.01164133698</v>
      </c>
      <c r="O44" s="259">
        <f t="shared" si="4"/>
        <v>463732.462958663</v>
      </c>
      <c r="P44" s="284">
        <v>0.1</v>
      </c>
      <c r="Q44" s="259">
        <f t="shared" si="5"/>
        <v>417359.21666279674</v>
      </c>
    </row>
    <row r="45" spans="2:17">
      <c r="B45" s="249">
        <v>42</v>
      </c>
      <c r="C45" s="258"/>
      <c r="D45" s="250">
        <v>43555</v>
      </c>
      <c r="E45" s="250">
        <v>44579</v>
      </c>
      <c r="F45" s="251">
        <f t="shared" si="0"/>
        <v>2.8054794520547945</v>
      </c>
      <c r="G45" s="257">
        <v>10</v>
      </c>
      <c r="H45" s="253">
        <v>0.05</v>
      </c>
      <c r="I45" s="254">
        <f t="shared" si="1"/>
        <v>9.5000000000000001E-2</v>
      </c>
      <c r="J45" s="259">
        <v>96759</v>
      </c>
      <c r="K45" s="259">
        <v>87541.711150684932</v>
      </c>
      <c r="L45" s="255">
        <v>0.03</v>
      </c>
      <c r="M45" s="259">
        <f t="shared" si="2"/>
        <v>99661.77</v>
      </c>
      <c r="N45" s="259">
        <f t="shared" si="3"/>
        <v>26561.909549589043</v>
      </c>
      <c r="O45" s="259">
        <f t="shared" si="4"/>
        <v>73099.860450410953</v>
      </c>
      <c r="P45" s="284">
        <v>0.1</v>
      </c>
      <c r="Q45" s="259">
        <f t="shared" si="5"/>
        <v>65789.874405369861</v>
      </c>
    </row>
    <row r="46" spans="2:17">
      <c r="B46" s="249">
        <v>43</v>
      </c>
      <c r="C46" s="258"/>
      <c r="D46" s="250">
        <v>43799</v>
      </c>
      <c r="E46" s="250">
        <v>44579</v>
      </c>
      <c r="F46" s="251">
        <f t="shared" si="0"/>
        <v>2.1369863013698631</v>
      </c>
      <c r="G46" s="257">
        <v>25</v>
      </c>
      <c r="H46" s="253">
        <v>0.05</v>
      </c>
      <c r="I46" s="254">
        <f t="shared" si="1"/>
        <v>3.7999999999999999E-2</v>
      </c>
      <c r="J46" s="259">
        <v>20204611</v>
      </c>
      <c r="K46" s="259">
        <v>18793166.695128769</v>
      </c>
      <c r="L46" s="255">
        <v>0.03</v>
      </c>
      <c r="M46" s="259">
        <f t="shared" si="2"/>
        <v>20810749.330000002</v>
      </c>
      <c r="N46" s="259">
        <f t="shared" si="3"/>
        <v>1689946.8770991783</v>
      </c>
      <c r="O46" s="259">
        <f t="shared" si="4"/>
        <v>19120802.452900823</v>
      </c>
      <c r="P46" s="284">
        <v>0.1</v>
      </c>
      <c r="Q46" s="259">
        <f t="shared" si="5"/>
        <v>17208722.207610741</v>
      </c>
    </row>
    <row r="47" spans="2:17">
      <c r="B47" s="249">
        <v>44</v>
      </c>
      <c r="C47" s="258"/>
      <c r="D47" s="250">
        <v>43830</v>
      </c>
      <c r="E47" s="250">
        <v>44579</v>
      </c>
      <c r="F47" s="251">
        <f t="shared" si="0"/>
        <v>2.0520547945205481</v>
      </c>
      <c r="G47" s="257">
        <v>10</v>
      </c>
      <c r="H47" s="253">
        <v>0.05</v>
      </c>
      <c r="I47" s="254">
        <f t="shared" si="1"/>
        <v>9.5000000000000001E-2</v>
      </c>
      <c r="J47" s="259">
        <v>2739831</v>
      </c>
      <c r="K47" s="259">
        <v>2557275.6851506848</v>
      </c>
      <c r="L47" s="255">
        <v>0.03</v>
      </c>
      <c r="M47" s="259">
        <f t="shared" si="2"/>
        <v>2822025.93</v>
      </c>
      <c r="N47" s="259">
        <f t="shared" si="3"/>
        <v>550140.42479219183</v>
      </c>
      <c r="O47" s="259">
        <f t="shared" si="4"/>
        <v>2271885.5052078082</v>
      </c>
      <c r="P47" s="284">
        <v>0.1</v>
      </c>
      <c r="Q47" s="259">
        <f t="shared" si="5"/>
        <v>2044696.9546870275</v>
      </c>
    </row>
    <row r="48" spans="2:17">
      <c r="B48" s="249">
        <v>45</v>
      </c>
      <c r="C48" s="258"/>
      <c r="D48" s="250">
        <v>43830</v>
      </c>
      <c r="E48" s="250">
        <v>44579</v>
      </c>
      <c r="F48" s="251">
        <f t="shared" si="0"/>
        <v>2.0520547945205481</v>
      </c>
      <c r="G48" s="257">
        <v>10</v>
      </c>
      <c r="H48" s="253">
        <v>0.05</v>
      </c>
      <c r="I48" s="254">
        <f t="shared" si="1"/>
        <v>9.5000000000000001E-2</v>
      </c>
      <c r="J48" s="259">
        <v>144000</v>
      </c>
      <c r="K48" s="259">
        <v>134405.26027397261</v>
      </c>
      <c r="L48" s="255">
        <v>0.03</v>
      </c>
      <c r="M48" s="259">
        <f t="shared" si="2"/>
        <v>148320</v>
      </c>
      <c r="N48" s="259">
        <f t="shared" si="3"/>
        <v>28914.27287671233</v>
      </c>
      <c r="O48" s="259">
        <f t="shared" si="4"/>
        <v>119405.72712328767</v>
      </c>
      <c r="P48" s="284">
        <v>0.1</v>
      </c>
      <c r="Q48" s="259">
        <f t="shared" si="5"/>
        <v>107465.1544109589</v>
      </c>
    </row>
    <row r="49" spans="2:17">
      <c r="B49" s="249">
        <v>46</v>
      </c>
      <c r="C49" s="258"/>
      <c r="D49" s="250">
        <v>43830</v>
      </c>
      <c r="E49" s="250">
        <v>44579</v>
      </c>
      <c r="F49" s="251">
        <f t="shared" si="0"/>
        <v>2.0520547945205481</v>
      </c>
      <c r="G49" s="257">
        <v>10</v>
      </c>
      <c r="H49" s="253">
        <v>0.05</v>
      </c>
      <c r="I49" s="254">
        <f t="shared" si="1"/>
        <v>9.5000000000000001E-2</v>
      </c>
      <c r="J49" s="259">
        <v>1037275</v>
      </c>
      <c r="K49" s="259">
        <v>968161.22465753427</v>
      </c>
      <c r="L49" s="255">
        <v>0.03</v>
      </c>
      <c r="M49" s="259">
        <f t="shared" si="2"/>
        <v>1068393.25</v>
      </c>
      <c r="N49" s="259">
        <f t="shared" si="3"/>
        <v>208278.14165410961</v>
      </c>
      <c r="O49" s="259">
        <f t="shared" si="4"/>
        <v>860115.10834589042</v>
      </c>
      <c r="P49" s="284">
        <v>0.1</v>
      </c>
      <c r="Q49" s="259">
        <f t="shared" si="5"/>
        <v>774103.5975113014</v>
      </c>
    </row>
    <row r="50" spans="2:17">
      <c r="B50" s="249">
        <v>47</v>
      </c>
      <c r="C50" s="258" t="s">
        <v>174</v>
      </c>
      <c r="D50" s="250">
        <v>42353</v>
      </c>
      <c r="E50" s="250">
        <v>44579</v>
      </c>
      <c r="F50" s="251">
        <f t="shared" si="0"/>
        <v>6.0986301369863014</v>
      </c>
      <c r="G50" s="257">
        <v>25</v>
      </c>
      <c r="H50" s="253">
        <v>0.05</v>
      </c>
      <c r="I50" s="254">
        <f t="shared" si="1"/>
        <v>3.7999999999999999E-2</v>
      </c>
      <c r="J50" s="259">
        <v>124004835.85495344</v>
      </c>
      <c r="K50" s="259">
        <v>96674170.032521695</v>
      </c>
      <c r="L50" s="255">
        <v>0.02</v>
      </c>
      <c r="M50" s="259">
        <f t="shared" si="2"/>
        <v>126484932.57205251</v>
      </c>
      <c r="N50" s="259">
        <f t="shared" si="3"/>
        <v>29312623.223026786</v>
      </c>
      <c r="O50" s="259">
        <f t="shared" si="4"/>
        <v>97172309.349025726</v>
      </c>
      <c r="P50" s="284">
        <v>0.1</v>
      </c>
      <c r="Q50" s="259">
        <f t="shared" si="5"/>
        <v>87455078.414123163</v>
      </c>
    </row>
    <row r="51" spans="2:17">
      <c r="B51" s="249">
        <v>48</v>
      </c>
      <c r="C51" s="258"/>
      <c r="D51" s="250">
        <v>42444</v>
      </c>
      <c r="E51" s="250">
        <v>44579</v>
      </c>
      <c r="F51" s="251">
        <f t="shared" si="0"/>
        <v>5.8493150684931505</v>
      </c>
      <c r="G51" s="257">
        <v>25</v>
      </c>
      <c r="H51" s="253">
        <v>0.05</v>
      </c>
      <c r="I51" s="254">
        <f t="shared" si="1"/>
        <v>3.7999999999999999E-2</v>
      </c>
      <c r="J51" s="259">
        <v>3924644.37</v>
      </c>
      <c r="K51" s="259">
        <v>3096834.724088877</v>
      </c>
      <c r="L51" s="255">
        <v>0</v>
      </c>
      <c r="M51" s="259">
        <f t="shared" si="2"/>
        <v>3924644.37</v>
      </c>
      <c r="N51" s="259">
        <f t="shared" si="3"/>
        <v>872346.29517287668</v>
      </c>
      <c r="O51" s="259">
        <f t="shared" si="4"/>
        <v>3052298.0748271234</v>
      </c>
      <c r="P51" s="284">
        <v>0.1</v>
      </c>
      <c r="Q51" s="259">
        <f t="shared" si="5"/>
        <v>2747068.267344411</v>
      </c>
    </row>
    <row r="52" spans="2:17">
      <c r="B52" s="249">
        <v>49</v>
      </c>
      <c r="C52" s="258"/>
      <c r="D52" s="250">
        <v>43054</v>
      </c>
      <c r="E52" s="250">
        <v>44579</v>
      </c>
      <c r="F52" s="251">
        <f t="shared" si="0"/>
        <v>4.1780821917808222</v>
      </c>
      <c r="G52" s="257">
        <v>25</v>
      </c>
      <c r="H52" s="253">
        <v>0.05</v>
      </c>
      <c r="I52" s="254">
        <f t="shared" si="1"/>
        <v>3.7999999999999999E-2</v>
      </c>
      <c r="J52" s="259">
        <v>8819446.6899999995</v>
      </c>
      <c r="K52" s="259">
        <v>7519291.1078204922</v>
      </c>
      <c r="L52" s="255">
        <v>0</v>
      </c>
      <c r="M52" s="259">
        <f t="shared" si="2"/>
        <v>8819446.6899999995</v>
      </c>
      <c r="N52" s="259">
        <f t="shared" si="3"/>
        <v>1400238.1799602739</v>
      </c>
      <c r="O52" s="259">
        <f t="shared" si="4"/>
        <v>7419208.5100397253</v>
      </c>
      <c r="P52" s="284">
        <v>0.1</v>
      </c>
      <c r="Q52" s="259">
        <f t="shared" si="5"/>
        <v>6677287.6590357525</v>
      </c>
    </row>
    <row r="53" spans="2:17">
      <c r="B53" s="249">
        <v>50</v>
      </c>
      <c r="C53" s="258"/>
      <c r="D53" s="250">
        <v>43555</v>
      </c>
      <c r="E53" s="250">
        <v>44579</v>
      </c>
      <c r="F53" s="251">
        <f t="shared" si="0"/>
        <v>2.8054794520547945</v>
      </c>
      <c r="G53" s="257">
        <v>15</v>
      </c>
      <c r="H53" s="253">
        <v>0.05</v>
      </c>
      <c r="I53" s="254">
        <f t="shared" si="1"/>
        <v>6.3333333333333325E-2</v>
      </c>
      <c r="J53" s="259">
        <v>1634900</v>
      </c>
      <c r="K53" s="259">
        <v>1479158.9780821919</v>
      </c>
      <c r="L53" s="255">
        <v>0</v>
      </c>
      <c r="M53" s="259">
        <f t="shared" si="2"/>
        <v>1634900</v>
      </c>
      <c r="N53" s="259">
        <f t="shared" si="3"/>
        <v>290489.62922374427</v>
      </c>
      <c r="O53" s="259">
        <f t="shared" si="4"/>
        <v>1344410.3707762556</v>
      </c>
      <c r="P53" s="284">
        <v>0.1</v>
      </c>
      <c r="Q53" s="259">
        <f t="shared" si="5"/>
        <v>1209969.3336986301</v>
      </c>
    </row>
    <row r="54" spans="2:17">
      <c r="B54" s="249">
        <v>51</v>
      </c>
      <c r="C54" s="258" t="s">
        <v>176</v>
      </c>
      <c r="D54" s="250">
        <v>42353</v>
      </c>
      <c r="E54" s="250">
        <v>44579</v>
      </c>
      <c r="F54" s="251">
        <f t="shared" si="0"/>
        <v>6.0986301369863014</v>
      </c>
      <c r="G54" s="257">
        <v>25</v>
      </c>
      <c r="H54" s="253">
        <v>0.05</v>
      </c>
      <c r="I54" s="254">
        <f t="shared" si="1"/>
        <v>3.7999999999999999E-2</v>
      </c>
      <c r="J54" s="259">
        <v>30898667.340729259</v>
      </c>
      <c r="K54" s="259">
        <v>24088601.05883253</v>
      </c>
      <c r="L54" s="255">
        <v>0.02</v>
      </c>
      <c r="M54" s="259">
        <f t="shared" si="2"/>
        <v>31516640.687543843</v>
      </c>
      <c r="N54" s="259">
        <f t="shared" si="3"/>
        <v>7303916.7191176945</v>
      </c>
      <c r="O54" s="259">
        <f t="shared" si="4"/>
        <v>24212723.968426149</v>
      </c>
      <c r="P54" s="284">
        <v>0.1</v>
      </c>
      <c r="Q54" s="259">
        <f t="shared" si="5"/>
        <v>21791451.571583536</v>
      </c>
    </row>
    <row r="55" spans="2:17">
      <c r="B55" s="249">
        <v>52</v>
      </c>
      <c r="C55" s="258"/>
      <c r="D55" s="250">
        <v>42444</v>
      </c>
      <c r="E55" s="250">
        <v>44579</v>
      </c>
      <c r="F55" s="251">
        <f t="shared" si="0"/>
        <v>5.8493150684931505</v>
      </c>
      <c r="G55" s="257">
        <v>10</v>
      </c>
      <c r="H55" s="253">
        <v>0.05</v>
      </c>
      <c r="I55" s="254">
        <f t="shared" si="1"/>
        <v>9.5000000000000001E-2</v>
      </c>
      <c r="J55" s="259">
        <v>537447.30000000005</v>
      </c>
      <c r="K55" s="259">
        <v>424085.6760756165</v>
      </c>
      <c r="L55" s="255">
        <v>0.04</v>
      </c>
      <c r="M55" s="259">
        <f t="shared" si="2"/>
        <v>558945.19200000004</v>
      </c>
      <c r="N55" s="259">
        <f t="shared" si="3"/>
        <v>310597.42073260277</v>
      </c>
      <c r="O55" s="259">
        <f t="shared" si="4"/>
        <v>248347.77126739727</v>
      </c>
      <c r="P55" s="284">
        <v>0.1</v>
      </c>
      <c r="Q55" s="259">
        <f t="shared" si="5"/>
        <v>223512.99414065754</v>
      </c>
    </row>
    <row r="56" spans="2:17">
      <c r="B56" s="249">
        <v>53</v>
      </c>
      <c r="C56" s="258" t="s">
        <v>177</v>
      </c>
      <c r="D56" s="250">
        <v>42353</v>
      </c>
      <c r="E56" s="250">
        <v>44579</v>
      </c>
      <c r="F56" s="251">
        <f t="shared" si="0"/>
        <v>6.0986301369863014</v>
      </c>
      <c r="G56" s="257">
        <v>15</v>
      </c>
      <c r="H56" s="253">
        <v>0.05</v>
      </c>
      <c r="I56" s="254">
        <f t="shared" si="1"/>
        <v>6.3333333333333325E-2</v>
      </c>
      <c r="J56" s="259">
        <v>58644599.897918634</v>
      </c>
      <c r="K56" s="259">
        <v>45719330.080417365</v>
      </c>
      <c r="L56" s="255">
        <v>0.04</v>
      </c>
      <c r="M56" s="259">
        <f t="shared" si="2"/>
        <v>60990383.893835381</v>
      </c>
      <c r="N56" s="259">
        <f t="shared" si="3"/>
        <v>23557326.907816194</v>
      </c>
      <c r="O56" s="259">
        <f t="shared" si="4"/>
        <v>37433056.986019187</v>
      </c>
      <c r="P56" s="284">
        <v>0.1</v>
      </c>
      <c r="Q56" s="259">
        <f t="shared" si="5"/>
        <v>33689751.28741727</v>
      </c>
    </row>
    <row r="57" spans="2:17">
      <c r="B57" s="249">
        <v>54</v>
      </c>
      <c r="C57" s="258"/>
      <c r="D57" s="250">
        <v>42444</v>
      </c>
      <c r="E57" s="250">
        <v>44579</v>
      </c>
      <c r="F57" s="251">
        <f t="shared" si="0"/>
        <v>5.8493150684931505</v>
      </c>
      <c r="G57" s="257">
        <v>10</v>
      </c>
      <c r="H57" s="253">
        <v>0.05</v>
      </c>
      <c r="I57" s="254">
        <f t="shared" si="1"/>
        <v>9.5000000000000001E-2</v>
      </c>
      <c r="J57" s="259">
        <v>1556572</v>
      </c>
      <c r="K57" s="259">
        <v>1228250.4516821918</v>
      </c>
      <c r="L57" s="255">
        <v>0.05</v>
      </c>
      <c r="M57" s="259">
        <f t="shared" si="2"/>
        <v>1634400.6</v>
      </c>
      <c r="N57" s="259">
        <f t="shared" si="3"/>
        <v>908211.7854657534</v>
      </c>
      <c r="O57" s="259">
        <f t="shared" si="4"/>
        <v>726188.81453424669</v>
      </c>
      <c r="P57" s="284">
        <v>0.1</v>
      </c>
      <c r="Q57" s="259">
        <f t="shared" si="5"/>
        <v>653569.933080822</v>
      </c>
    </row>
    <row r="58" spans="2:17">
      <c r="B58" s="249">
        <v>55</v>
      </c>
      <c r="C58" s="258" t="s">
        <v>179</v>
      </c>
      <c r="D58" s="250">
        <v>42353</v>
      </c>
      <c r="E58" s="250">
        <v>44579</v>
      </c>
      <c r="F58" s="251">
        <f t="shared" si="0"/>
        <v>6.0986301369863014</v>
      </c>
      <c r="G58" s="257">
        <v>25</v>
      </c>
      <c r="H58" s="253">
        <v>0.05</v>
      </c>
      <c r="I58" s="254">
        <f t="shared" si="1"/>
        <v>3.7999999999999999E-2</v>
      </c>
      <c r="J58" s="259">
        <v>31387814.709964152</v>
      </c>
      <c r="K58" s="259">
        <v>24469940.347888052</v>
      </c>
      <c r="L58" s="255">
        <v>0.04</v>
      </c>
      <c r="M58" s="259">
        <f t="shared" si="2"/>
        <v>32643327.298362721</v>
      </c>
      <c r="N58" s="259">
        <f t="shared" si="3"/>
        <v>7565024.0260654958</v>
      </c>
      <c r="O58" s="259">
        <f t="shared" si="4"/>
        <v>25078303.272297226</v>
      </c>
      <c r="P58" s="284">
        <v>0.1</v>
      </c>
      <c r="Q58" s="259">
        <f t="shared" si="5"/>
        <v>22570472.945067503</v>
      </c>
    </row>
    <row r="59" spans="2:17">
      <c r="B59" s="249">
        <v>56</v>
      </c>
      <c r="C59" s="258"/>
      <c r="D59" s="250">
        <v>42353</v>
      </c>
      <c r="E59" s="250">
        <v>44579</v>
      </c>
      <c r="F59" s="251">
        <f t="shared" si="0"/>
        <v>6.0986301369863014</v>
      </c>
      <c r="G59" s="257">
        <v>5</v>
      </c>
      <c r="H59" s="253">
        <v>0.05</v>
      </c>
      <c r="I59" s="254">
        <f t="shared" si="1"/>
        <v>0.19</v>
      </c>
      <c r="J59" s="259">
        <v>36741</v>
      </c>
      <c r="K59" s="259">
        <v>28643.283600000002</v>
      </c>
      <c r="L59" s="255">
        <v>0.04</v>
      </c>
      <c r="M59" s="259">
        <f t="shared" si="2"/>
        <v>38210.639999999999</v>
      </c>
      <c r="N59" s="259">
        <f t="shared" si="3"/>
        <v>44276.186524931509</v>
      </c>
      <c r="O59" s="259">
        <f t="shared" si="4"/>
        <v>0</v>
      </c>
      <c r="P59" s="284">
        <v>0.1</v>
      </c>
      <c r="Q59" s="259">
        <f t="shared" si="5"/>
        <v>1910.5320000000002</v>
      </c>
    </row>
    <row r="60" spans="2:17">
      <c r="B60" s="249">
        <v>57</v>
      </c>
      <c r="C60" s="258"/>
      <c r="D60" s="250">
        <v>42444</v>
      </c>
      <c r="E60" s="250">
        <v>44579</v>
      </c>
      <c r="F60" s="251">
        <f t="shared" si="0"/>
        <v>5.8493150684931505</v>
      </c>
      <c r="G60" s="257">
        <v>10</v>
      </c>
      <c r="H60" s="253">
        <v>0.05</v>
      </c>
      <c r="I60" s="254">
        <f t="shared" si="1"/>
        <v>9.5000000000000001E-2</v>
      </c>
      <c r="J60" s="259">
        <v>266082.78000000003</v>
      </c>
      <c r="K60" s="259">
        <v>209958.99625578086</v>
      </c>
      <c r="L60" s="255">
        <v>0</v>
      </c>
      <c r="M60" s="259">
        <f t="shared" si="2"/>
        <v>266082.78000000003</v>
      </c>
      <c r="N60" s="259">
        <f t="shared" si="3"/>
        <v>147858.19137945207</v>
      </c>
      <c r="O60" s="259">
        <f t="shared" si="4"/>
        <v>118224.58862054796</v>
      </c>
      <c r="P60" s="284">
        <v>0.1</v>
      </c>
      <c r="Q60" s="259">
        <f t="shared" si="5"/>
        <v>106402.12975849317</v>
      </c>
    </row>
    <row r="61" spans="2:17">
      <c r="B61" s="249">
        <v>58</v>
      </c>
      <c r="C61" s="258"/>
      <c r="D61" s="250">
        <v>43054</v>
      </c>
      <c r="E61" s="250">
        <v>44579</v>
      </c>
      <c r="F61" s="251">
        <f t="shared" si="0"/>
        <v>4.1780821917808222</v>
      </c>
      <c r="G61" s="257">
        <v>5</v>
      </c>
      <c r="H61" s="253">
        <v>0.05</v>
      </c>
      <c r="I61" s="254">
        <f t="shared" si="1"/>
        <v>0.19</v>
      </c>
      <c r="J61" s="259">
        <v>1071.93</v>
      </c>
      <c r="K61" s="259">
        <v>913.90696043835624</v>
      </c>
      <c r="L61" s="255">
        <v>0</v>
      </c>
      <c r="M61" s="259">
        <f t="shared" si="2"/>
        <v>1071.93</v>
      </c>
      <c r="N61" s="259">
        <f t="shared" si="3"/>
        <v>850.93621232876728</v>
      </c>
      <c r="O61" s="259">
        <f t="shared" si="4"/>
        <v>220.99378767123278</v>
      </c>
      <c r="P61" s="284">
        <v>0.1</v>
      </c>
      <c r="Q61" s="259">
        <f t="shared" si="5"/>
        <v>198.8944089041095</v>
      </c>
    </row>
    <row r="62" spans="2:17">
      <c r="B62" s="249">
        <v>59</v>
      </c>
      <c r="C62" s="258"/>
      <c r="D62" s="250">
        <v>43830</v>
      </c>
      <c r="E62" s="250">
        <v>44579</v>
      </c>
      <c r="F62" s="251">
        <f t="shared" si="0"/>
        <v>2.0520547945205481</v>
      </c>
      <c r="G62" s="257">
        <v>10</v>
      </c>
      <c r="H62" s="253">
        <v>0.05</v>
      </c>
      <c r="I62" s="254">
        <f t="shared" si="1"/>
        <v>9.5000000000000001E-2</v>
      </c>
      <c r="J62" s="259">
        <v>1251956.6299999999</v>
      </c>
      <c r="K62" s="259">
        <v>1168538.5882421916</v>
      </c>
      <c r="L62" s="255">
        <v>0</v>
      </c>
      <c r="M62" s="259">
        <f t="shared" si="2"/>
        <v>1251956.6299999999</v>
      </c>
      <c r="N62" s="259">
        <f t="shared" si="3"/>
        <v>244062.94248671233</v>
      </c>
      <c r="O62" s="259">
        <f t="shared" si="4"/>
        <v>1007893.6875132875</v>
      </c>
      <c r="P62" s="284">
        <v>0.1</v>
      </c>
      <c r="Q62" s="259">
        <f t="shared" si="5"/>
        <v>907104.31876195874</v>
      </c>
    </row>
    <row r="63" spans="2:17">
      <c r="B63" s="249">
        <v>60</v>
      </c>
      <c r="C63" s="258" t="s">
        <v>181</v>
      </c>
      <c r="D63" s="250">
        <v>42353</v>
      </c>
      <c r="E63" s="250">
        <v>44579</v>
      </c>
      <c r="F63" s="251">
        <f t="shared" si="0"/>
        <v>6.0986301369863014</v>
      </c>
      <c r="G63" s="257">
        <v>10</v>
      </c>
      <c r="H63" s="253">
        <v>0.05</v>
      </c>
      <c r="I63" s="254">
        <f t="shared" si="1"/>
        <v>9.5000000000000001E-2</v>
      </c>
      <c r="J63" s="259">
        <v>2143783.409759331</v>
      </c>
      <c r="K63" s="259">
        <v>1671293.5462483745</v>
      </c>
      <c r="L63" s="255">
        <v>0</v>
      </c>
      <c r="M63" s="259">
        <f t="shared" si="2"/>
        <v>2143783.409759331</v>
      </c>
      <c r="N63" s="259">
        <f t="shared" si="3"/>
        <v>1242043.5004433035</v>
      </c>
      <c r="O63" s="259">
        <f t="shared" si="4"/>
        <v>901739.90931602754</v>
      </c>
      <c r="P63" s="284">
        <v>0.1</v>
      </c>
      <c r="Q63" s="259">
        <f t="shared" si="5"/>
        <v>811565.91838442476</v>
      </c>
    </row>
    <row r="64" spans="2:17">
      <c r="B64" s="249">
        <v>61</v>
      </c>
      <c r="C64" s="258"/>
      <c r="D64" s="250">
        <v>42444</v>
      </c>
      <c r="E64" s="250">
        <v>44579</v>
      </c>
      <c r="F64" s="251">
        <f t="shared" si="0"/>
        <v>5.8493150684931505</v>
      </c>
      <c r="G64" s="257">
        <v>5</v>
      </c>
      <c r="H64" s="253">
        <v>0.05</v>
      </c>
      <c r="I64" s="254">
        <f t="shared" si="1"/>
        <v>0.19</v>
      </c>
      <c r="J64" s="259">
        <v>121949.53</v>
      </c>
      <c r="K64" s="259">
        <v>96227.200094136992</v>
      </c>
      <c r="L64" s="255">
        <v>0</v>
      </c>
      <c r="M64" s="259">
        <f t="shared" si="2"/>
        <v>121949.53</v>
      </c>
      <c r="N64" s="259">
        <f t="shared" si="3"/>
        <v>135531.03245068493</v>
      </c>
      <c r="O64" s="259">
        <f t="shared" si="4"/>
        <v>0</v>
      </c>
      <c r="P64" s="284">
        <v>0.1</v>
      </c>
      <c r="Q64" s="259">
        <f t="shared" si="5"/>
        <v>6097.4765000000007</v>
      </c>
    </row>
    <row r="65" spans="2:17">
      <c r="B65" s="249">
        <v>62</v>
      </c>
      <c r="C65" s="258" t="s">
        <v>182</v>
      </c>
      <c r="D65" s="250">
        <v>42353</v>
      </c>
      <c r="E65" s="250">
        <v>44579</v>
      </c>
      <c r="F65" s="251">
        <f t="shared" si="0"/>
        <v>6.0986301369863014</v>
      </c>
      <c r="G65" s="257">
        <v>10</v>
      </c>
      <c r="H65" s="253">
        <v>0.05</v>
      </c>
      <c r="I65" s="254">
        <f t="shared" si="1"/>
        <v>9.5000000000000001E-2</v>
      </c>
      <c r="J65" s="259">
        <f>10588279.6422746-0.34</f>
        <v>10588279.3022746</v>
      </c>
      <c r="K65" s="259">
        <v>8254622.5440532779</v>
      </c>
      <c r="L65" s="255">
        <v>0</v>
      </c>
      <c r="M65" s="259">
        <f t="shared" si="2"/>
        <v>10588279.3022746</v>
      </c>
      <c r="N65" s="259">
        <f t="shared" si="3"/>
        <v>6134529.9289096156</v>
      </c>
      <c r="O65" s="259">
        <f t="shared" si="4"/>
        <v>4453749.3733649841</v>
      </c>
      <c r="P65" s="284">
        <v>0.1</v>
      </c>
      <c r="Q65" s="259">
        <f t="shared" si="5"/>
        <v>4008374.4360284857</v>
      </c>
    </row>
    <row r="66" spans="2:17">
      <c r="J66" s="285">
        <f>SUM(J5:J65)</f>
        <v>1431391454.8986688</v>
      </c>
      <c r="K66" s="285">
        <f>SUM(K5:K65)</f>
        <v>1122076166.7751927</v>
      </c>
      <c r="M66" s="285">
        <f>SUM(M5:M65)</f>
        <v>1459301478.3019722</v>
      </c>
      <c r="Q66" s="285">
        <f>SUM(Q5:Q65)</f>
        <v>959322358.74228251</v>
      </c>
    </row>
  </sheetData>
  <mergeCells count="1">
    <mergeCell ref="B3:Q3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"/>
  <sheetViews>
    <sheetView topLeftCell="B1" workbookViewId="0">
      <selection activeCell="M12" sqref="M12"/>
    </sheetView>
  </sheetViews>
  <sheetFormatPr defaultRowHeight="15"/>
  <cols>
    <col min="2" max="2" width="9.28515625" bestFit="1" customWidth="1"/>
    <col min="3" max="3" width="50.42578125" bestFit="1" customWidth="1"/>
    <col min="4" max="5" width="0" hidden="1" customWidth="1"/>
    <col min="6" max="6" width="13.140625" customWidth="1"/>
    <col min="7" max="7" width="13" customWidth="1"/>
    <col min="8" max="8" width="10.140625" customWidth="1"/>
    <col min="9" max="9" width="15.7109375" customWidth="1"/>
    <col min="10" max="10" width="9.28515625" bestFit="1" customWidth="1"/>
    <col min="11" max="11" width="14.140625" customWidth="1"/>
    <col min="12" max="13" width="13.85546875" customWidth="1"/>
    <col min="14" max="14" width="18" bestFit="1" customWidth="1"/>
    <col min="15" max="15" width="16.28515625" bestFit="1" customWidth="1"/>
    <col min="16" max="16" width="11" customWidth="1"/>
    <col min="17" max="17" width="11.85546875" bestFit="1" customWidth="1"/>
  </cols>
  <sheetData>
    <row r="2" spans="2:17">
      <c r="B2" s="296" t="s">
        <v>383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2:17" ht="60">
      <c r="B3" s="242" t="s">
        <v>366</v>
      </c>
      <c r="C3" s="242" t="s">
        <v>367</v>
      </c>
      <c r="D3" s="242" t="s">
        <v>368</v>
      </c>
      <c r="E3" s="242" t="s">
        <v>369</v>
      </c>
      <c r="F3" s="242" t="s">
        <v>370</v>
      </c>
      <c r="G3" s="242" t="s">
        <v>353</v>
      </c>
      <c r="H3" s="242" t="s">
        <v>371</v>
      </c>
      <c r="I3" s="242" t="s">
        <v>372</v>
      </c>
      <c r="J3" s="242" t="s">
        <v>373</v>
      </c>
      <c r="K3" s="242" t="s">
        <v>374</v>
      </c>
      <c r="L3" s="269" t="s">
        <v>375</v>
      </c>
      <c r="M3" s="269" t="s">
        <v>376</v>
      </c>
      <c r="N3" s="248" t="s">
        <v>377</v>
      </c>
      <c r="O3" s="248" t="s">
        <v>378</v>
      </c>
      <c r="P3" s="245" t="s">
        <v>379</v>
      </c>
      <c r="Q3" s="248" t="s">
        <v>380</v>
      </c>
    </row>
    <row r="4" spans="2:17">
      <c r="B4" s="249">
        <v>1</v>
      </c>
      <c r="C4" s="258" t="s">
        <v>185</v>
      </c>
      <c r="D4" s="270">
        <v>0</v>
      </c>
      <c r="E4" s="249" t="s">
        <v>381</v>
      </c>
      <c r="F4" s="250">
        <v>42353</v>
      </c>
      <c r="G4" s="250">
        <v>44579</v>
      </c>
      <c r="H4" s="263">
        <f>(G4-F4)/365</f>
        <v>6.0986301369863014</v>
      </c>
      <c r="I4" s="252">
        <v>5</v>
      </c>
      <c r="J4" s="253">
        <v>0.05</v>
      </c>
      <c r="K4" s="254">
        <f>(1-J4)/I4</f>
        <v>0.19</v>
      </c>
      <c r="L4" s="256">
        <v>786995.98475384328</v>
      </c>
      <c r="M4" s="256">
        <v>39349.799237692147</v>
      </c>
      <c r="N4" s="271">
        <f t="shared" ref="N4:N10" si="0">H4*K4*L4</f>
        <v>911923.51175833005</v>
      </c>
      <c r="O4" s="271">
        <f t="shared" ref="O4:O10" si="1">MAX(L4-N4,0)</f>
        <v>0</v>
      </c>
      <c r="P4" s="272">
        <v>0.1</v>
      </c>
      <c r="Q4" s="259">
        <f>IF(M4&lt;=0,0,IF(O4&lt;=J4*L4,J4*L4,O4*(1-P4)))</f>
        <v>39349.799237692168</v>
      </c>
    </row>
    <row r="5" spans="2:17">
      <c r="B5" s="249">
        <v>2</v>
      </c>
      <c r="C5" s="258" t="s">
        <v>194</v>
      </c>
      <c r="D5" s="270">
        <v>0</v>
      </c>
      <c r="E5" s="249" t="s">
        <v>381</v>
      </c>
      <c r="F5" s="250">
        <v>42600</v>
      </c>
      <c r="G5" s="262">
        <v>44579</v>
      </c>
      <c r="H5" s="263">
        <f t="shared" ref="H5:H9" si="2">(G5-F5)/365</f>
        <v>5.4219178082191783</v>
      </c>
      <c r="I5" s="252">
        <v>3</v>
      </c>
      <c r="J5" s="253">
        <v>0.05</v>
      </c>
      <c r="K5" s="254">
        <f t="shared" ref="K5:K9" si="3">(1-J5)/I5</f>
        <v>0.31666666666666665</v>
      </c>
      <c r="L5" s="256">
        <v>15669.86</v>
      </c>
      <c r="M5" s="256">
        <v>783.49300000000039</v>
      </c>
      <c r="N5" s="271">
        <f t="shared" si="0"/>
        <v>26904.219445662104</v>
      </c>
      <c r="O5" s="271">
        <f t="shared" si="1"/>
        <v>0</v>
      </c>
      <c r="P5" s="272">
        <v>0.1</v>
      </c>
      <c r="Q5" s="259">
        <f t="shared" ref="Q5:Q9" si="4">IF(M5&lt;=0,0,IF(O5&lt;=J5*L5,J5*L5,O5*(1-P5)))</f>
        <v>783.49300000000005</v>
      </c>
    </row>
    <row r="6" spans="2:17">
      <c r="B6" s="249">
        <v>3</v>
      </c>
      <c r="C6" s="258" t="s">
        <v>195</v>
      </c>
      <c r="D6" s="270">
        <v>0</v>
      </c>
      <c r="E6" s="249" t="s">
        <v>381</v>
      </c>
      <c r="F6" s="250">
        <v>42600</v>
      </c>
      <c r="G6" s="262">
        <v>44579</v>
      </c>
      <c r="H6" s="263">
        <f t="shared" si="2"/>
        <v>5.4219178082191783</v>
      </c>
      <c r="I6" s="252">
        <v>5</v>
      </c>
      <c r="J6" s="253">
        <v>0.05</v>
      </c>
      <c r="K6" s="254">
        <f t="shared" si="3"/>
        <v>0.19</v>
      </c>
      <c r="L6" s="256">
        <v>54175.17</v>
      </c>
      <c r="M6" s="256">
        <v>2708.7584999999963</v>
      </c>
      <c r="N6" s="271">
        <f t="shared" si="0"/>
        <v>55809.330607397256</v>
      </c>
      <c r="O6" s="271">
        <f t="shared" si="1"/>
        <v>0</v>
      </c>
      <c r="P6" s="272">
        <v>0.1</v>
      </c>
      <c r="Q6" s="259">
        <f t="shared" si="4"/>
        <v>2708.7584999999999</v>
      </c>
    </row>
    <row r="7" spans="2:17">
      <c r="B7" s="249">
        <v>4</v>
      </c>
      <c r="C7" s="258" t="s">
        <v>196</v>
      </c>
      <c r="D7" s="273"/>
      <c r="E7" s="273"/>
      <c r="F7" s="250">
        <v>42600</v>
      </c>
      <c r="G7" s="262">
        <v>44579</v>
      </c>
      <c r="H7" s="263">
        <f t="shared" si="2"/>
        <v>5.4219178082191783</v>
      </c>
      <c r="I7" s="252">
        <v>3</v>
      </c>
      <c r="J7" s="253">
        <v>0.05</v>
      </c>
      <c r="K7" s="254">
        <f t="shared" si="3"/>
        <v>0.31666666666666665</v>
      </c>
      <c r="L7" s="256">
        <v>5699.97</v>
      </c>
      <c r="M7" s="256">
        <v>284.99849999999969</v>
      </c>
      <c r="N7" s="271">
        <f t="shared" si="0"/>
        <v>9786.5101356164396</v>
      </c>
      <c r="O7" s="271">
        <f t="shared" si="1"/>
        <v>0</v>
      </c>
      <c r="P7" s="272">
        <v>0.1</v>
      </c>
      <c r="Q7" s="259">
        <f t="shared" si="4"/>
        <v>284.99850000000004</v>
      </c>
    </row>
    <row r="8" spans="2:17">
      <c r="B8" s="249">
        <v>5</v>
      </c>
      <c r="C8" s="258" t="s">
        <v>197</v>
      </c>
      <c r="D8" s="273"/>
      <c r="E8" s="273"/>
      <c r="F8" s="250">
        <v>42600</v>
      </c>
      <c r="G8" s="262">
        <v>44579</v>
      </c>
      <c r="H8" s="263">
        <f t="shared" si="2"/>
        <v>5.4219178082191783</v>
      </c>
      <c r="I8" s="252">
        <v>3</v>
      </c>
      <c r="J8" s="253">
        <v>0.05</v>
      </c>
      <c r="K8" s="254">
        <f t="shared" si="3"/>
        <v>0.31666666666666665</v>
      </c>
      <c r="L8" s="256">
        <v>11700</v>
      </c>
      <c r="M8" s="256">
        <v>585</v>
      </c>
      <c r="N8" s="271">
        <f t="shared" si="0"/>
        <v>20088.205479452055</v>
      </c>
      <c r="O8" s="271">
        <f t="shared" si="1"/>
        <v>0</v>
      </c>
      <c r="P8" s="272">
        <v>0.1</v>
      </c>
      <c r="Q8" s="259">
        <f t="shared" si="4"/>
        <v>585</v>
      </c>
    </row>
    <row r="9" spans="2:17">
      <c r="B9" s="249">
        <v>6</v>
      </c>
      <c r="C9" s="258" t="s">
        <v>281</v>
      </c>
      <c r="D9" s="273"/>
      <c r="E9" s="273"/>
      <c r="F9" s="250">
        <v>42931</v>
      </c>
      <c r="G9" s="262">
        <v>44579</v>
      </c>
      <c r="H9" s="263">
        <f t="shared" si="2"/>
        <v>4.515068493150685</v>
      </c>
      <c r="I9" s="252">
        <v>5</v>
      </c>
      <c r="J9" s="253">
        <v>0.05</v>
      </c>
      <c r="K9" s="254">
        <f t="shared" si="3"/>
        <v>0.19</v>
      </c>
      <c r="L9" s="256">
        <v>34000</v>
      </c>
      <c r="M9" s="256">
        <v>6761.8082191780813</v>
      </c>
      <c r="N9" s="271">
        <f t="shared" si="0"/>
        <v>29167.342465753427</v>
      </c>
      <c r="O9" s="271">
        <f t="shared" si="1"/>
        <v>4832.6575342465731</v>
      </c>
      <c r="P9" s="272">
        <v>0.1</v>
      </c>
      <c r="Q9" s="259">
        <f t="shared" si="4"/>
        <v>4349.3917808219157</v>
      </c>
    </row>
    <row r="10" spans="2:17">
      <c r="B10" s="249">
        <v>7</v>
      </c>
      <c r="C10" s="258" t="s">
        <v>282</v>
      </c>
      <c r="F10" s="250">
        <v>42931</v>
      </c>
      <c r="G10" s="262">
        <v>44579</v>
      </c>
      <c r="H10" s="263">
        <f>(G10-F10)/365</f>
        <v>4.515068493150685</v>
      </c>
      <c r="I10" s="268">
        <v>3</v>
      </c>
      <c r="J10" s="253">
        <v>0.05</v>
      </c>
      <c r="K10" s="254">
        <f>(1-J10)/I10</f>
        <v>0.31666666666666665</v>
      </c>
      <c r="L10" s="256">
        <v>48700</v>
      </c>
      <c r="M10" s="256">
        <v>9685.2958904109619</v>
      </c>
      <c r="N10" s="271">
        <f t="shared" si="0"/>
        <v>69629.881278538815</v>
      </c>
      <c r="O10" s="271">
        <f t="shared" si="1"/>
        <v>0</v>
      </c>
      <c r="P10" s="272">
        <v>0.1</v>
      </c>
      <c r="Q10" s="259">
        <f>IF(M10&lt;=0,0,IF(O10&lt;=J10*L10,J10*L10,O10*(1-P10)))</f>
        <v>2435</v>
      </c>
    </row>
    <row r="11" spans="2:17">
      <c r="L11" s="286">
        <f>SUM(L4:L10)</f>
        <v>956940.98475384328</v>
      </c>
      <c r="M11" s="286">
        <f>SUM(M4:M10)</f>
        <v>60159.153347281193</v>
      </c>
      <c r="Q11" s="285">
        <f>SUM(Q4:Q10)</f>
        <v>50496.441018514088</v>
      </c>
    </row>
  </sheetData>
  <mergeCells count="1">
    <mergeCell ref="B2:Q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4"/>
  <sheetViews>
    <sheetView workbookViewId="0">
      <selection activeCell="B3" sqref="B3:Q3"/>
    </sheetView>
  </sheetViews>
  <sheetFormatPr defaultRowHeight="15"/>
  <cols>
    <col min="2" max="2" width="9.28515625" bestFit="1" customWidth="1"/>
    <col min="3" max="3" width="51.5703125" customWidth="1"/>
    <col min="4" max="5" width="0" hidden="1" customWidth="1"/>
    <col min="6" max="6" width="13.140625" customWidth="1"/>
    <col min="7" max="7" width="13" customWidth="1"/>
    <col min="8" max="8" width="10.140625" customWidth="1"/>
    <col min="9" max="9" width="13" customWidth="1"/>
    <col min="10" max="10" width="9.28515625" bestFit="1" customWidth="1"/>
    <col min="11" max="11" width="14.140625" customWidth="1"/>
    <col min="12" max="13" width="13.85546875" customWidth="1"/>
    <col min="14" max="14" width="18" bestFit="1" customWidth="1"/>
    <col min="15" max="15" width="16.28515625" bestFit="1" customWidth="1"/>
    <col min="16" max="16" width="11" customWidth="1"/>
    <col min="17" max="17" width="11.85546875" bestFit="1" customWidth="1"/>
  </cols>
  <sheetData>
    <row r="3" spans="2:17" ht="15" customHeight="1">
      <c r="B3" s="296" t="s">
        <v>384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2:17" ht="60">
      <c r="B4" s="242" t="s">
        <v>366</v>
      </c>
      <c r="C4" s="242" t="s">
        <v>367</v>
      </c>
      <c r="D4" s="242" t="s">
        <v>368</v>
      </c>
      <c r="E4" s="242" t="s">
        <v>369</v>
      </c>
      <c r="F4" s="242" t="s">
        <v>370</v>
      </c>
      <c r="G4" s="242" t="s">
        <v>353</v>
      </c>
      <c r="H4" s="242" t="s">
        <v>371</v>
      </c>
      <c r="I4" s="242" t="s">
        <v>372</v>
      </c>
      <c r="J4" s="242" t="s">
        <v>373</v>
      </c>
      <c r="K4" s="242" t="s">
        <v>374</v>
      </c>
      <c r="L4" s="269" t="s">
        <v>375</v>
      </c>
      <c r="M4" s="269" t="s">
        <v>376</v>
      </c>
      <c r="N4" s="248" t="s">
        <v>377</v>
      </c>
      <c r="O4" s="248" t="s">
        <v>378</v>
      </c>
      <c r="P4" s="245" t="s">
        <v>379</v>
      </c>
      <c r="Q4" s="248" t="s">
        <v>380</v>
      </c>
    </row>
    <row r="5" spans="2:17">
      <c r="B5" s="249">
        <v>1</v>
      </c>
      <c r="C5" s="252" t="s">
        <v>187</v>
      </c>
      <c r="D5" s="270">
        <v>0</v>
      </c>
      <c r="E5" s="249" t="s">
        <v>381</v>
      </c>
      <c r="F5" s="250">
        <v>42353</v>
      </c>
      <c r="G5" s="250">
        <v>44579</v>
      </c>
      <c r="H5" s="263">
        <f>(G5-F5)/365</f>
        <v>6.0986301369863014</v>
      </c>
      <c r="I5" s="252">
        <v>5</v>
      </c>
      <c r="J5" s="253">
        <v>0.05</v>
      </c>
      <c r="K5" s="254">
        <f>(1-J5)/I5</f>
        <v>0.19</v>
      </c>
      <c r="L5" s="287">
        <v>1611167.26</v>
      </c>
      <c r="M5" s="287">
        <v>723414.09974000009</v>
      </c>
      <c r="N5" s="271">
        <f t="shared" ref="N5:N13" si="0">H5*K5*L5</f>
        <v>1866923.5094367124</v>
      </c>
      <c r="O5" s="271">
        <f t="shared" ref="O5:O13" si="1">MAX(L5-N5,0)</f>
        <v>0</v>
      </c>
      <c r="P5" s="272">
        <v>0.05</v>
      </c>
      <c r="Q5" s="259">
        <f>IF(M5&lt;=0,0,IF(O5&lt;=J5*L5,J5*L5,O5*(1-P5)))</f>
        <v>80558.363000000012</v>
      </c>
    </row>
    <row r="6" spans="2:17">
      <c r="B6" s="249">
        <v>2</v>
      </c>
      <c r="C6" s="252" t="s">
        <v>187</v>
      </c>
      <c r="D6" s="270">
        <v>0</v>
      </c>
      <c r="E6" s="249" t="s">
        <v>381</v>
      </c>
      <c r="F6" s="250">
        <v>42444</v>
      </c>
      <c r="G6" s="250">
        <v>44579</v>
      </c>
      <c r="H6" s="263">
        <f>(G6-F6)/365</f>
        <v>5.8493150684931505</v>
      </c>
      <c r="I6" s="252">
        <v>5</v>
      </c>
      <c r="J6" s="253">
        <v>0.05</v>
      </c>
      <c r="K6" s="254">
        <f>(1-J6)/I6</f>
        <v>0.19</v>
      </c>
      <c r="L6" s="287">
        <v>41043.279999999999</v>
      </c>
      <c r="M6" s="287">
        <v>19400.539995616436</v>
      </c>
      <c r="N6" s="271">
        <f t="shared" si="0"/>
        <v>45614.264471232869</v>
      </c>
      <c r="O6" s="271">
        <f t="shared" si="1"/>
        <v>0</v>
      </c>
      <c r="P6" s="272">
        <v>0.05</v>
      </c>
      <c r="Q6" s="259">
        <f>IF(M6&lt;=0,0,IF(O6&lt;=J6*L6,J6*L6,O6*(1-P6)))</f>
        <v>2052.1640000000002</v>
      </c>
    </row>
    <row r="7" spans="2:17">
      <c r="B7" s="274">
        <v>3</v>
      </c>
      <c r="C7" s="252" t="s">
        <v>187</v>
      </c>
      <c r="D7" s="273"/>
      <c r="E7" s="273"/>
      <c r="F7" s="250">
        <v>43115</v>
      </c>
      <c r="G7" s="250">
        <v>44579</v>
      </c>
      <c r="H7" s="263">
        <f t="shared" ref="H7:H13" si="2">(G7-F7)/365</f>
        <v>4.0109589041095894</v>
      </c>
      <c r="I7" s="252">
        <v>1</v>
      </c>
      <c r="J7" s="253">
        <v>0.05</v>
      </c>
      <c r="K7" s="254">
        <f t="shared" ref="K7:K13" si="3">(1-J7)/I7</f>
        <v>0.95</v>
      </c>
      <c r="L7" s="287">
        <v>72805</v>
      </c>
      <c r="M7" s="287">
        <v>47128.77089041096</v>
      </c>
      <c r="N7" s="271">
        <f t="shared" si="0"/>
        <v>277416.96986301371</v>
      </c>
      <c r="O7" s="271">
        <f t="shared" si="1"/>
        <v>0</v>
      </c>
      <c r="P7" s="272">
        <v>0.05</v>
      </c>
      <c r="Q7" s="259">
        <f t="shared" ref="Q7:Q13" si="4">IF(M7&lt;=0,0,IF(O7&lt;=J7*L7,J7*L7,O7*(1-P7)))</f>
        <v>3640.25</v>
      </c>
    </row>
    <row r="8" spans="2:17">
      <c r="B8" s="249">
        <v>4</v>
      </c>
      <c r="C8" s="252" t="s">
        <v>187</v>
      </c>
      <c r="D8" s="273"/>
      <c r="E8" s="273"/>
      <c r="F8" s="250">
        <v>43251</v>
      </c>
      <c r="G8" s="250">
        <v>44579</v>
      </c>
      <c r="H8" s="263">
        <f t="shared" si="2"/>
        <v>3.6383561643835618</v>
      </c>
      <c r="I8" s="252">
        <v>3</v>
      </c>
      <c r="J8" s="253">
        <v>0.05</v>
      </c>
      <c r="K8" s="254">
        <f t="shared" si="3"/>
        <v>0.31666666666666665</v>
      </c>
      <c r="L8" s="287">
        <v>15970</v>
      </c>
      <c r="M8" s="287">
        <v>10903.134657534247</v>
      </c>
      <c r="N8" s="271">
        <f t="shared" si="0"/>
        <v>18399.773515981735</v>
      </c>
      <c r="O8" s="271">
        <f t="shared" si="1"/>
        <v>0</v>
      </c>
      <c r="P8" s="272">
        <v>0.05</v>
      </c>
      <c r="Q8" s="259">
        <f t="shared" si="4"/>
        <v>798.5</v>
      </c>
    </row>
    <row r="9" spans="2:17">
      <c r="B9" s="249">
        <v>5</v>
      </c>
      <c r="C9" s="252" t="s">
        <v>187</v>
      </c>
      <c r="D9" s="273"/>
      <c r="E9" s="273"/>
      <c r="F9" s="250">
        <v>43343</v>
      </c>
      <c r="G9" s="250">
        <v>44579</v>
      </c>
      <c r="H9" s="263">
        <f t="shared" si="2"/>
        <v>3.3863013698630136</v>
      </c>
      <c r="I9" s="252">
        <v>5</v>
      </c>
      <c r="J9" s="253">
        <v>0.05</v>
      </c>
      <c r="K9" s="254">
        <f t="shared" si="3"/>
        <v>0.19</v>
      </c>
      <c r="L9" s="287">
        <v>18578.36</v>
      </c>
      <c r="M9" s="287">
        <v>13128.792566027398</v>
      </c>
      <c r="N9" s="271">
        <f t="shared" si="0"/>
        <v>11953.265924383562</v>
      </c>
      <c r="O9" s="271">
        <f t="shared" si="1"/>
        <v>6625.0940756164382</v>
      </c>
      <c r="P9" s="272">
        <v>0.05</v>
      </c>
      <c r="Q9" s="259">
        <f t="shared" si="4"/>
        <v>6293.8393718356156</v>
      </c>
    </row>
    <row r="10" spans="2:17">
      <c r="B10" s="275">
        <v>6</v>
      </c>
      <c r="C10" s="252" t="s">
        <v>187</v>
      </c>
      <c r="D10" s="276"/>
      <c r="E10" s="276"/>
      <c r="F10" s="250">
        <v>43496</v>
      </c>
      <c r="G10" s="277">
        <v>44579</v>
      </c>
      <c r="H10" s="278">
        <f t="shared" si="2"/>
        <v>2.967123287671233</v>
      </c>
      <c r="I10" s="279">
        <v>1</v>
      </c>
      <c r="J10" s="280">
        <v>0.05</v>
      </c>
      <c r="K10" s="281">
        <f t="shared" si="3"/>
        <v>0.95</v>
      </c>
      <c r="L10" s="288">
        <v>27680</v>
      </c>
      <c r="M10" s="288">
        <v>20662.930410958907</v>
      </c>
      <c r="N10" s="282">
        <f t="shared" si="0"/>
        <v>78023.473972602747</v>
      </c>
      <c r="O10" s="282">
        <f t="shared" si="1"/>
        <v>0</v>
      </c>
      <c r="P10" s="272">
        <v>0.05</v>
      </c>
      <c r="Q10" s="283">
        <f t="shared" si="4"/>
        <v>1384</v>
      </c>
    </row>
    <row r="11" spans="2:17">
      <c r="B11" s="275">
        <v>7</v>
      </c>
      <c r="C11" s="252" t="s">
        <v>188</v>
      </c>
      <c r="D11" s="252"/>
      <c r="E11" s="252"/>
      <c r="F11" s="250">
        <v>42353</v>
      </c>
      <c r="G11" s="250">
        <v>44579</v>
      </c>
      <c r="H11" s="263">
        <f t="shared" si="2"/>
        <v>6.0986301369863014</v>
      </c>
      <c r="I11" s="268">
        <v>3</v>
      </c>
      <c r="J11" s="264">
        <v>0.05</v>
      </c>
      <c r="K11" s="265">
        <f t="shared" si="3"/>
        <v>0.31666666666666665</v>
      </c>
      <c r="L11" s="287">
        <v>269610.63743628602</v>
      </c>
      <c r="M11" s="287">
        <v>121055.17620889243</v>
      </c>
      <c r="N11" s="271">
        <f t="shared" si="0"/>
        <v>520680.92692832334</v>
      </c>
      <c r="O11" s="271">
        <f t="shared" si="1"/>
        <v>0</v>
      </c>
      <c r="P11" s="272">
        <v>0.05</v>
      </c>
      <c r="Q11" s="266">
        <f t="shared" si="4"/>
        <v>13480.531871814303</v>
      </c>
    </row>
    <row r="12" spans="2:17">
      <c r="B12" s="275">
        <v>8</v>
      </c>
      <c r="C12" s="252" t="s">
        <v>188</v>
      </c>
      <c r="D12" s="252"/>
      <c r="E12" s="252"/>
      <c r="F12" s="250">
        <v>42444</v>
      </c>
      <c r="G12" s="250">
        <v>44579</v>
      </c>
      <c r="H12" s="263">
        <f t="shared" si="2"/>
        <v>5.8493150684931505</v>
      </c>
      <c r="I12" s="268">
        <v>3</v>
      </c>
      <c r="J12" s="264">
        <v>0.05</v>
      </c>
      <c r="K12" s="265">
        <f t="shared" si="3"/>
        <v>0.31666666666666665</v>
      </c>
      <c r="L12" s="287">
        <v>53247.68</v>
      </c>
      <c r="M12" s="287">
        <v>25169.375973698632</v>
      </c>
      <c r="N12" s="271">
        <f t="shared" si="0"/>
        <v>98629.778045662097</v>
      </c>
      <c r="O12" s="271">
        <f t="shared" si="1"/>
        <v>0</v>
      </c>
      <c r="P12" s="272">
        <v>0.05</v>
      </c>
      <c r="Q12" s="266">
        <f t="shared" si="4"/>
        <v>2662.384</v>
      </c>
    </row>
    <row r="13" spans="2:17">
      <c r="B13" s="274">
        <v>9</v>
      </c>
      <c r="C13" s="252" t="s">
        <v>188</v>
      </c>
      <c r="D13" s="252"/>
      <c r="E13" s="252"/>
      <c r="F13" s="250">
        <v>43054</v>
      </c>
      <c r="G13" s="250">
        <v>44579</v>
      </c>
      <c r="H13" s="263">
        <f t="shared" si="2"/>
        <v>4.1780821917808222</v>
      </c>
      <c r="I13" s="268">
        <v>3</v>
      </c>
      <c r="J13" s="264">
        <v>0.05</v>
      </c>
      <c r="K13" s="265">
        <f t="shared" si="3"/>
        <v>0.31666666666666665</v>
      </c>
      <c r="L13" s="287">
        <v>658904.35</v>
      </c>
      <c r="M13" s="287">
        <v>416066.50572054792</v>
      </c>
      <c r="N13" s="271">
        <f t="shared" si="0"/>
        <v>871769.56809360732</v>
      </c>
      <c r="O13" s="271">
        <f t="shared" si="1"/>
        <v>0</v>
      </c>
      <c r="P13" s="272">
        <v>0.05</v>
      </c>
      <c r="Q13" s="266">
        <f t="shared" si="4"/>
        <v>32945.217499999999</v>
      </c>
    </row>
    <row r="14" spans="2:17">
      <c r="L14" s="285">
        <f>SUM(L5:L13)</f>
        <v>2769006.5674362862</v>
      </c>
      <c r="M14" s="285">
        <f>SUM(M5:M13)</f>
        <v>1396929.326163687</v>
      </c>
      <c r="Q14" s="285">
        <f>SUM(Q5:Q13)</f>
        <v>143815.24974364991</v>
      </c>
    </row>
  </sheetData>
  <mergeCells count="1">
    <mergeCell ref="B3:Q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Z54"/>
  <sheetViews>
    <sheetView topLeftCell="Q31" zoomScale="90" zoomScaleNormal="90" workbookViewId="0">
      <selection activeCell="X53" sqref="X40:X53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6" width="9.28515625" style="68" customWidth="1"/>
    <col min="7" max="7" width="12.140625" style="68" customWidth="1"/>
    <col min="8" max="11" width="9.28515625" style="68" customWidth="1"/>
    <col min="12" max="12" width="9.28515625" style="68" bestFit="1" customWidth="1"/>
    <col min="13" max="13" width="12.140625" style="68" bestFit="1" customWidth="1"/>
    <col min="14" max="14" width="12.140625" style="68" customWidth="1"/>
    <col min="15" max="15" width="26.7109375" style="68" customWidth="1"/>
    <col min="16" max="16" width="24.42578125" style="68" bestFit="1" customWidth="1"/>
    <col min="17" max="17" width="20" style="68" bestFit="1" customWidth="1"/>
    <col min="18" max="18" width="15.85546875" style="68" customWidth="1"/>
    <col min="19" max="19" width="17.42578125" style="68" customWidth="1"/>
    <col min="20" max="20" width="23.42578125" style="68" bestFit="1" customWidth="1"/>
    <col min="21" max="21" width="15.85546875" style="68" customWidth="1"/>
    <col min="22" max="22" width="18.28515625" style="68" bestFit="1" customWidth="1"/>
    <col min="23" max="23" width="14.85546875" style="68" bestFit="1" customWidth="1"/>
    <col min="24" max="24" width="20.85546875" style="68" bestFit="1" customWidth="1"/>
    <col min="25" max="25" width="31.140625" style="68" bestFit="1" customWidth="1"/>
    <col min="26" max="26" width="11.5703125" style="68" bestFit="1" customWidth="1"/>
    <col min="27" max="16384" width="9.140625" style="68"/>
  </cols>
  <sheetData>
    <row r="1" spans="2:26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26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26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  <c r="N3" s="110"/>
    </row>
    <row r="4" spans="2:26">
      <c r="B4" s="112" t="s">
        <v>200</v>
      </c>
      <c r="C4" s="113" t="s">
        <v>15</v>
      </c>
      <c r="D4" s="114" t="s">
        <v>201</v>
      </c>
      <c r="E4" s="114"/>
      <c r="F4" s="114" t="s">
        <v>202</v>
      </c>
      <c r="G4" s="114"/>
      <c r="H4" s="114" t="s">
        <v>203</v>
      </c>
      <c r="I4" s="114"/>
      <c r="J4" s="114" t="s">
        <v>204</v>
      </c>
      <c r="K4" s="114"/>
      <c r="L4" s="114" t="s">
        <v>205</v>
      </c>
      <c r="M4" s="115"/>
      <c r="N4" s="141"/>
      <c r="Q4" s="83">
        <v>42353</v>
      </c>
      <c r="T4" s="126">
        <v>43830</v>
      </c>
      <c r="U4" s="126"/>
    </row>
    <row r="5" spans="2:26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42" t="s">
        <v>296</v>
      </c>
      <c r="O5" s="121" t="s">
        <v>255</v>
      </c>
      <c r="P5" s="68" t="s">
        <v>258</v>
      </c>
      <c r="Q5" s="68" t="s">
        <v>256</v>
      </c>
      <c r="R5" s="68" t="s">
        <v>259</v>
      </c>
      <c r="S5" s="68" t="s">
        <v>257</v>
      </c>
      <c r="T5" s="68" t="s">
        <v>256</v>
      </c>
      <c r="U5" s="68" t="s">
        <v>259</v>
      </c>
      <c r="V5" s="96" t="s">
        <v>21</v>
      </c>
      <c r="W5" s="96" t="s">
        <v>67</v>
      </c>
      <c r="X5" s="96" t="s">
        <v>66</v>
      </c>
      <c r="Y5" s="96" t="s">
        <v>150</v>
      </c>
    </row>
    <row r="6" spans="2:26" ht="13.5">
      <c r="B6" s="127" t="s">
        <v>261</v>
      </c>
      <c r="C6" s="127" t="s">
        <v>262</v>
      </c>
      <c r="D6" s="122">
        <v>0</v>
      </c>
      <c r="E6" s="122">
        <v>0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v>1</v>
      </c>
      <c r="M6" s="185">
        <v>6249.34</v>
      </c>
      <c r="N6" s="130"/>
      <c r="O6" s="123">
        <v>25</v>
      </c>
      <c r="P6" s="129">
        <v>42726</v>
      </c>
      <c r="Q6" s="128">
        <f>P6-$Q$4+1</f>
        <v>374</v>
      </c>
      <c r="R6" s="128">
        <f>Q6/365</f>
        <v>1.0246575342465754</v>
      </c>
      <c r="S6" s="128">
        <f>O6-R6</f>
        <v>23.975342465753425</v>
      </c>
      <c r="T6" s="128">
        <f>$T$4-P6+1</f>
        <v>1105</v>
      </c>
      <c r="U6" s="128">
        <f>T6/365</f>
        <v>3.0273972602739727</v>
      </c>
      <c r="V6" s="128">
        <f>+M6*5%</f>
        <v>312.46700000000004</v>
      </c>
      <c r="W6" s="128">
        <f>+M6-V6</f>
        <v>5936.8730000000005</v>
      </c>
      <c r="X6" s="128">
        <f>U6/S6*W6</f>
        <v>749.65657239172674</v>
      </c>
      <c r="Y6" s="128">
        <f>+M6-X6</f>
        <v>5499.6834276082736</v>
      </c>
    </row>
    <row r="7" spans="2:26" ht="13.5">
      <c r="B7" s="127" t="s">
        <v>263</v>
      </c>
      <c r="C7" s="127" t="s">
        <v>264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1</v>
      </c>
      <c r="M7" s="130">
        <v>4220.8999999999996</v>
      </c>
      <c r="N7" s="130"/>
      <c r="O7" s="128">
        <v>25</v>
      </c>
      <c r="P7" s="129">
        <v>42726</v>
      </c>
      <c r="Q7" s="128">
        <f t="shared" ref="Q7:Q33" si="0">P7-$Q$4+1</f>
        <v>374</v>
      </c>
      <c r="R7" s="128">
        <f t="shared" ref="R7:R33" si="1">Q7/365</f>
        <v>1.0246575342465754</v>
      </c>
      <c r="S7" s="128">
        <f t="shared" ref="S7:S33" si="2">O7-R7</f>
        <v>23.975342465753425</v>
      </c>
      <c r="T7" s="128">
        <f t="shared" ref="T7:T33" si="3">$T$4-P7+1</f>
        <v>1105</v>
      </c>
      <c r="U7" s="128">
        <f t="shared" ref="U7:U33" si="4">T7/365</f>
        <v>3.0273972602739727</v>
      </c>
      <c r="V7" s="128">
        <f t="shared" ref="V7:V33" si="5">+M7*5%</f>
        <v>211.04499999999999</v>
      </c>
      <c r="W7" s="128">
        <f t="shared" ref="W7:W33" si="6">+M7-V7</f>
        <v>4009.8549999999996</v>
      </c>
      <c r="X7" s="128">
        <f t="shared" ref="X7:X33" si="7">U7/S7*W7</f>
        <v>506.32953662438575</v>
      </c>
      <c r="Y7" s="128">
        <f t="shared" ref="Y7:Y33" si="8">+M7-X7</f>
        <v>3714.5704633756141</v>
      </c>
    </row>
    <row r="8" spans="2:26" ht="13.5">
      <c r="B8" s="127" t="s">
        <v>265</v>
      </c>
      <c r="C8" s="127" t="s">
        <v>266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1</v>
      </c>
      <c r="M8" s="130">
        <v>27479.59</v>
      </c>
      <c r="N8" s="130"/>
      <c r="O8" s="128">
        <v>25</v>
      </c>
      <c r="P8" s="129">
        <v>42726</v>
      </c>
      <c r="Q8" s="128">
        <f t="shared" si="0"/>
        <v>374</v>
      </c>
      <c r="R8" s="128">
        <f t="shared" si="1"/>
        <v>1.0246575342465754</v>
      </c>
      <c r="S8" s="128">
        <f t="shared" si="2"/>
        <v>23.975342465753425</v>
      </c>
      <c r="T8" s="128">
        <f t="shared" si="3"/>
        <v>1105</v>
      </c>
      <c r="U8" s="128">
        <f t="shared" si="4"/>
        <v>3.0273972602739727</v>
      </c>
      <c r="V8" s="128">
        <f t="shared" si="5"/>
        <v>1373.9795000000001</v>
      </c>
      <c r="W8" s="128">
        <f t="shared" si="6"/>
        <v>26105.610499999999</v>
      </c>
      <c r="X8" s="128">
        <f t="shared" si="7"/>
        <v>3296.3889386927208</v>
      </c>
      <c r="Y8" s="128">
        <f t="shared" si="8"/>
        <v>24183.201061307278</v>
      </c>
    </row>
    <row r="9" spans="2:26" ht="13.5">
      <c r="B9" s="127" t="s">
        <v>267</v>
      </c>
      <c r="C9" s="127" t="s">
        <v>268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1</v>
      </c>
      <c r="M9" s="130">
        <v>272728.26</v>
      </c>
      <c r="N9" s="130"/>
      <c r="O9" s="128">
        <v>25</v>
      </c>
      <c r="P9" s="129">
        <v>42726</v>
      </c>
      <c r="Q9" s="128">
        <f t="shared" si="0"/>
        <v>374</v>
      </c>
      <c r="R9" s="128">
        <f t="shared" si="1"/>
        <v>1.0246575342465754</v>
      </c>
      <c r="S9" s="128">
        <f t="shared" si="2"/>
        <v>23.975342465753425</v>
      </c>
      <c r="T9" s="128">
        <f t="shared" si="3"/>
        <v>1105</v>
      </c>
      <c r="U9" s="128">
        <f t="shared" si="4"/>
        <v>3.0273972602739727</v>
      </c>
      <c r="V9" s="128">
        <f t="shared" si="5"/>
        <v>13636.413</v>
      </c>
      <c r="W9" s="128">
        <f t="shared" si="6"/>
        <v>259091.84700000001</v>
      </c>
      <c r="X9" s="128">
        <f t="shared" si="7"/>
        <v>32715.860008570453</v>
      </c>
      <c r="Y9" s="128">
        <f t="shared" si="8"/>
        <v>240012.39999142956</v>
      </c>
      <c r="Z9" s="131"/>
    </row>
    <row r="10" spans="2:26" ht="13.5">
      <c r="B10" s="127" t="s">
        <v>269</v>
      </c>
      <c r="C10" s="127" t="s">
        <v>270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1</v>
      </c>
      <c r="M10" s="185">
        <v>213505.93</v>
      </c>
      <c r="N10" s="130"/>
      <c r="O10" s="128">
        <v>25</v>
      </c>
      <c r="P10" s="129">
        <v>42726</v>
      </c>
      <c r="Q10" s="128">
        <f>P10-$Q$4+1</f>
        <v>374</v>
      </c>
      <c r="R10" s="128">
        <f t="shared" si="1"/>
        <v>1.0246575342465754</v>
      </c>
      <c r="S10" s="128">
        <f t="shared" si="2"/>
        <v>23.975342465753425</v>
      </c>
      <c r="T10" s="128">
        <f t="shared" si="3"/>
        <v>1105</v>
      </c>
      <c r="U10" s="128">
        <f t="shared" si="4"/>
        <v>3.0273972602739727</v>
      </c>
      <c r="V10" s="128">
        <f t="shared" si="5"/>
        <v>10675.2965</v>
      </c>
      <c r="W10" s="128">
        <f t="shared" si="6"/>
        <v>202830.6335</v>
      </c>
      <c r="X10" s="128">
        <f t="shared" si="7"/>
        <v>25611.684380927894</v>
      </c>
      <c r="Y10" s="128">
        <f t="shared" si="8"/>
        <v>187894.24561907211</v>
      </c>
    </row>
    <row r="11" spans="2:26" ht="13.5">
      <c r="B11" s="127" t="s">
        <v>271</v>
      </c>
      <c r="C11" s="127" t="s">
        <v>272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1</v>
      </c>
      <c r="M11" s="130">
        <v>171957.58</v>
      </c>
      <c r="N11" s="130"/>
      <c r="O11" s="128">
        <v>25</v>
      </c>
      <c r="P11" s="129">
        <v>42726</v>
      </c>
      <c r="Q11" s="128">
        <f t="shared" si="0"/>
        <v>374</v>
      </c>
      <c r="R11" s="128">
        <f t="shared" si="1"/>
        <v>1.0246575342465754</v>
      </c>
      <c r="S11" s="128">
        <f t="shared" si="2"/>
        <v>23.975342465753425</v>
      </c>
      <c r="T11" s="128">
        <f t="shared" si="3"/>
        <v>1105</v>
      </c>
      <c r="U11" s="128">
        <f t="shared" si="4"/>
        <v>3.0273972602739727</v>
      </c>
      <c r="V11" s="128">
        <f t="shared" si="5"/>
        <v>8597.878999999999</v>
      </c>
      <c r="W11" s="128">
        <f t="shared" si="6"/>
        <v>163359.701</v>
      </c>
      <c r="X11" s="128">
        <f t="shared" si="7"/>
        <v>20627.639081819223</v>
      </c>
      <c r="Y11" s="128">
        <f t="shared" si="8"/>
        <v>151329.94091818077</v>
      </c>
    </row>
    <row r="12" spans="2:26" ht="13.5">
      <c r="B12" s="127" t="s">
        <v>273</v>
      </c>
      <c r="C12" s="127" t="s">
        <v>274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1</v>
      </c>
      <c r="M12" s="130">
        <v>492069.99</v>
      </c>
      <c r="N12" s="130"/>
      <c r="O12" s="128">
        <v>25</v>
      </c>
      <c r="P12" s="129">
        <v>42726</v>
      </c>
      <c r="Q12" s="128">
        <f t="shared" si="0"/>
        <v>374</v>
      </c>
      <c r="R12" s="128">
        <f t="shared" si="1"/>
        <v>1.0246575342465754</v>
      </c>
      <c r="S12" s="128">
        <f t="shared" si="2"/>
        <v>23.975342465753425</v>
      </c>
      <c r="T12" s="128">
        <f t="shared" si="3"/>
        <v>1105</v>
      </c>
      <c r="U12" s="128">
        <f t="shared" si="4"/>
        <v>3.0273972602739727</v>
      </c>
      <c r="V12" s="128">
        <f t="shared" si="5"/>
        <v>24603.499500000002</v>
      </c>
      <c r="W12" s="128">
        <f t="shared" si="6"/>
        <v>467466.49050000001</v>
      </c>
      <c r="X12" s="128">
        <f t="shared" si="7"/>
        <v>59027.593646726091</v>
      </c>
      <c r="Y12" s="128">
        <f t="shared" si="8"/>
        <v>433042.39635327389</v>
      </c>
    </row>
    <row r="13" spans="2:26">
      <c r="B13" s="127" t="s">
        <v>210</v>
      </c>
      <c r="C13" s="127" t="s">
        <v>211</v>
      </c>
      <c r="D13" s="122">
        <v>0</v>
      </c>
      <c r="E13" s="122">
        <v>0</v>
      </c>
      <c r="F13" s="122">
        <v>1</v>
      </c>
      <c r="G13" s="122">
        <v>566057.73</v>
      </c>
      <c r="H13" s="122">
        <v>0</v>
      </c>
      <c r="I13" s="122">
        <v>0</v>
      </c>
      <c r="J13" s="122">
        <v>0</v>
      </c>
      <c r="K13" s="122">
        <v>0</v>
      </c>
      <c r="L13" s="122">
        <f t="shared" ref="L13:M33" si="9">+D13+F13-H13-J13</f>
        <v>1</v>
      </c>
      <c r="M13" s="122">
        <f t="shared" si="9"/>
        <v>566057.73</v>
      </c>
      <c r="N13" s="122"/>
      <c r="O13" s="128">
        <v>25</v>
      </c>
      <c r="P13" s="129">
        <v>42635</v>
      </c>
      <c r="Q13" s="128">
        <f t="shared" si="0"/>
        <v>283</v>
      </c>
      <c r="R13" s="128">
        <f t="shared" si="1"/>
        <v>0.77534246575342469</v>
      </c>
      <c r="S13" s="128">
        <f t="shared" si="2"/>
        <v>24.224657534246575</v>
      </c>
      <c r="T13" s="128">
        <f t="shared" si="3"/>
        <v>1196</v>
      </c>
      <c r="U13" s="128">
        <f t="shared" si="4"/>
        <v>3.2767123287671232</v>
      </c>
      <c r="V13" s="128">
        <f t="shared" si="5"/>
        <v>28302.886500000001</v>
      </c>
      <c r="W13" s="128">
        <f t="shared" si="6"/>
        <v>537754.84349999996</v>
      </c>
      <c r="X13" s="128">
        <f t="shared" si="7"/>
        <v>72738.610362587642</v>
      </c>
      <c r="Y13" s="128">
        <f t="shared" si="8"/>
        <v>493319.11963741237</v>
      </c>
    </row>
    <row r="14" spans="2:26">
      <c r="B14" s="127" t="s">
        <v>212</v>
      </c>
      <c r="C14" s="127" t="s">
        <v>213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f t="shared" si="9"/>
        <v>0</v>
      </c>
      <c r="M14" s="122">
        <f t="shared" si="9"/>
        <v>0</v>
      </c>
      <c r="N14" s="122"/>
      <c r="O14" s="128">
        <v>25</v>
      </c>
      <c r="P14" s="129">
        <v>42635</v>
      </c>
      <c r="Q14" s="128">
        <f t="shared" si="0"/>
        <v>283</v>
      </c>
      <c r="R14" s="128">
        <f t="shared" si="1"/>
        <v>0.77534246575342469</v>
      </c>
      <c r="S14" s="128">
        <f t="shared" si="2"/>
        <v>24.224657534246575</v>
      </c>
      <c r="T14" s="128">
        <f t="shared" si="3"/>
        <v>1196</v>
      </c>
      <c r="U14" s="128">
        <f t="shared" si="4"/>
        <v>3.2767123287671232</v>
      </c>
      <c r="V14" s="128">
        <f t="shared" si="5"/>
        <v>0</v>
      </c>
      <c r="W14" s="128">
        <f t="shared" si="6"/>
        <v>0</v>
      </c>
      <c r="X14" s="128">
        <f t="shared" si="7"/>
        <v>0</v>
      </c>
      <c r="Y14" s="128">
        <f t="shared" si="8"/>
        <v>0</v>
      </c>
    </row>
    <row r="15" spans="2:26">
      <c r="B15" s="127" t="s">
        <v>214</v>
      </c>
      <c r="C15" s="127" t="s">
        <v>215</v>
      </c>
      <c r="D15" s="122">
        <v>0</v>
      </c>
      <c r="E15" s="122">
        <v>0</v>
      </c>
      <c r="F15" s="122">
        <v>2</v>
      </c>
      <c r="G15" s="122">
        <v>111057.41</v>
      </c>
      <c r="H15" s="122">
        <v>0</v>
      </c>
      <c r="I15" s="122">
        <v>0</v>
      </c>
      <c r="J15" s="122">
        <v>0</v>
      </c>
      <c r="K15" s="122">
        <v>0</v>
      </c>
      <c r="L15" s="122">
        <f t="shared" si="9"/>
        <v>2</v>
      </c>
      <c r="M15" s="122">
        <f t="shared" si="9"/>
        <v>111057.41</v>
      </c>
      <c r="N15" s="122"/>
      <c r="O15" s="128">
        <v>25</v>
      </c>
      <c r="P15" s="129">
        <v>42635</v>
      </c>
      <c r="Q15" s="128">
        <f t="shared" si="0"/>
        <v>283</v>
      </c>
      <c r="R15" s="128">
        <f t="shared" si="1"/>
        <v>0.77534246575342469</v>
      </c>
      <c r="S15" s="128">
        <f t="shared" si="2"/>
        <v>24.224657534246575</v>
      </c>
      <c r="T15" s="128">
        <f t="shared" si="3"/>
        <v>1196</v>
      </c>
      <c r="U15" s="128">
        <f t="shared" si="4"/>
        <v>3.2767123287671232</v>
      </c>
      <c r="V15" s="128">
        <f t="shared" si="5"/>
        <v>5552.8705000000009</v>
      </c>
      <c r="W15" s="128">
        <f t="shared" si="6"/>
        <v>105504.5395</v>
      </c>
      <c r="X15" s="128">
        <f>U15/S15*W15</f>
        <v>14270.914865641256</v>
      </c>
      <c r="Y15" s="128">
        <f t="shared" si="8"/>
        <v>96786.495134358745</v>
      </c>
    </row>
    <row r="16" spans="2:26">
      <c r="B16" s="127" t="s">
        <v>216</v>
      </c>
      <c r="C16" s="127" t="s">
        <v>217</v>
      </c>
      <c r="D16" s="122">
        <v>0</v>
      </c>
      <c r="E16" s="122">
        <v>0</v>
      </c>
      <c r="F16" s="122">
        <v>2</v>
      </c>
      <c r="G16" s="122">
        <v>8783.1299999999992</v>
      </c>
      <c r="H16" s="122">
        <v>0</v>
      </c>
      <c r="I16" s="122">
        <v>0</v>
      </c>
      <c r="J16" s="122">
        <v>0</v>
      </c>
      <c r="K16" s="122">
        <v>0</v>
      </c>
      <c r="L16" s="122">
        <f t="shared" si="9"/>
        <v>2</v>
      </c>
      <c r="M16" s="122">
        <f t="shared" si="9"/>
        <v>8783.1299999999992</v>
      </c>
      <c r="N16" s="122"/>
      <c r="O16" s="128">
        <v>25</v>
      </c>
      <c r="P16" s="129">
        <v>42635</v>
      </c>
      <c r="Q16" s="128">
        <f t="shared" si="0"/>
        <v>283</v>
      </c>
      <c r="R16" s="128">
        <f t="shared" si="1"/>
        <v>0.77534246575342469</v>
      </c>
      <c r="S16" s="128">
        <f t="shared" si="2"/>
        <v>24.224657534246575</v>
      </c>
      <c r="T16" s="128">
        <f t="shared" si="3"/>
        <v>1196</v>
      </c>
      <c r="U16" s="128">
        <f t="shared" si="4"/>
        <v>3.2767123287671232</v>
      </c>
      <c r="V16" s="128">
        <f t="shared" si="5"/>
        <v>439.15649999999999</v>
      </c>
      <c r="W16" s="128">
        <f t="shared" si="6"/>
        <v>8343.9735000000001</v>
      </c>
      <c r="X16" s="128">
        <f t="shared" si="7"/>
        <v>1128.6351850260121</v>
      </c>
      <c r="Y16" s="128">
        <f t="shared" si="8"/>
        <v>7654.4948149739866</v>
      </c>
    </row>
    <row r="17" spans="2:25">
      <c r="B17" s="127" t="s">
        <v>218</v>
      </c>
      <c r="C17" s="127" t="s">
        <v>219</v>
      </c>
      <c r="D17" s="122">
        <v>0</v>
      </c>
      <c r="E17" s="122">
        <v>0</v>
      </c>
      <c r="F17" s="122">
        <v>1</v>
      </c>
      <c r="G17" s="122">
        <v>3331.53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9"/>
        <v>1</v>
      </c>
      <c r="M17" s="122">
        <f t="shared" si="9"/>
        <v>3331.53</v>
      </c>
      <c r="N17" s="122"/>
      <c r="O17" s="128">
        <v>25</v>
      </c>
      <c r="P17" s="129">
        <v>42635</v>
      </c>
      <c r="Q17" s="128">
        <f t="shared" si="0"/>
        <v>283</v>
      </c>
      <c r="R17" s="128">
        <f>Q17/365</f>
        <v>0.77534246575342469</v>
      </c>
      <c r="S17" s="128">
        <f t="shared" si="2"/>
        <v>24.224657534246575</v>
      </c>
      <c r="T17" s="128">
        <f t="shared" si="3"/>
        <v>1196</v>
      </c>
      <c r="U17" s="128">
        <f t="shared" si="4"/>
        <v>3.2767123287671232</v>
      </c>
      <c r="V17" s="128">
        <f t="shared" si="5"/>
        <v>166.57650000000001</v>
      </c>
      <c r="W17" s="128">
        <f t="shared" si="6"/>
        <v>3164.9535000000001</v>
      </c>
      <c r="X17" s="128">
        <f t="shared" si="7"/>
        <v>428.10273535399227</v>
      </c>
      <c r="Y17" s="128">
        <f t="shared" si="8"/>
        <v>2903.4272646460081</v>
      </c>
    </row>
    <row r="18" spans="2:25">
      <c r="B18" s="127" t="s">
        <v>220</v>
      </c>
      <c r="C18" s="127" t="s">
        <v>221</v>
      </c>
      <c r="D18" s="122">
        <v>0</v>
      </c>
      <c r="E18" s="122">
        <v>0</v>
      </c>
      <c r="F18" s="122">
        <v>14</v>
      </c>
      <c r="G18" s="122">
        <v>39618.75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9"/>
        <v>14</v>
      </c>
      <c r="M18" s="122">
        <f t="shared" si="9"/>
        <v>39618.75</v>
      </c>
      <c r="N18" s="122"/>
      <c r="O18" s="128">
        <v>25</v>
      </c>
      <c r="P18" s="129">
        <v>42635</v>
      </c>
      <c r="Q18" s="128">
        <f t="shared" si="0"/>
        <v>283</v>
      </c>
      <c r="R18" s="128">
        <f t="shared" si="1"/>
        <v>0.77534246575342469</v>
      </c>
      <c r="S18" s="128">
        <f t="shared" si="2"/>
        <v>24.224657534246575</v>
      </c>
      <c r="T18" s="128">
        <f t="shared" si="3"/>
        <v>1196</v>
      </c>
      <c r="U18" s="128">
        <f t="shared" si="4"/>
        <v>3.2767123287671232</v>
      </c>
      <c r="V18" s="128">
        <f t="shared" si="5"/>
        <v>1980.9375</v>
      </c>
      <c r="W18" s="128">
        <f t="shared" si="6"/>
        <v>37637.8125</v>
      </c>
      <c r="X18" s="128">
        <f t="shared" si="7"/>
        <v>5091.0228172359193</v>
      </c>
      <c r="Y18" s="128">
        <f t="shared" si="8"/>
        <v>34527.72718276408</v>
      </c>
    </row>
    <row r="19" spans="2:25">
      <c r="B19" s="127" t="s">
        <v>222</v>
      </c>
      <c r="C19" s="127" t="s">
        <v>223</v>
      </c>
      <c r="D19" s="122">
        <v>0</v>
      </c>
      <c r="E19" s="122">
        <v>0</v>
      </c>
      <c r="F19" s="122">
        <v>14</v>
      </c>
      <c r="G19" s="122">
        <v>60156.88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9"/>
        <v>14</v>
      </c>
      <c r="M19" s="122">
        <f t="shared" si="9"/>
        <v>60156.88</v>
      </c>
      <c r="N19" s="122"/>
      <c r="O19" s="128">
        <v>25</v>
      </c>
      <c r="P19" s="129">
        <v>42635</v>
      </c>
      <c r="Q19" s="128">
        <f t="shared" si="0"/>
        <v>283</v>
      </c>
      <c r="R19" s="128">
        <f t="shared" si="1"/>
        <v>0.77534246575342469</v>
      </c>
      <c r="S19" s="128">
        <f t="shared" si="2"/>
        <v>24.224657534246575</v>
      </c>
      <c r="T19" s="128">
        <f t="shared" si="3"/>
        <v>1196</v>
      </c>
      <c r="U19" s="128">
        <f t="shared" si="4"/>
        <v>3.2767123287671232</v>
      </c>
      <c r="V19" s="128">
        <f t="shared" si="5"/>
        <v>3007.8440000000001</v>
      </c>
      <c r="W19" s="128">
        <f t="shared" si="6"/>
        <v>57149.036</v>
      </c>
      <c r="X19" s="128">
        <f t="shared" si="7"/>
        <v>7730.1794906129826</v>
      </c>
      <c r="Y19" s="128">
        <f t="shared" si="8"/>
        <v>52426.700509387018</v>
      </c>
    </row>
    <row r="20" spans="2:25">
      <c r="B20" s="127" t="s">
        <v>224</v>
      </c>
      <c r="C20" s="127" t="s">
        <v>225</v>
      </c>
      <c r="D20" s="122">
        <v>0</v>
      </c>
      <c r="E20" s="122">
        <v>0</v>
      </c>
      <c r="F20" s="122">
        <v>1</v>
      </c>
      <c r="G20" s="122">
        <v>302.87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9"/>
        <v>1</v>
      </c>
      <c r="M20" s="122">
        <f t="shared" si="9"/>
        <v>302.87</v>
      </c>
      <c r="N20" s="122"/>
      <c r="O20" s="128">
        <v>25</v>
      </c>
      <c r="P20" s="129">
        <v>42635</v>
      </c>
      <c r="Q20" s="128">
        <f t="shared" si="0"/>
        <v>283</v>
      </c>
      <c r="R20" s="128">
        <f t="shared" si="1"/>
        <v>0.77534246575342469</v>
      </c>
      <c r="S20" s="128">
        <f t="shared" si="2"/>
        <v>24.224657534246575</v>
      </c>
      <c r="T20" s="128">
        <f t="shared" si="3"/>
        <v>1196</v>
      </c>
      <c r="U20" s="128">
        <f t="shared" si="4"/>
        <v>3.2767123287671232</v>
      </c>
      <c r="V20" s="128">
        <f t="shared" si="5"/>
        <v>15.143500000000001</v>
      </c>
      <c r="W20" s="128">
        <f t="shared" si="6"/>
        <v>287.72649999999999</v>
      </c>
      <c r="X20" s="128">
        <f t="shared" si="7"/>
        <v>38.918897760687621</v>
      </c>
      <c r="Y20" s="128">
        <f t="shared" si="8"/>
        <v>263.95110223931238</v>
      </c>
    </row>
    <row r="21" spans="2:25">
      <c r="B21" s="127" t="s">
        <v>226</v>
      </c>
      <c r="C21" s="127" t="s">
        <v>227</v>
      </c>
      <c r="D21" s="122">
        <v>0</v>
      </c>
      <c r="E21" s="122">
        <v>0</v>
      </c>
      <c r="F21" s="122">
        <v>1</v>
      </c>
      <c r="G21" s="122">
        <v>2981.34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9"/>
        <v>1</v>
      </c>
      <c r="M21" s="122">
        <f t="shared" si="9"/>
        <v>2981.34</v>
      </c>
      <c r="N21" s="122"/>
      <c r="O21" s="128">
        <v>25</v>
      </c>
      <c r="P21" s="129">
        <v>42635</v>
      </c>
      <c r="Q21" s="128">
        <f t="shared" si="0"/>
        <v>283</v>
      </c>
      <c r="R21" s="128">
        <f t="shared" si="1"/>
        <v>0.77534246575342469</v>
      </c>
      <c r="S21" s="128">
        <f t="shared" si="2"/>
        <v>24.224657534246575</v>
      </c>
      <c r="T21" s="128">
        <f t="shared" si="3"/>
        <v>1196</v>
      </c>
      <c r="U21" s="128">
        <f t="shared" si="4"/>
        <v>3.2767123287671232</v>
      </c>
      <c r="V21" s="128">
        <f t="shared" si="5"/>
        <v>149.06700000000001</v>
      </c>
      <c r="W21" s="128">
        <f t="shared" si="6"/>
        <v>2832.2730000000001</v>
      </c>
      <c r="X21" s="128">
        <f t="shared" si="7"/>
        <v>383.10320153811352</v>
      </c>
      <c r="Y21" s="128">
        <f t="shared" si="8"/>
        <v>2598.2367984618868</v>
      </c>
    </row>
    <row r="22" spans="2:25">
      <c r="B22" s="127" t="s">
        <v>228</v>
      </c>
      <c r="C22" s="127" t="s">
        <v>229</v>
      </c>
      <c r="D22" s="122">
        <v>0</v>
      </c>
      <c r="E22" s="122">
        <v>0</v>
      </c>
      <c r="F22" s="122">
        <v>1</v>
      </c>
      <c r="G22" s="122">
        <v>20140.63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9"/>
        <v>1</v>
      </c>
      <c r="M22" s="122">
        <f t="shared" si="9"/>
        <v>20140.63</v>
      </c>
      <c r="N22" s="122"/>
      <c r="O22" s="128">
        <v>25</v>
      </c>
      <c r="P22" s="129">
        <v>42635</v>
      </c>
      <c r="Q22" s="128">
        <f t="shared" si="0"/>
        <v>283</v>
      </c>
      <c r="R22" s="128">
        <f t="shared" si="1"/>
        <v>0.77534246575342469</v>
      </c>
      <c r="S22" s="128">
        <f t="shared" si="2"/>
        <v>24.224657534246575</v>
      </c>
      <c r="T22" s="128">
        <f t="shared" si="3"/>
        <v>1196</v>
      </c>
      <c r="U22" s="128">
        <f t="shared" si="4"/>
        <v>3.2767123287671232</v>
      </c>
      <c r="V22" s="128">
        <f t="shared" si="5"/>
        <v>1007.0315000000001</v>
      </c>
      <c r="W22" s="128">
        <f t="shared" si="6"/>
        <v>19133.5985</v>
      </c>
      <c r="X22" s="128">
        <f t="shared" si="7"/>
        <v>2588.0777885093867</v>
      </c>
      <c r="Y22" s="128">
        <f t="shared" si="8"/>
        <v>17552.552211490613</v>
      </c>
    </row>
    <row r="23" spans="2:25">
      <c r="B23" s="127" t="s">
        <v>230</v>
      </c>
      <c r="C23" s="127" t="s">
        <v>231</v>
      </c>
      <c r="D23" s="122">
        <v>0</v>
      </c>
      <c r="E23" s="122">
        <v>0</v>
      </c>
      <c r="F23" s="122">
        <v>1</v>
      </c>
      <c r="G23" s="122">
        <v>7278.26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9"/>
        <v>1</v>
      </c>
      <c r="M23" s="122">
        <f t="shared" si="9"/>
        <v>7278.26</v>
      </c>
      <c r="N23" s="122"/>
      <c r="O23" s="128">
        <v>25</v>
      </c>
      <c r="P23" s="129">
        <v>42635</v>
      </c>
      <c r="Q23" s="128">
        <f t="shared" si="0"/>
        <v>283</v>
      </c>
      <c r="R23" s="128">
        <f t="shared" si="1"/>
        <v>0.77534246575342469</v>
      </c>
      <c r="S23" s="128">
        <f t="shared" si="2"/>
        <v>24.224657534246575</v>
      </c>
      <c r="T23" s="128">
        <f t="shared" si="3"/>
        <v>1196</v>
      </c>
      <c r="U23" s="128">
        <f t="shared" si="4"/>
        <v>3.2767123287671232</v>
      </c>
      <c r="V23" s="128">
        <f t="shared" si="5"/>
        <v>363.91300000000001</v>
      </c>
      <c r="W23" s="128">
        <f t="shared" si="6"/>
        <v>6914.3469999999998</v>
      </c>
      <c r="X23" s="128">
        <f t="shared" si="7"/>
        <v>935.25887943904081</v>
      </c>
      <c r="Y23" s="128">
        <f t="shared" si="8"/>
        <v>6343.001120560959</v>
      </c>
    </row>
    <row r="24" spans="2:25">
      <c r="B24" s="127" t="s">
        <v>232</v>
      </c>
      <c r="C24" s="127" t="s">
        <v>233</v>
      </c>
      <c r="D24" s="122">
        <v>0</v>
      </c>
      <c r="E24" s="122">
        <v>0</v>
      </c>
      <c r="F24" s="122">
        <v>1</v>
      </c>
      <c r="G24" s="122">
        <v>3814.23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9"/>
        <v>1</v>
      </c>
      <c r="M24" s="122">
        <f t="shared" si="9"/>
        <v>3814.23</v>
      </c>
      <c r="N24" s="122"/>
      <c r="O24" s="128">
        <v>25</v>
      </c>
      <c r="P24" s="129">
        <v>42635</v>
      </c>
      <c r="Q24" s="128">
        <f t="shared" si="0"/>
        <v>283</v>
      </c>
      <c r="R24" s="128">
        <f t="shared" si="1"/>
        <v>0.77534246575342469</v>
      </c>
      <c r="S24" s="128">
        <f t="shared" si="2"/>
        <v>24.224657534246575</v>
      </c>
      <c r="T24" s="128">
        <f t="shared" si="3"/>
        <v>1196</v>
      </c>
      <c r="U24" s="128">
        <f t="shared" si="4"/>
        <v>3.2767123287671232</v>
      </c>
      <c r="V24" s="128">
        <f t="shared" si="5"/>
        <v>190.7115</v>
      </c>
      <c r="W24" s="128">
        <f t="shared" si="6"/>
        <v>3623.5185000000001</v>
      </c>
      <c r="X24" s="128">
        <f t="shared" si="7"/>
        <v>490.12984912915624</v>
      </c>
      <c r="Y24" s="128">
        <f t="shared" si="8"/>
        <v>3324.1001508708437</v>
      </c>
    </row>
    <row r="25" spans="2:25">
      <c r="B25" s="127" t="s">
        <v>234</v>
      </c>
      <c r="C25" s="127" t="s">
        <v>235</v>
      </c>
      <c r="D25" s="122">
        <v>0</v>
      </c>
      <c r="E25" s="122">
        <v>0</v>
      </c>
      <c r="F25" s="122">
        <v>1</v>
      </c>
      <c r="G25" s="122">
        <v>45780.19</v>
      </c>
      <c r="H25" s="122">
        <v>0</v>
      </c>
      <c r="I25" s="122">
        <v>0</v>
      </c>
      <c r="J25" s="122">
        <v>0</v>
      </c>
      <c r="K25" s="122">
        <v>0</v>
      </c>
      <c r="L25" s="122">
        <f t="shared" si="9"/>
        <v>1</v>
      </c>
      <c r="M25" s="122">
        <f t="shared" si="9"/>
        <v>45780.19</v>
      </c>
      <c r="N25" s="122"/>
      <c r="O25" s="128">
        <v>25</v>
      </c>
      <c r="P25" s="129">
        <v>42635</v>
      </c>
      <c r="Q25" s="128">
        <f t="shared" si="0"/>
        <v>283</v>
      </c>
      <c r="R25" s="128">
        <f t="shared" si="1"/>
        <v>0.77534246575342469</v>
      </c>
      <c r="S25" s="128">
        <f t="shared" si="2"/>
        <v>24.224657534246575</v>
      </c>
      <c r="T25" s="128">
        <f t="shared" si="3"/>
        <v>1196</v>
      </c>
      <c r="U25" s="128">
        <f t="shared" si="4"/>
        <v>3.2767123287671232</v>
      </c>
      <c r="V25" s="128">
        <f t="shared" si="5"/>
        <v>2289.0095000000001</v>
      </c>
      <c r="W25" s="128">
        <f t="shared" si="6"/>
        <v>43491.180500000002</v>
      </c>
      <c r="X25" s="128">
        <f t="shared" si="7"/>
        <v>5882.7699477493779</v>
      </c>
      <c r="Y25" s="128">
        <f t="shared" si="8"/>
        <v>39897.420052250622</v>
      </c>
    </row>
    <row r="26" spans="2:25">
      <c r="B26" s="127" t="s">
        <v>236</v>
      </c>
      <c r="C26" s="127" t="s">
        <v>237</v>
      </c>
      <c r="D26" s="122">
        <v>0</v>
      </c>
      <c r="E26" s="122">
        <v>0</v>
      </c>
      <c r="F26" s="122">
        <v>1</v>
      </c>
      <c r="G26" s="122">
        <v>78527.64</v>
      </c>
      <c r="H26" s="122">
        <v>0</v>
      </c>
      <c r="I26" s="122">
        <v>0</v>
      </c>
      <c r="J26" s="122">
        <v>0</v>
      </c>
      <c r="K26" s="122">
        <v>0</v>
      </c>
      <c r="L26" s="122">
        <f t="shared" si="9"/>
        <v>1</v>
      </c>
      <c r="M26" s="122">
        <f t="shared" si="9"/>
        <v>78527.64</v>
      </c>
      <c r="N26" s="122"/>
      <c r="O26" s="128">
        <v>25</v>
      </c>
      <c r="P26" s="129">
        <v>42635</v>
      </c>
      <c r="Q26" s="128">
        <f t="shared" si="0"/>
        <v>283</v>
      </c>
      <c r="R26" s="128">
        <f t="shared" si="1"/>
        <v>0.77534246575342469</v>
      </c>
      <c r="S26" s="128">
        <f t="shared" si="2"/>
        <v>24.224657534246575</v>
      </c>
      <c r="T26" s="128">
        <f t="shared" si="3"/>
        <v>1196</v>
      </c>
      <c r="U26" s="128">
        <f t="shared" si="4"/>
        <v>3.2767123287671232</v>
      </c>
      <c r="V26" s="128">
        <f t="shared" si="5"/>
        <v>3926.3820000000001</v>
      </c>
      <c r="W26" s="128">
        <f t="shared" si="6"/>
        <v>74601.258000000002</v>
      </c>
      <c r="X26" s="128">
        <f t="shared" si="7"/>
        <v>10090.828383623613</v>
      </c>
      <c r="Y26" s="128">
        <f t="shared" si="8"/>
        <v>68436.811616376392</v>
      </c>
    </row>
    <row r="27" spans="2:25">
      <c r="B27" s="127" t="s">
        <v>238</v>
      </c>
      <c r="C27" s="127" t="s">
        <v>239</v>
      </c>
      <c r="D27" s="122">
        <v>0</v>
      </c>
      <c r="E27" s="122">
        <v>0</v>
      </c>
      <c r="F27" s="122">
        <v>2</v>
      </c>
      <c r="G27" s="122">
        <v>1514.33</v>
      </c>
      <c r="H27" s="122">
        <v>0</v>
      </c>
      <c r="I27" s="122">
        <v>0</v>
      </c>
      <c r="J27" s="122">
        <v>0</v>
      </c>
      <c r="K27" s="122">
        <v>0</v>
      </c>
      <c r="L27" s="122">
        <f t="shared" si="9"/>
        <v>2</v>
      </c>
      <c r="M27" s="122">
        <f t="shared" si="9"/>
        <v>1514.33</v>
      </c>
      <c r="N27" s="122"/>
      <c r="O27" s="128">
        <v>25</v>
      </c>
      <c r="P27" s="129">
        <v>42635</v>
      </c>
      <c r="Q27" s="128">
        <f t="shared" si="0"/>
        <v>283</v>
      </c>
      <c r="R27" s="128">
        <f t="shared" si="1"/>
        <v>0.77534246575342469</v>
      </c>
      <c r="S27" s="128">
        <f t="shared" si="2"/>
        <v>24.224657534246575</v>
      </c>
      <c r="T27" s="128">
        <f t="shared" si="3"/>
        <v>1196</v>
      </c>
      <c r="U27" s="128">
        <f t="shared" si="4"/>
        <v>3.2767123287671232</v>
      </c>
      <c r="V27" s="128">
        <f t="shared" si="5"/>
        <v>75.716499999999996</v>
      </c>
      <c r="W27" s="128">
        <f t="shared" si="6"/>
        <v>1438.6134999999999</v>
      </c>
      <c r="X27" s="128">
        <f t="shared" si="7"/>
        <v>194.59191879665232</v>
      </c>
      <c r="Y27" s="128">
        <f t="shared" si="8"/>
        <v>1319.7380812033475</v>
      </c>
    </row>
    <row r="28" spans="2:25">
      <c r="B28" s="127" t="s">
        <v>240</v>
      </c>
      <c r="C28" s="127" t="s">
        <v>241</v>
      </c>
      <c r="D28" s="122">
        <v>0</v>
      </c>
      <c r="E28" s="122">
        <v>0</v>
      </c>
      <c r="F28" s="122">
        <v>1</v>
      </c>
      <c r="G28" s="122">
        <v>113.58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9"/>
        <v>1</v>
      </c>
      <c r="M28" s="122">
        <f t="shared" si="9"/>
        <v>113.58</v>
      </c>
      <c r="N28" s="122"/>
      <c r="O28" s="128">
        <v>25</v>
      </c>
      <c r="P28" s="129">
        <v>42635</v>
      </c>
      <c r="Q28" s="128">
        <f t="shared" si="0"/>
        <v>283</v>
      </c>
      <c r="R28" s="128">
        <f t="shared" si="1"/>
        <v>0.77534246575342469</v>
      </c>
      <c r="S28" s="128">
        <f t="shared" si="2"/>
        <v>24.224657534246575</v>
      </c>
      <c r="T28" s="128">
        <f t="shared" si="3"/>
        <v>1196</v>
      </c>
      <c r="U28" s="128">
        <f t="shared" si="4"/>
        <v>3.2767123287671232</v>
      </c>
      <c r="V28" s="128">
        <f t="shared" si="5"/>
        <v>5.6790000000000003</v>
      </c>
      <c r="W28" s="128">
        <f t="shared" si="6"/>
        <v>107.901</v>
      </c>
      <c r="X28" s="128">
        <f t="shared" si="7"/>
        <v>14.595068536530194</v>
      </c>
      <c r="Y28" s="128">
        <f t="shared" si="8"/>
        <v>98.984931463469806</v>
      </c>
    </row>
    <row r="29" spans="2:25">
      <c r="B29" s="127" t="s">
        <v>242</v>
      </c>
      <c r="C29" s="127" t="s">
        <v>243</v>
      </c>
      <c r="D29" s="122">
        <v>0</v>
      </c>
      <c r="E29" s="122">
        <v>0</v>
      </c>
      <c r="F29" s="122">
        <v>4</v>
      </c>
      <c r="G29" s="122">
        <v>719.31</v>
      </c>
      <c r="H29" s="122">
        <v>0</v>
      </c>
      <c r="I29" s="122">
        <v>0</v>
      </c>
      <c r="J29" s="122">
        <v>0</v>
      </c>
      <c r="K29" s="122">
        <v>0</v>
      </c>
      <c r="L29" s="122">
        <f t="shared" si="9"/>
        <v>4</v>
      </c>
      <c r="M29" s="122">
        <f t="shared" si="9"/>
        <v>719.31</v>
      </c>
      <c r="N29" s="122"/>
      <c r="O29" s="128">
        <v>25</v>
      </c>
      <c r="P29" s="129">
        <v>42635</v>
      </c>
      <c r="Q29" s="128">
        <f t="shared" si="0"/>
        <v>283</v>
      </c>
      <c r="R29" s="128">
        <f t="shared" si="1"/>
        <v>0.77534246575342469</v>
      </c>
      <c r="S29" s="128">
        <f t="shared" si="2"/>
        <v>24.224657534246575</v>
      </c>
      <c r="T29" s="128">
        <f t="shared" si="3"/>
        <v>1196</v>
      </c>
      <c r="U29" s="128">
        <f t="shared" si="4"/>
        <v>3.2767123287671232</v>
      </c>
      <c r="V29" s="128">
        <f t="shared" si="5"/>
        <v>35.965499999999999</v>
      </c>
      <c r="W29" s="128">
        <f t="shared" si="6"/>
        <v>683.34449999999993</v>
      </c>
      <c r="X29" s="128">
        <f t="shared" si="7"/>
        <v>92.43157905451254</v>
      </c>
      <c r="Y29" s="128">
        <f t="shared" si="8"/>
        <v>626.87842094548739</v>
      </c>
    </row>
    <row r="30" spans="2:25">
      <c r="B30" s="127" t="s">
        <v>244</v>
      </c>
      <c r="C30" s="127" t="s">
        <v>245</v>
      </c>
      <c r="D30" s="122">
        <v>0</v>
      </c>
      <c r="E30" s="122">
        <v>0</v>
      </c>
      <c r="F30" s="122">
        <v>1</v>
      </c>
      <c r="G30" s="122">
        <v>28270.68</v>
      </c>
      <c r="H30" s="122">
        <v>0</v>
      </c>
      <c r="I30" s="122">
        <v>0</v>
      </c>
      <c r="J30" s="122">
        <v>0</v>
      </c>
      <c r="K30" s="122">
        <v>0</v>
      </c>
      <c r="L30" s="122">
        <f t="shared" si="9"/>
        <v>1</v>
      </c>
      <c r="M30" s="122">
        <f t="shared" si="9"/>
        <v>28270.68</v>
      </c>
      <c r="N30" s="122"/>
      <c r="O30" s="128">
        <v>25</v>
      </c>
      <c r="P30" s="129">
        <v>42635</v>
      </c>
      <c r="Q30" s="128">
        <f t="shared" si="0"/>
        <v>283</v>
      </c>
      <c r="R30" s="128">
        <f t="shared" si="1"/>
        <v>0.77534246575342469</v>
      </c>
      <c r="S30" s="128">
        <f t="shared" si="2"/>
        <v>24.224657534246575</v>
      </c>
      <c r="T30" s="128">
        <f t="shared" si="3"/>
        <v>1196</v>
      </c>
      <c r="U30" s="128">
        <f t="shared" si="4"/>
        <v>3.2767123287671232</v>
      </c>
      <c r="V30" s="128">
        <f t="shared" si="5"/>
        <v>1413.5340000000001</v>
      </c>
      <c r="W30" s="128">
        <f t="shared" si="6"/>
        <v>26857.146000000001</v>
      </c>
      <c r="X30" s="128">
        <f t="shared" si="7"/>
        <v>3632.7919719520469</v>
      </c>
      <c r="Y30" s="128">
        <f t="shared" si="8"/>
        <v>24637.888028047953</v>
      </c>
    </row>
    <row r="31" spans="2:25">
      <c r="B31" s="127" t="s">
        <v>246</v>
      </c>
      <c r="C31" s="127" t="s">
        <v>247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9"/>
        <v>0</v>
      </c>
      <c r="M31" s="122">
        <f t="shared" si="9"/>
        <v>0</v>
      </c>
      <c r="N31" s="122"/>
      <c r="O31" s="128">
        <v>25</v>
      </c>
      <c r="P31" s="129">
        <v>42635</v>
      </c>
      <c r="Q31" s="128">
        <f t="shared" si="0"/>
        <v>283</v>
      </c>
      <c r="R31" s="128">
        <f t="shared" si="1"/>
        <v>0.77534246575342469</v>
      </c>
      <c r="S31" s="128">
        <f t="shared" si="2"/>
        <v>24.224657534246575</v>
      </c>
      <c r="T31" s="128">
        <f t="shared" si="3"/>
        <v>1196</v>
      </c>
      <c r="U31" s="128">
        <f t="shared" si="4"/>
        <v>3.2767123287671232</v>
      </c>
      <c r="V31" s="128">
        <f>+M31*5%</f>
        <v>0</v>
      </c>
      <c r="W31" s="128">
        <f t="shared" si="6"/>
        <v>0</v>
      </c>
      <c r="X31" s="128">
        <f t="shared" si="7"/>
        <v>0</v>
      </c>
      <c r="Y31" s="128">
        <f t="shared" si="8"/>
        <v>0</v>
      </c>
    </row>
    <row r="32" spans="2:25">
      <c r="B32" s="127" t="s">
        <v>248</v>
      </c>
      <c r="C32" s="127" t="s">
        <v>249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9"/>
        <v>0</v>
      </c>
      <c r="M32" s="122">
        <f t="shared" si="9"/>
        <v>0</v>
      </c>
      <c r="N32" s="122"/>
      <c r="O32" s="128">
        <v>25</v>
      </c>
      <c r="P32" s="129">
        <v>42635</v>
      </c>
      <c r="Q32" s="128">
        <f t="shared" si="0"/>
        <v>283</v>
      </c>
      <c r="R32" s="128">
        <f t="shared" si="1"/>
        <v>0.77534246575342469</v>
      </c>
      <c r="S32" s="128">
        <f t="shared" si="2"/>
        <v>24.224657534246575</v>
      </c>
      <c r="T32" s="128">
        <f t="shared" si="3"/>
        <v>1196</v>
      </c>
      <c r="U32" s="128">
        <f t="shared" si="4"/>
        <v>3.2767123287671232</v>
      </c>
      <c r="V32" s="128">
        <f t="shared" si="5"/>
        <v>0</v>
      </c>
      <c r="W32" s="128">
        <f t="shared" si="6"/>
        <v>0</v>
      </c>
      <c r="X32" s="128">
        <f t="shared" si="7"/>
        <v>0</v>
      </c>
      <c r="Y32" s="128">
        <f t="shared" si="8"/>
        <v>0</v>
      </c>
    </row>
    <row r="33" spans="2:26">
      <c r="B33" s="127" t="s">
        <v>250</v>
      </c>
      <c r="C33" s="127" t="s">
        <v>251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9"/>
        <v>0</v>
      </c>
      <c r="M33" s="122">
        <f t="shared" si="9"/>
        <v>0</v>
      </c>
      <c r="N33" s="122"/>
      <c r="O33" s="128">
        <v>25</v>
      </c>
      <c r="P33" s="129">
        <v>42635</v>
      </c>
      <c r="Q33" s="128">
        <f t="shared" si="0"/>
        <v>283</v>
      </c>
      <c r="R33" s="128">
        <f t="shared" si="1"/>
        <v>0.77534246575342469</v>
      </c>
      <c r="S33" s="128">
        <f t="shared" si="2"/>
        <v>24.224657534246575</v>
      </c>
      <c r="T33" s="128">
        <f t="shared" si="3"/>
        <v>1196</v>
      </c>
      <c r="U33" s="128">
        <f t="shared" si="4"/>
        <v>3.2767123287671232</v>
      </c>
      <c r="V33" s="128">
        <f t="shared" si="5"/>
        <v>0</v>
      </c>
      <c r="W33" s="128">
        <f t="shared" si="6"/>
        <v>0</v>
      </c>
      <c r="X33" s="128">
        <f t="shared" si="7"/>
        <v>0</v>
      </c>
      <c r="Y33" s="128">
        <f t="shared" si="8"/>
        <v>0</v>
      </c>
    </row>
    <row r="34" spans="2:26" ht="13.5">
      <c r="B34" s="127" t="s">
        <v>290</v>
      </c>
      <c r="C34" s="127" t="s">
        <v>291</v>
      </c>
      <c r="D34" s="122"/>
      <c r="E34" s="122"/>
      <c r="F34" s="139">
        <v>1</v>
      </c>
      <c r="G34" s="139">
        <v>1572.65</v>
      </c>
      <c r="H34" s="139">
        <v>1</v>
      </c>
      <c r="I34" s="139">
        <v>1572.65</v>
      </c>
      <c r="J34" s="122"/>
      <c r="K34" s="122"/>
      <c r="L34" s="122">
        <f t="shared" ref="L34:L37" si="10">+D34+F34-H34-J34</f>
        <v>0</v>
      </c>
      <c r="M34" s="122">
        <f t="shared" ref="M34:M37" si="11">+E34+G34-I34-K34</f>
        <v>0</v>
      </c>
      <c r="N34" s="139">
        <v>0</v>
      </c>
      <c r="O34" s="128">
        <v>25</v>
      </c>
      <c r="P34" s="129">
        <v>42635</v>
      </c>
      <c r="Q34" s="128">
        <f t="shared" ref="Q34:Q37" si="12">P34-$Q$4+1</f>
        <v>283</v>
      </c>
      <c r="R34" s="128">
        <f t="shared" ref="R34:R37" si="13">Q34/365</f>
        <v>0.77534246575342469</v>
      </c>
      <c r="S34" s="128">
        <f t="shared" ref="S34:S37" si="14">O34-R34</f>
        <v>24.224657534246575</v>
      </c>
      <c r="T34" s="128">
        <f t="shared" ref="T34:T37" si="15">$T$4-P34+1</f>
        <v>1196</v>
      </c>
      <c r="U34" s="128">
        <f t="shared" ref="U34:U37" si="16">T34/365</f>
        <v>3.2767123287671232</v>
      </c>
      <c r="V34" s="128">
        <f t="shared" ref="V34:V37" si="17">+M34*5%</f>
        <v>0</v>
      </c>
      <c r="W34" s="128">
        <f t="shared" ref="W34:W37" si="18">+M34-V34</f>
        <v>0</v>
      </c>
      <c r="X34" s="128">
        <v>1572.65</v>
      </c>
      <c r="Y34" s="128">
        <f t="shared" ref="Y34:Y37" si="19">+M34-X34</f>
        <v>-1572.65</v>
      </c>
      <c r="Z34" s="132"/>
    </row>
    <row r="35" spans="2:26" ht="13.5">
      <c r="B35" s="127" t="s">
        <v>292</v>
      </c>
      <c r="C35" s="127" t="s">
        <v>293</v>
      </c>
      <c r="D35" s="122"/>
      <c r="E35" s="122"/>
      <c r="F35" s="139">
        <v>1</v>
      </c>
      <c r="G35" s="139">
        <v>108773</v>
      </c>
      <c r="H35" s="139">
        <v>1</v>
      </c>
      <c r="I35" s="139">
        <v>108773</v>
      </c>
      <c r="J35" s="122"/>
      <c r="K35" s="122"/>
      <c r="L35" s="122">
        <f t="shared" si="10"/>
        <v>0</v>
      </c>
      <c r="M35" s="122">
        <f t="shared" si="11"/>
        <v>0</v>
      </c>
      <c r="N35" s="139">
        <v>0</v>
      </c>
      <c r="O35" s="128">
        <v>25</v>
      </c>
      <c r="P35" s="129">
        <v>42635</v>
      </c>
      <c r="Q35" s="128">
        <f t="shared" si="12"/>
        <v>283</v>
      </c>
      <c r="R35" s="128">
        <f t="shared" si="13"/>
        <v>0.77534246575342469</v>
      </c>
      <c r="S35" s="128">
        <f t="shared" si="14"/>
        <v>24.224657534246575</v>
      </c>
      <c r="T35" s="128">
        <f t="shared" si="15"/>
        <v>1196</v>
      </c>
      <c r="U35" s="128">
        <f t="shared" si="16"/>
        <v>3.2767123287671232</v>
      </c>
      <c r="V35" s="128">
        <f t="shared" si="17"/>
        <v>0</v>
      </c>
      <c r="W35" s="128">
        <f t="shared" si="18"/>
        <v>0</v>
      </c>
      <c r="X35" s="128">
        <v>108773</v>
      </c>
      <c r="Y35" s="128">
        <f t="shared" si="19"/>
        <v>-108773</v>
      </c>
      <c r="Z35" s="132"/>
    </row>
    <row r="36" spans="2:26" ht="13.5">
      <c r="B36" s="127" t="s">
        <v>250</v>
      </c>
      <c r="C36" s="127" t="s">
        <v>251</v>
      </c>
      <c r="D36" s="122"/>
      <c r="E36" s="122"/>
      <c r="F36" s="139">
        <v>1</v>
      </c>
      <c r="G36" s="139">
        <v>4472</v>
      </c>
      <c r="H36" s="139">
        <v>1</v>
      </c>
      <c r="I36" s="139">
        <v>4472</v>
      </c>
      <c r="J36" s="122"/>
      <c r="K36" s="122"/>
      <c r="L36" s="122">
        <f t="shared" si="10"/>
        <v>0</v>
      </c>
      <c r="M36" s="122">
        <f t="shared" si="11"/>
        <v>0</v>
      </c>
      <c r="N36" s="139">
        <v>0</v>
      </c>
      <c r="O36" s="128">
        <v>25</v>
      </c>
      <c r="P36" s="129">
        <v>42635</v>
      </c>
      <c r="Q36" s="128">
        <f t="shared" si="12"/>
        <v>283</v>
      </c>
      <c r="R36" s="128">
        <f t="shared" si="13"/>
        <v>0.77534246575342469</v>
      </c>
      <c r="S36" s="128">
        <f t="shared" si="14"/>
        <v>24.224657534246575</v>
      </c>
      <c r="T36" s="128">
        <f t="shared" si="15"/>
        <v>1196</v>
      </c>
      <c r="U36" s="128">
        <f t="shared" si="16"/>
        <v>3.2767123287671232</v>
      </c>
      <c r="V36" s="128">
        <f t="shared" si="17"/>
        <v>0</v>
      </c>
      <c r="W36" s="128">
        <f t="shared" si="18"/>
        <v>0</v>
      </c>
      <c r="X36" s="128">
        <v>4472</v>
      </c>
      <c r="Y36" s="128">
        <f t="shared" si="19"/>
        <v>-4472</v>
      </c>
      <c r="Z36" s="132"/>
    </row>
    <row r="37" spans="2:26" ht="13.5">
      <c r="B37" s="127" t="s">
        <v>294</v>
      </c>
      <c r="C37" s="127" t="s">
        <v>295</v>
      </c>
      <c r="D37" s="122"/>
      <c r="E37" s="122"/>
      <c r="F37" s="139">
        <v>1</v>
      </c>
      <c r="G37" s="140">
        <v>539.48</v>
      </c>
      <c r="H37" s="139">
        <v>1</v>
      </c>
      <c r="I37" s="140">
        <v>539.48</v>
      </c>
      <c r="J37" s="122"/>
      <c r="K37" s="122"/>
      <c r="L37" s="122">
        <f t="shared" si="10"/>
        <v>0</v>
      </c>
      <c r="M37" s="122">
        <f t="shared" si="11"/>
        <v>0</v>
      </c>
      <c r="N37" s="140">
        <v>0</v>
      </c>
      <c r="O37" s="128">
        <v>25</v>
      </c>
      <c r="P37" s="129">
        <v>42635</v>
      </c>
      <c r="Q37" s="128">
        <f t="shared" si="12"/>
        <v>283</v>
      </c>
      <c r="R37" s="128">
        <f t="shared" si="13"/>
        <v>0.77534246575342469</v>
      </c>
      <c r="S37" s="128">
        <f t="shared" si="14"/>
        <v>24.224657534246575</v>
      </c>
      <c r="T37" s="128">
        <f t="shared" si="15"/>
        <v>1196</v>
      </c>
      <c r="U37" s="128">
        <f t="shared" si="16"/>
        <v>3.2767123287671232</v>
      </c>
      <c r="V37" s="128">
        <f t="shared" si="17"/>
        <v>0</v>
      </c>
      <c r="W37" s="128">
        <f t="shared" si="18"/>
        <v>0</v>
      </c>
      <c r="X37" s="128">
        <v>539.48</v>
      </c>
      <c r="Y37" s="128">
        <f t="shared" si="19"/>
        <v>-539.48</v>
      </c>
      <c r="Z37" s="132"/>
    </row>
    <row r="38" spans="2:26">
      <c r="B38" s="124" t="s">
        <v>252</v>
      </c>
      <c r="C38" s="124" t="s">
        <v>253</v>
      </c>
      <c r="D38" s="125"/>
      <c r="E38" s="125">
        <v>0</v>
      </c>
      <c r="F38" s="125"/>
      <c r="G38" s="125">
        <f>SUM(G6:G33)</f>
        <v>978448.49</v>
      </c>
      <c r="H38" s="125"/>
      <c r="I38" s="125">
        <f>SUM(I6:I33)</f>
        <v>0</v>
      </c>
      <c r="J38" s="125"/>
      <c r="K38" s="125">
        <f>SUM(K6:K33)</f>
        <v>0</v>
      </c>
      <c r="L38" s="125"/>
      <c r="M38" s="125">
        <f t="shared" ref="M38:Y38" si="20">SUM(M6:M37)</f>
        <v>2166660.08</v>
      </c>
      <c r="N38" s="125">
        <f t="shared" si="20"/>
        <v>0</v>
      </c>
      <c r="O38" s="125">
        <f t="shared" si="20"/>
        <v>800</v>
      </c>
      <c r="P38" s="125">
        <f t="shared" si="20"/>
        <v>1364957</v>
      </c>
      <c r="Q38" s="125">
        <f t="shared" si="20"/>
        <v>9693</v>
      </c>
      <c r="R38" s="125">
        <f t="shared" si="20"/>
        <v>26.556164383561658</v>
      </c>
      <c r="S38" s="125">
        <f t="shared" si="20"/>
        <v>773.44383561643895</v>
      </c>
      <c r="T38" s="125">
        <f t="shared" si="20"/>
        <v>37635</v>
      </c>
      <c r="U38" s="125">
        <f t="shared" si="20"/>
        <v>103.10958904109584</v>
      </c>
      <c r="V38" s="125">
        <f t="shared" si="20"/>
        <v>108333.00400000002</v>
      </c>
      <c r="W38" s="125">
        <f t="shared" si="20"/>
        <v>2058327.0760000004</v>
      </c>
      <c r="X38" s="125">
        <f t="shared" si="20"/>
        <v>383623.24510829942</v>
      </c>
      <c r="Y38" s="125">
        <f t="shared" si="20"/>
        <v>1783036.8348917009</v>
      </c>
    </row>
    <row r="39" spans="2:26">
      <c r="L39" s="128"/>
      <c r="M39" s="144">
        <v>2166660.08</v>
      </c>
      <c r="N39" s="138">
        <f>M39-2044305.9</f>
        <v>122354.18000000017</v>
      </c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</row>
    <row r="40" spans="2:26">
      <c r="L40" s="128"/>
      <c r="M40" s="128">
        <v>1796279.95</v>
      </c>
      <c r="N40" s="128"/>
      <c r="O40" s="128"/>
      <c r="P40" s="128"/>
      <c r="Q40" s="128"/>
      <c r="R40" s="128"/>
      <c r="S40" s="128"/>
      <c r="T40" s="128"/>
      <c r="U40" s="128"/>
      <c r="V40" s="128"/>
      <c r="W40" s="128" t="s">
        <v>275</v>
      </c>
      <c r="X40" s="128">
        <v>1070.18</v>
      </c>
      <c r="Y40" s="128"/>
    </row>
    <row r="41" spans="2:26">
      <c r="L41" s="128"/>
      <c r="M41" s="128">
        <f>M39-M40</f>
        <v>370380.13000000012</v>
      </c>
      <c r="N41" s="128"/>
      <c r="O41" s="128"/>
      <c r="P41" s="128"/>
      <c r="Q41" s="128"/>
      <c r="R41" s="128"/>
      <c r="S41" s="128"/>
      <c r="T41" s="128"/>
      <c r="U41" s="128"/>
      <c r="V41" s="128"/>
      <c r="W41" s="128" t="s">
        <v>276</v>
      </c>
      <c r="X41" s="128">
        <v>12642.745588981708</v>
      </c>
      <c r="Y41" s="128"/>
    </row>
    <row r="42" spans="2:26">
      <c r="M42" s="131"/>
      <c r="N42" s="131"/>
      <c r="W42" s="128" t="s">
        <v>278</v>
      </c>
      <c r="X42" s="131">
        <v>24409.693742074291</v>
      </c>
    </row>
    <row r="43" spans="2:26">
      <c r="W43" s="134" t="s">
        <v>279</v>
      </c>
      <c r="X43" s="131">
        <v>19597.620223909376</v>
      </c>
    </row>
    <row r="44" spans="2:26">
      <c r="W44" s="134" t="s">
        <v>283</v>
      </c>
      <c r="X44" s="131">
        <v>22679.68</v>
      </c>
    </row>
    <row r="45" spans="2:26">
      <c r="W45" s="134" t="s">
        <v>285</v>
      </c>
      <c r="X45" s="131">
        <v>22679.68</v>
      </c>
    </row>
    <row r="46" spans="2:26">
      <c r="W46" s="134" t="s">
        <v>286</v>
      </c>
      <c r="X46" s="131">
        <v>22186.639999999999</v>
      </c>
      <c r="Y46" s="131"/>
    </row>
    <row r="47" spans="2:26">
      <c r="W47" s="134" t="s">
        <v>288</v>
      </c>
      <c r="X47" s="131">
        <v>22433.16</v>
      </c>
    </row>
    <row r="48" spans="2:26">
      <c r="W48" s="134" t="s">
        <v>289</v>
      </c>
      <c r="X48" s="131">
        <v>22734.400000000001</v>
      </c>
    </row>
    <row r="49" spans="13:24">
      <c r="W49" s="134" t="s">
        <v>297</v>
      </c>
      <c r="X49" s="131">
        <v>22679.05</v>
      </c>
    </row>
    <row r="50" spans="13:24">
      <c r="M50" s="132"/>
      <c r="N50" s="132"/>
      <c r="W50" s="68" t="s">
        <v>298</v>
      </c>
      <c r="X50" s="131">
        <v>22680</v>
      </c>
    </row>
    <row r="51" spans="13:24">
      <c r="W51" s="68" t="s">
        <v>299</v>
      </c>
      <c r="X51" s="131">
        <v>124752.81</v>
      </c>
    </row>
    <row r="52" spans="13:24">
      <c r="W52" s="68" t="s">
        <v>300</v>
      </c>
      <c r="X52" s="131">
        <v>21538.792929473741</v>
      </c>
    </row>
    <row r="53" spans="13:24">
      <c r="W53" s="68" t="s">
        <v>301</v>
      </c>
      <c r="X53" s="131">
        <f>X38-SUM(X40:X52)</f>
        <v>21538.792623860354</v>
      </c>
    </row>
    <row r="54" spans="13:24">
      <c r="W54" s="198" t="s">
        <v>75</v>
      </c>
      <c r="X54" s="199">
        <f>SUM(X40:X53)</f>
        <v>383623.24510829942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topLeftCell="D31" zoomScale="90" zoomScaleNormal="90" workbookViewId="0">
      <selection activeCell="K48" sqref="K48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4" width="9.28515625" style="68" customWidth="1"/>
    <col min="5" max="5" width="12" style="68" bestFit="1" customWidth="1"/>
    <col min="6" max="6" width="9.28515625" style="68" customWidth="1"/>
    <col min="7" max="7" width="12.140625" style="68" customWidth="1"/>
    <col min="8" max="8" width="9.28515625" style="68" customWidth="1"/>
    <col min="9" max="9" width="10.5703125" style="68" bestFit="1" customWidth="1"/>
    <col min="10" max="11" width="9.28515625" style="68" customWidth="1"/>
    <col min="12" max="12" width="9.28515625" style="68" bestFit="1" customWidth="1"/>
    <col min="13" max="13" width="12.140625" style="68" bestFit="1" customWidth="1"/>
    <col min="14" max="14" width="26.7109375" style="68" customWidth="1"/>
    <col min="15" max="15" width="24.42578125" style="68" bestFit="1" customWidth="1"/>
    <col min="16" max="16" width="20" style="68" bestFit="1" customWidth="1"/>
    <col min="17" max="17" width="15.85546875" style="68" customWidth="1"/>
    <col min="18" max="18" width="17.42578125" style="68" customWidth="1"/>
    <col min="19" max="19" width="23.140625" style="68" bestFit="1" customWidth="1"/>
    <col min="20" max="20" width="15.85546875" style="68" customWidth="1"/>
    <col min="21" max="21" width="18.28515625" style="68" bestFit="1" customWidth="1"/>
    <col min="22" max="22" width="14.85546875" style="68" bestFit="1" customWidth="1"/>
    <col min="23" max="23" width="20.85546875" style="68" bestFit="1" customWidth="1"/>
    <col min="24" max="24" width="31.140625" style="68" bestFit="1" customWidth="1"/>
    <col min="25" max="16384" width="9.140625" style="68"/>
  </cols>
  <sheetData>
    <row r="1" spans="2:24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24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24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</row>
    <row r="4" spans="2:24">
      <c r="B4" s="112" t="s">
        <v>200</v>
      </c>
      <c r="C4" s="113" t="s">
        <v>15</v>
      </c>
      <c r="D4" s="114" t="s">
        <v>201</v>
      </c>
      <c r="E4" s="114"/>
      <c r="F4" s="114" t="s">
        <v>202</v>
      </c>
      <c r="G4" s="114"/>
      <c r="H4" s="114" t="s">
        <v>203</v>
      </c>
      <c r="I4" s="114"/>
      <c r="J4" s="114" t="s">
        <v>204</v>
      </c>
      <c r="K4" s="114"/>
      <c r="L4" s="114" t="s">
        <v>205</v>
      </c>
      <c r="M4" s="115"/>
      <c r="P4" s="83">
        <v>42353</v>
      </c>
      <c r="S4" s="126">
        <v>43555</v>
      </c>
      <c r="T4" s="126"/>
    </row>
    <row r="5" spans="2:24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21" t="s">
        <v>255</v>
      </c>
      <c r="O5" s="68" t="s">
        <v>258</v>
      </c>
      <c r="P5" s="68" t="s">
        <v>256</v>
      </c>
      <c r="Q5" s="68" t="s">
        <v>259</v>
      </c>
      <c r="R5" s="68" t="s">
        <v>257</v>
      </c>
      <c r="S5" s="68" t="s">
        <v>256</v>
      </c>
      <c r="T5" s="68" t="s">
        <v>259</v>
      </c>
      <c r="U5" s="96" t="s">
        <v>21</v>
      </c>
      <c r="V5" s="96" t="s">
        <v>67</v>
      </c>
      <c r="W5" s="96" t="s">
        <v>66</v>
      </c>
      <c r="X5" s="96" t="s">
        <v>150</v>
      </c>
    </row>
    <row r="6" spans="2:24" ht="13.5">
      <c r="B6" s="127" t="s">
        <v>261</v>
      </c>
      <c r="C6" s="127" t="s">
        <v>262</v>
      </c>
      <c r="D6" s="122">
        <v>1</v>
      </c>
      <c r="E6" s="122">
        <v>6249.34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f>D6+F6-H6-J6</f>
        <v>1</v>
      </c>
      <c r="M6" s="130">
        <f>E6+G6-I6-K6</f>
        <v>6249.34</v>
      </c>
      <c r="N6" s="123">
        <v>25</v>
      </c>
      <c r="O6" s="129">
        <v>42726</v>
      </c>
      <c r="P6" s="128">
        <f>O6-$P$4+1</f>
        <v>374</v>
      </c>
      <c r="Q6" s="128">
        <f>P6/365</f>
        <v>1.0246575342465754</v>
      </c>
      <c r="R6" s="128">
        <f>N6-Q6</f>
        <v>23.975342465753425</v>
      </c>
      <c r="S6" s="128">
        <f>$S$4-O6+1</f>
        <v>830</v>
      </c>
      <c r="T6" s="128">
        <f>S6/365</f>
        <v>2.2739726027397262</v>
      </c>
      <c r="U6" s="128">
        <f>+M6*5%</f>
        <v>312.46700000000004</v>
      </c>
      <c r="V6" s="128">
        <f>+M6-U6</f>
        <v>5936.8730000000005</v>
      </c>
      <c r="W6" s="128">
        <f>T6/R6*V6</f>
        <v>563.09045709061832</v>
      </c>
      <c r="X6" s="128">
        <f>+M6-W6</f>
        <v>5686.2495429093815</v>
      </c>
    </row>
    <row r="7" spans="2:24" ht="13.5">
      <c r="B7" s="127" t="s">
        <v>263</v>
      </c>
      <c r="C7" s="127" t="s">
        <v>264</v>
      </c>
      <c r="D7" s="122">
        <v>1</v>
      </c>
      <c r="E7" s="122">
        <v>4220.8999999999996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f t="shared" ref="L7:M37" si="0">D7+F7-H7-J7</f>
        <v>1</v>
      </c>
      <c r="M7" s="130">
        <f t="shared" si="0"/>
        <v>4220.8999999999996</v>
      </c>
      <c r="N7" s="128">
        <v>25</v>
      </c>
      <c r="O7" s="129">
        <v>42726</v>
      </c>
      <c r="P7" s="128">
        <f t="shared" ref="P7:P37" si="1">O7-$P$4+1</f>
        <v>374</v>
      </c>
      <c r="Q7" s="128">
        <f t="shared" ref="Q7:Q37" si="2">P7/365</f>
        <v>1.0246575342465754</v>
      </c>
      <c r="R7" s="128">
        <f t="shared" ref="R7:R37" si="3">N7-Q7</f>
        <v>23.975342465753425</v>
      </c>
      <c r="S7" s="128">
        <f t="shared" ref="S7:S37" si="4">$S$4-O7+1</f>
        <v>830</v>
      </c>
      <c r="T7" s="128">
        <f t="shared" ref="T7:T37" si="5">S7/365</f>
        <v>2.2739726027397262</v>
      </c>
      <c r="U7" s="128">
        <f t="shared" ref="U7:U37" si="6">+M7*5%</f>
        <v>211.04499999999999</v>
      </c>
      <c r="V7" s="128">
        <f t="shared" ref="V7:V37" si="7">+M7-U7</f>
        <v>4009.8549999999996</v>
      </c>
      <c r="W7" s="128">
        <f t="shared" ref="W7:W37" si="8">T7/R7*V7</f>
        <v>380.31992343732145</v>
      </c>
      <c r="X7" s="128">
        <f t="shared" ref="X7:X37" si="9">+M7-W7</f>
        <v>3840.5800765626782</v>
      </c>
    </row>
    <row r="8" spans="2:24" ht="13.5">
      <c r="B8" s="127" t="s">
        <v>265</v>
      </c>
      <c r="C8" s="127" t="s">
        <v>266</v>
      </c>
      <c r="D8" s="122">
        <v>1</v>
      </c>
      <c r="E8" s="122">
        <v>27479.59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f t="shared" si="0"/>
        <v>1</v>
      </c>
      <c r="M8" s="130">
        <f t="shared" si="0"/>
        <v>27479.59</v>
      </c>
      <c r="N8" s="128">
        <v>25</v>
      </c>
      <c r="O8" s="129">
        <v>42726</v>
      </c>
      <c r="P8" s="128">
        <f t="shared" si="1"/>
        <v>374</v>
      </c>
      <c r="Q8" s="128">
        <f t="shared" si="2"/>
        <v>1.0246575342465754</v>
      </c>
      <c r="R8" s="128">
        <f t="shared" si="3"/>
        <v>23.975342465753425</v>
      </c>
      <c r="S8" s="128">
        <f t="shared" si="4"/>
        <v>830</v>
      </c>
      <c r="T8" s="128">
        <f t="shared" si="5"/>
        <v>2.2739726027397262</v>
      </c>
      <c r="U8" s="128">
        <f t="shared" si="6"/>
        <v>1373.9795000000001</v>
      </c>
      <c r="V8" s="128">
        <f t="shared" si="7"/>
        <v>26105.610499999999</v>
      </c>
      <c r="W8" s="128">
        <f t="shared" si="8"/>
        <v>2476.0206507827679</v>
      </c>
      <c r="X8" s="128">
        <f t="shared" si="9"/>
        <v>25003.569349217232</v>
      </c>
    </row>
    <row r="9" spans="2:24" ht="13.5">
      <c r="B9" s="127" t="s">
        <v>267</v>
      </c>
      <c r="C9" s="127" t="s">
        <v>268</v>
      </c>
      <c r="D9" s="122">
        <v>1</v>
      </c>
      <c r="E9" s="122">
        <v>272728.26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f t="shared" si="0"/>
        <v>1</v>
      </c>
      <c r="M9" s="130">
        <f t="shared" si="0"/>
        <v>272728.26</v>
      </c>
      <c r="N9" s="128">
        <v>25</v>
      </c>
      <c r="O9" s="129">
        <v>42726</v>
      </c>
      <c r="P9" s="128">
        <f t="shared" si="1"/>
        <v>374</v>
      </c>
      <c r="Q9" s="128">
        <f t="shared" si="2"/>
        <v>1.0246575342465754</v>
      </c>
      <c r="R9" s="128">
        <f t="shared" si="3"/>
        <v>23.975342465753425</v>
      </c>
      <c r="S9" s="128">
        <f t="shared" si="4"/>
        <v>830</v>
      </c>
      <c r="T9" s="128">
        <f t="shared" si="5"/>
        <v>2.2739726027397262</v>
      </c>
      <c r="U9" s="128">
        <f t="shared" si="6"/>
        <v>13636.413</v>
      </c>
      <c r="V9" s="128">
        <f t="shared" si="7"/>
        <v>259091.84700000001</v>
      </c>
      <c r="W9" s="128">
        <f t="shared" si="8"/>
        <v>24573.90389784025</v>
      </c>
      <c r="X9" s="128">
        <f t="shared" si="9"/>
        <v>248154.35610215977</v>
      </c>
    </row>
    <row r="10" spans="2:24" ht="13.5">
      <c r="B10" s="127" t="s">
        <v>269</v>
      </c>
      <c r="C10" s="127" t="s">
        <v>270</v>
      </c>
      <c r="D10" s="122">
        <v>1</v>
      </c>
      <c r="E10" s="122">
        <v>213505.93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f t="shared" si="0"/>
        <v>1</v>
      </c>
      <c r="M10" s="130">
        <f t="shared" si="0"/>
        <v>213505.93</v>
      </c>
      <c r="N10" s="128">
        <v>25</v>
      </c>
      <c r="O10" s="129">
        <v>42726</v>
      </c>
      <c r="P10" s="128">
        <f>O10-$P$4+1</f>
        <v>374</v>
      </c>
      <c r="Q10" s="128">
        <f t="shared" si="2"/>
        <v>1.0246575342465754</v>
      </c>
      <c r="R10" s="128">
        <f t="shared" si="3"/>
        <v>23.975342465753425</v>
      </c>
      <c r="S10" s="128">
        <f t="shared" si="4"/>
        <v>830</v>
      </c>
      <c r="T10" s="128">
        <f t="shared" si="5"/>
        <v>2.2739726027397262</v>
      </c>
      <c r="U10" s="128">
        <f t="shared" si="6"/>
        <v>10675.2965</v>
      </c>
      <c r="V10" s="128">
        <f t="shared" si="7"/>
        <v>202830.6335</v>
      </c>
      <c r="W10" s="128">
        <f t="shared" si="8"/>
        <v>19237.735779339506</v>
      </c>
      <c r="X10" s="128">
        <f t="shared" si="9"/>
        <v>194268.19422066049</v>
      </c>
    </row>
    <row r="11" spans="2:24" ht="13.5">
      <c r="B11" s="127" t="s">
        <v>271</v>
      </c>
      <c r="C11" s="127" t="s">
        <v>272</v>
      </c>
      <c r="D11" s="122">
        <v>1</v>
      </c>
      <c r="E11" s="122">
        <v>171957.58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f t="shared" si="0"/>
        <v>1</v>
      </c>
      <c r="M11" s="130">
        <f t="shared" si="0"/>
        <v>171957.58</v>
      </c>
      <c r="N11" s="128">
        <v>25</v>
      </c>
      <c r="O11" s="129">
        <v>42726</v>
      </c>
      <c r="P11" s="128">
        <f t="shared" si="1"/>
        <v>374</v>
      </c>
      <c r="Q11" s="128">
        <f t="shared" si="2"/>
        <v>1.0246575342465754</v>
      </c>
      <c r="R11" s="128">
        <f t="shared" si="3"/>
        <v>23.975342465753425</v>
      </c>
      <c r="S11" s="128">
        <f t="shared" si="4"/>
        <v>830</v>
      </c>
      <c r="T11" s="128">
        <f t="shared" si="5"/>
        <v>2.2739726027397262</v>
      </c>
      <c r="U11" s="128">
        <f t="shared" si="6"/>
        <v>8597.878999999999</v>
      </c>
      <c r="V11" s="128">
        <f t="shared" si="7"/>
        <v>163359.701</v>
      </c>
      <c r="W11" s="128">
        <f t="shared" si="8"/>
        <v>15494.063744714891</v>
      </c>
      <c r="X11" s="128">
        <f t="shared" si="9"/>
        <v>156463.5162552851</v>
      </c>
    </row>
    <row r="12" spans="2:24" ht="13.5">
      <c r="B12" s="127" t="s">
        <v>273</v>
      </c>
      <c r="C12" s="127" t="s">
        <v>274</v>
      </c>
      <c r="D12" s="122">
        <v>1</v>
      </c>
      <c r="E12" s="122">
        <v>492069.99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f t="shared" si="0"/>
        <v>1</v>
      </c>
      <c r="M12" s="130">
        <f t="shared" si="0"/>
        <v>492069.99</v>
      </c>
      <c r="N12" s="128">
        <v>25</v>
      </c>
      <c r="O12" s="129">
        <v>42726</v>
      </c>
      <c r="P12" s="128">
        <f t="shared" si="1"/>
        <v>374</v>
      </c>
      <c r="Q12" s="128">
        <f t="shared" si="2"/>
        <v>1.0246575342465754</v>
      </c>
      <c r="R12" s="128">
        <f t="shared" si="3"/>
        <v>23.975342465753425</v>
      </c>
      <c r="S12" s="128">
        <f t="shared" si="4"/>
        <v>830</v>
      </c>
      <c r="T12" s="128">
        <f t="shared" si="5"/>
        <v>2.2739726027397262</v>
      </c>
      <c r="U12" s="128">
        <f t="shared" si="6"/>
        <v>24603.499500000002</v>
      </c>
      <c r="V12" s="128">
        <f t="shared" si="7"/>
        <v>467466.49050000001</v>
      </c>
      <c r="W12" s="128">
        <f t="shared" si="8"/>
        <v>44337.468531025028</v>
      </c>
      <c r="X12" s="128">
        <f t="shared" si="9"/>
        <v>447732.52146897494</v>
      </c>
    </row>
    <row r="13" spans="2:24" ht="13.5">
      <c r="B13" s="200" t="s">
        <v>324</v>
      </c>
      <c r="C13" s="200" t="s">
        <v>325</v>
      </c>
      <c r="D13" s="201">
        <v>1</v>
      </c>
      <c r="E13" s="201">
        <v>1572.65</v>
      </c>
      <c r="F13" s="201">
        <v>0</v>
      </c>
      <c r="G13" s="201">
        <v>0</v>
      </c>
      <c r="H13" s="201">
        <f>D13</f>
        <v>1</v>
      </c>
      <c r="I13" s="201">
        <f>E13</f>
        <v>1572.65</v>
      </c>
      <c r="J13" s="201">
        <v>0</v>
      </c>
      <c r="K13" s="201">
        <v>0</v>
      </c>
      <c r="L13" s="201">
        <f t="shared" si="0"/>
        <v>0</v>
      </c>
      <c r="M13" s="202">
        <f t="shared" si="0"/>
        <v>0</v>
      </c>
      <c r="N13" s="203">
        <v>25</v>
      </c>
      <c r="O13" s="204">
        <v>42726</v>
      </c>
      <c r="P13" s="203">
        <f t="shared" si="1"/>
        <v>374</v>
      </c>
      <c r="Q13" s="203">
        <f t="shared" si="2"/>
        <v>1.0246575342465754</v>
      </c>
      <c r="R13" s="203">
        <f t="shared" si="3"/>
        <v>23.975342465753425</v>
      </c>
      <c r="S13" s="203">
        <f t="shared" si="4"/>
        <v>830</v>
      </c>
      <c r="T13" s="203">
        <f t="shared" si="5"/>
        <v>2.2739726027397262</v>
      </c>
      <c r="U13" s="203">
        <f t="shared" si="6"/>
        <v>0</v>
      </c>
      <c r="V13" s="203">
        <f t="shared" si="7"/>
        <v>0</v>
      </c>
      <c r="W13" s="203">
        <f t="shared" si="8"/>
        <v>0</v>
      </c>
      <c r="X13" s="203">
        <f t="shared" si="9"/>
        <v>0</v>
      </c>
    </row>
    <row r="14" spans="2:24" ht="13.5">
      <c r="B14" s="200" t="s">
        <v>326</v>
      </c>
      <c r="C14" s="200" t="s">
        <v>327</v>
      </c>
      <c r="D14" s="201">
        <v>1</v>
      </c>
      <c r="E14" s="201">
        <v>4472</v>
      </c>
      <c r="F14" s="201">
        <v>0</v>
      </c>
      <c r="G14" s="201">
        <v>0</v>
      </c>
      <c r="H14" s="201">
        <f>D14</f>
        <v>1</v>
      </c>
      <c r="I14" s="201">
        <f>E14</f>
        <v>4472</v>
      </c>
      <c r="J14" s="201"/>
      <c r="K14" s="201"/>
      <c r="L14" s="201">
        <f t="shared" si="0"/>
        <v>0</v>
      </c>
      <c r="M14" s="202">
        <f t="shared" si="0"/>
        <v>0</v>
      </c>
      <c r="N14" s="203">
        <v>25</v>
      </c>
      <c r="O14" s="204">
        <v>42726</v>
      </c>
      <c r="P14" s="203">
        <f t="shared" si="1"/>
        <v>374</v>
      </c>
      <c r="Q14" s="203">
        <f t="shared" si="2"/>
        <v>1.0246575342465754</v>
      </c>
      <c r="R14" s="203">
        <f t="shared" si="3"/>
        <v>23.975342465753425</v>
      </c>
      <c r="S14" s="203">
        <f t="shared" si="4"/>
        <v>830</v>
      </c>
      <c r="T14" s="203">
        <f t="shared" si="5"/>
        <v>2.2739726027397262</v>
      </c>
      <c r="U14" s="203">
        <f t="shared" si="6"/>
        <v>0</v>
      </c>
      <c r="V14" s="203">
        <f t="shared" si="7"/>
        <v>0</v>
      </c>
      <c r="W14" s="203">
        <f t="shared" si="8"/>
        <v>0</v>
      </c>
      <c r="X14" s="203">
        <f t="shared" si="9"/>
        <v>0</v>
      </c>
    </row>
    <row r="15" spans="2:24" ht="13.5">
      <c r="B15" s="127" t="s">
        <v>210</v>
      </c>
      <c r="C15" s="127" t="s">
        <v>211</v>
      </c>
      <c r="D15" s="122">
        <v>1</v>
      </c>
      <c r="E15" s="122">
        <v>566057.73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f t="shared" si="0"/>
        <v>1</v>
      </c>
      <c r="M15" s="130">
        <f t="shared" si="0"/>
        <v>566057.73</v>
      </c>
      <c r="N15" s="128">
        <v>25</v>
      </c>
      <c r="O15" s="129">
        <v>42635</v>
      </c>
      <c r="P15" s="128">
        <f t="shared" si="1"/>
        <v>283</v>
      </c>
      <c r="Q15" s="128">
        <f t="shared" si="2"/>
        <v>0.77534246575342469</v>
      </c>
      <c r="R15" s="128">
        <f t="shared" si="3"/>
        <v>24.224657534246575</v>
      </c>
      <c r="S15" s="128">
        <f t="shared" si="4"/>
        <v>921</v>
      </c>
      <c r="T15" s="128">
        <f t="shared" si="5"/>
        <v>2.5232876712328767</v>
      </c>
      <c r="U15" s="128">
        <f t="shared" si="6"/>
        <v>28302.886500000001</v>
      </c>
      <c r="V15" s="128">
        <f t="shared" si="7"/>
        <v>537754.84349999996</v>
      </c>
      <c r="W15" s="128">
        <f t="shared" si="8"/>
        <v>56013.595438079617</v>
      </c>
      <c r="X15" s="128">
        <f t="shared" si="9"/>
        <v>510044.13456192036</v>
      </c>
    </row>
    <row r="16" spans="2:24" ht="13.5">
      <c r="B16" s="127" t="s">
        <v>212</v>
      </c>
      <c r="C16" s="127" t="s">
        <v>213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f t="shared" si="0"/>
        <v>0</v>
      </c>
      <c r="M16" s="130">
        <f t="shared" si="0"/>
        <v>0</v>
      </c>
      <c r="N16" s="128">
        <v>25</v>
      </c>
      <c r="O16" s="129">
        <v>42635</v>
      </c>
      <c r="P16" s="128">
        <f t="shared" si="1"/>
        <v>283</v>
      </c>
      <c r="Q16" s="128">
        <f t="shared" si="2"/>
        <v>0.77534246575342469</v>
      </c>
      <c r="R16" s="128">
        <f t="shared" si="3"/>
        <v>24.224657534246575</v>
      </c>
      <c r="S16" s="128">
        <f t="shared" si="4"/>
        <v>921</v>
      </c>
      <c r="T16" s="128">
        <f t="shared" si="5"/>
        <v>2.5232876712328767</v>
      </c>
      <c r="U16" s="128">
        <f t="shared" si="6"/>
        <v>0</v>
      </c>
      <c r="V16" s="128">
        <f t="shared" si="7"/>
        <v>0</v>
      </c>
      <c r="W16" s="128">
        <f t="shared" si="8"/>
        <v>0</v>
      </c>
      <c r="X16" s="128">
        <f t="shared" si="9"/>
        <v>0</v>
      </c>
    </row>
    <row r="17" spans="2:24" ht="13.5">
      <c r="B17" s="127" t="s">
        <v>214</v>
      </c>
      <c r="C17" s="127" t="s">
        <v>215</v>
      </c>
      <c r="D17" s="122">
        <v>2</v>
      </c>
      <c r="E17" s="122">
        <v>111057.41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0"/>
        <v>2</v>
      </c>
      <c r="M17" s="130">
        <f t="shared" si="0"/>
        <v>111057.41</v>
      </c>
      <c r="N17" s="128">
        <v>25</v>
      </c>
      <c r="O17" s="129">
        <v>42635</v>
      </c>
      <c r="P17" s="128">
        <f t="shared" si="1"/>
        <v>283</v>
      </c>
      <c r="Q17" s="128">
        <f t="shared" si="2"/>
        <v>0.77534246575342469</v>
      </c>
      <c r="R17" s="128">
        <f t="shared" si="3"/>
        <v>24.224657534246575</v>
      </c>
      <c r="S17" s="128">
        <f t="shared" si="4"/>
        <v>921</v>
      </c>
      <c r="T17" s="128">
        <f t="shared" si="5"/>
        <v>2.5232876712328767</v>
      </c>
      <c r="U17" s="128">
        <f t="shared" si="6"/>
        <v>5552.8705000000009</v>
      </c>
      <c r="V17" s="128">
        <f t="shared" si="7"/>
        <v>105504.5395</v>
      </c>
      <c r="W17" s="128">
        <f>T17/R17*V17</f>
        <v>10989.559022788962</v>
      </c>
      <c r="X17" s="128">
        <f t="shared" si="9"/>
        <v>100067.85097721104</v>
      </c>
    </row>
    <row r="18" spans="2:24" ht="13.5">
      <c r="B18" s="127" t="s">
        <v>216</v>
      </c>
      <c r="C18" s="127" t="s">
        <v>217</v>
      </c>
      <c r="D18" s="122">
        <v>2</v>
      </c>
      <c r="E18" s="122">
        <v>8783.1299999999992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0"/>
        <v>2</v>
      </c>
      <c r="M18" s="130">
        <f t="shared" si="0"/>
        <v>8783.1299999999992</v>
      </c>
      <c r="N18" s="128">
        <v>25</v>
      </c>
      <c r="O18" s="129">
        <v>42635</v>
      </c>
      <c r="P18" s="128">
        <f t="shared" si="1"/>
        <v>283</v>
      </c>
      <c r="Q18" s="128">
        <f t="shared" si="2"/>
        <v>0.77534246575342469</v>
      </c>
      <c r="R18" s="128">
        <f t="shared" si="3"/>
        <v>24.224657534246575</v>
      </c>
      <c r="S18" s="128">
        <f t="shared" si="4"/>
        <v>921</v>
      </c>
      <c r="T18" s="128">
        <f t="shared" si="5"/>
        <v>2.5232876712328767</v>
      </c>
      <c r="U18" s="128">
        <f t="shared" si="6"/>
        <v>439.15649999999999</v>
      </c>
      <c r="V18" s="128">
        <f t="shared" si="7"/>
        <v>8343.9735000000001</v>
      </c>
      <c r="W18" s="128">
        <f t="shared" si="8"/>
        <v>869.12458646233881</v>
      </c>
      <c r="X18" s="128">
        <f t="shared" si="9"/>
        <v>7914.0054135376604</v>
      </c>
    </row>
    <row r="19" spans="2:24" ht="13.5">
      <c r="B19" s="127" t="s">
        <v>218</v>
      </c>
      <c r="C19" s="127" t="s">
        <v>219</v>
      </c>
      <c r="D19" s="122">
        <v>1</v>
      </c>
      <c r="E19" s="122">
        <v>3331.53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0"/>
        <v>1</v>
      </c>
      <c r="M19" s="130">
        <f t="shared" si="0"/>
        <v>3331.53</v>
      </c>
      <c r="N19" s="128">
        <v>25</v>
      </c>
      <c r="O19" s="129">
        <v>42635</v>
      </c>
      <c r="P19" s="128">
        <f t="shared" si="1"/>
        <v>283</v>
      </c>
      <c r="Q19" s="128">
        <f>P19/365</f>
        <v>0.77534246575342469</v>
      </c>
      <c r="R19" s="128">
        <f t="shared" si="3"/>
        <v>24.224657534246575</v>
      </c>
      <c r="S19" s="128">
        <f t="shared" si="4"/>
        <v>921</v>
      </c>
      <c r="T19" s="128">
        <f t="shared" si="5"/>
        <v>2.5232876712328767</v>
      </c>
      <c r="U19" s="128">
        <f t="shared" si="6"/>
        <v>166.57650000000001</v>
      </c>
      <c r="V19" s="128">
        <f t="shared" si="7"/>
        <v>3164.9535000000001</v>
      </c>
      <c r="W19" s="128">
        <f t="shared" si="8"/>
        <v>329.66774185704594</v>
      </c>
      <c r="X19" s="128">
        <f t="shared" si="9"/>
        <v>3001.8622581429545</v>
      </c>
    </row>
    <row r="20" spans="2:24" ht="13.5">
      <c r="B20" s="127" t="s">
        <v>220</v>
      </c>
      <c r="C20" s="127" t="s">
        <v>221</v>
      </c>
      <c r="D20" s="122">
        <v>14</v>
      </c>
      <c r="E20" s="122">
        <v>39618.75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0"/>
        <v>14</v>
      </c>
      <c r="M20" s="130">
        <f t="shared" si="0"/>
        <v>39618.75</v>
      </c>
      <c r="N20" s="128">
        <v>25</v>
      </c>
      <c r="O20" s="129">
        <v>42635</v>
      </c>
      <c r="P20" s="128">
        <f t="shared" si="1"/>
        <v>283</v>
      </c>
      <c r="Q20" s="128">
        <f t="shared" si="2"/>
        <v>0.77534246575342469</v>
      </c>
      <c r="R20" s="128">
        <f t="shared" si="3"/>
        <v>24.224657534246575</v>
      </c>
      <c r="S20" s="128">
        <f t="shared" si="4"/>
        <v>921</v>
      </c>
      <c r="T20" s="128">
        <f t="shared" si="5"/>
        <v>2.5232876712328767</v>
      </c>
      <c r="U20" s="128">
        <f t="shared" si="6"/>
        <v>1980.9375</v>
      </c>
      <c r="V20" s="128">
        <f t="shared" si="7"/>
        <v>37637.8125</v>
      </c>
      <c r="W20" s="128">
        <f t="shared" si="8"/>
        <v>3920.4281059149516</v>
      </c>
      <c r="X20" s="128">
        <f t="shared" si="9"/>
        <v>35698.321894085049</v>
      </c>
    </row>
    <row r="21" spans="2:24" ht="13.5">
      <c r="B21" s="127" t="s">
        <v>222</v>
      </c>
      <c r="C21" s="127" t="s">
        <v>223</v>
      </c>
      <c r="D21" s="122">
        <v>14</v>
      </c>
      <c r="E21" s="122">
        <v>60156.88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0"/>
        <v>14</v>
      </c>
      <c r="M21" s="130">
        <f t="shared" si="0"/>
        <v>60156.88</v>
      </c>
      <c r="N21" s="128">
        <v>25</v>
      </c>
      <c r="O21" s="129">
        <v>42635</v>
      </c>
      <c r="P21" s="128">
        <f t="shared" si="1"/>
        <v>283</v>
      </c>
      <c r="Q21" s="128">
        <f t="shared" si="2"/>
        <v>0.77534246575342469</v>
      </c>
      <c r="R21" s="128">
        <f t="shared" si="3"/>
        <v>24.224657534246575</v>
      </c>
      <c r="S21" s="128">
        <f t="shared" si="4"/>
        <v>921</v>
      </c>
      <c r="T21" s="128">
        <f t="shared" si="5"/>
        <v>2.5232876712328767</v>
      </c>
      <c r="U21" s="128">
        <f t="shared" si="6"/>
        <v>3007.8440000000001</v>
      </c>
      <c r="V21" s="128">
        <f t="shared" si="7"/>
        <v>57149.036</v>
      </c>
      <c r="W21" s="128">
        <f t="shared" si="8"/>
        <v>5952.755276634246</v>
      </c>
      <c r="X21" s="128">
        <f t="shared" si="9"/>
        <v>54204.124723365749</v>
      </c>
    </row>
    <row r="22" spans="2:24" ht="13.5">
      <c r="B22" s="127" t="s">
        <v>224</v>
      </c>
      <c r="C22" s="127" t="s">
        <v>225</v>
      </c>
      <c r="D22" s="122">
        <v>1</v>
      </c>
      <c r="E22" s="122">
        <v>302.87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0"/>
        <v>1</v>
      </c>
      <c r="M22" s="130">
        <f t="shared" si="0"/>
        <v>302.87</v>
      </c>
      <c r="N22" s="128">
        <v>25</v>
      </c>
      <c r="O22" s="129">
        <v>42635</v>
      </c>
      <c r="P22" s="128">
        <f t="shared" si="1"/>
        <v>283</v>
      </c>
      <c r="Q22" s="128">
        <f t="shared" si="2"/>
        <v>0.77534246575342469</v>
      </c>
      <c r="R22" s="128">
        <f t="shared" si="3"/>
        <v>24.224657534246575</v>
      </c>
      <c r="S22" s="128">
        <f t="shared" si="4"/>
        <v>921</v>
      </c>
      <c r="T22" s="128">
        <f t="shared" si="5"/>
        <v>2.5232876712328767</v>
      </c>
      <c r="U22" s="128">
        <f t="shared" si="6"/>
        <v>15.143500000000001</v>
      </c>
      <c r="V22" s="128">
        <f t="shared" si="7"/>
        <v>287.72649999999999</v>
      </c>
      <c r="W22" s="128">
        <f t="shared" si="8"/>
        <v>29.970154546482696</v>
      </c>
      <c r="X22" s="128">
        <f t="shared" si="9"/>
        <v>272.89984545351729</v>
      </c>
    </row>
    <row r="23" spans="2:24" ht="13.5">
      <c r="B23" s="127" t="s">
        <v>226</v>
      </c>
      <c r="C23" s="127" t="s">
        <v>227</v>
      </c>
      <c r="D23" s="122">
        <v>1</v>
      </c>
      <c r="E23" s="122">
        <v>2981.34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0"/>
        <v>1</v>
      </c>
      <c r="M23" s="130">
        <f t="shared" si="0"/>
        <v>2981.34</v>
      </c>
      <c r="N23" s="128">
        <v>25</v>
      </c>
      <c r="O23" s="129">
        <v>42635</v>
      </c>
      <c r="P23" s="128">
        <f t="shared" si="1"/>
        <v>283</v>
      </c>
      <c r="Q23" s="128">
        <f t="shared" si="2"/>
        <v>0.77534246575342469</v>
      </c>
      <c r="R23" s="128">
        <f t="shared" si="3"/>
        <v>24.224657534246575</v>
      </c>
      <c r="S23" s="128">
        <f t="shared" si="4"/>
        <v>921</v>
      </c>
      <c r="T23" s="128">
        <f t="shared" si="5"/>
        <v>2.5232876712328767</v>
      </c>
      <c r="U23" s="128">
        <f t="shared" si="6"/>
        <v>149.06700000000001</v>
      </c>
      <c r="V23" s="128">
        <f t="shared" si="7"/>
        <v>2832.2730000000001</v>
      </c>
      <c r="W23" s="128">
        <f t="shared" si="8"/>
        <v>295.01509081655735</v>
      </c>
      <c r="X23" s="128">
        <f t="shared" si="9"/>
        <v>2686.3249091834427</v>
      </c>
    </row>
    <row r="24" spans="2:24" ht="13.5">
      <c r="B24" s="127" t="s">
        <v>228</v>
      </c>
      <c r="C24" s="127" t="s">
        <v>229</v>
      </c>
      <c r="D24" s="122">
        <v>1</v>
      </c>
      <c r="E24" s="122">
        <v>20140.63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0"/>
        <v>1</v>
      </c>
      <c r="M24" s="130">
        <f t="shared" si="0"/>
        <v>20140.63</v>
      </c>
      <c r="N24" s="128">
        <v>25</v>
      </c>
      <c r="O24" s="129">
        <v>42635</v>
      </c>
      <c r="P24" s="128">
        <f t="shared" si="1"/>
        <v>283</v>
      </c>
      <c r="Q24" s="128">
        <f t="shared" si="2"/>
        <v>0.77534246575342469</v>
      </c>
      <c r="R24" s="128">
        <f t="shared" si="3"/>
        <v>24.224657534246575</v>
      </c>
      <c r="S24" s="128">
        <f t="shared" si="4"/>
        <v>921</v>
      </c>
      <c r="T24" s="128">
        <f t="shared" si="5"/>
        <v>2.5232876712328767</v>
      </c>
      <c r="U24" s="128">
        <f t="shared" si="6"/>
        <v>1007.0315000000001</v>
      </c>
      <c r="V24" s="128">
        <f t="shared" si="7"/>
        <v>19133.5985</v>
      </c>
      <c r="W24" s="128">
        <f t="shared" si="8"/>
        <v>1992.9930127233658</v>
      </c>
      <c r="X24" s="128">
        <f t="shared" si="9"/>
        <v>18147.636987276634</v>
      </c>
    </row>
    <row r="25" spans="2:24" ht="13.5">
      <c r="B25" s="127" t="s">
        <v>230</v>
      </c>
      <c r="C25" s="127" t="s">
        <v>231</v>
      </c>
      <c r="D25" s="122">
        <v>1</v>
      </c>
      <c r="E25" s="122">
        <v>7278.26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f t="shared" si="0"/>
        <v>1</v>
      </c>
      <c r="M25" s="130">
        <f t="shared" si="0"/>
        <v>7278.26</v>
      </c>
      <c r="N25" s="128">
        <v>25</v>
      </c>
      <c r="O25" s="129">
        <v>42635</v>
      </c>
      <c r="P25" s="128">
        <f t="shared" si="1"/>
        <v>283</v>
      </c>
      <c r="Q25" s="128">
        <f t="shared" si="2"/>
        <v>0.77534246575342469</v>
      </c>
      <c r="R25" s="128">
        <f t="shared" si="3"/>
        <v>24.224657534246575</v>
      </c>
      <c r="S25" s="128">
        <f t="shared" si="4"/>
        <v>921</v>
      </c>
      <c r="T25" s="128">
        <f t="shared" si="5"/>
        <v>2.5232876712328767</v>
      </c>
      <c r="U25" s="128">
        <f t="shared" si="6"/>
        <v>363.91300000000001</v>
      </c>
      <c r="V25" s="128">
        <f t="shared" si="7"/>
        <v>6914.3469999999998</v>
      </c>
      <c r="W25" s="128">
        <f t="shared" si="8"/>
        <v>720.21189629043204</v>
      </c>
      <c r="X25" s="128">
        <f t="shared" si="9"/>
        <v>6558.0481037095678</v>
      </c>
    </row>
    <row r="26" spans="2:24" ht="13.5">
      <c r="B26" s="127" t="s">
        <v>232</v>
      </c>
      <c r="C26" s="127" t="s">
        <v>233</v>
      </c>
      <c r="D26" s="122">
        <v>1</v>
      </c>
      <c r="E26" s="122">
        <v>3814.23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f t="shared" si="0"/>
        <v>1</v>
      </c>
      <c r="M26" s="130">
        <f t="shared" si="0"/>
        <v>3814.23</v>
      </c>
      <c r="N26" s="128">
        <v>25</v>
      </c>
      <c r="O26" s="129">
        <v>42635</v>
      </c>
      <c r="P26" s="128">
        <f t="shared" si="1"/>
        <v>283</v>
      </c>
      <c r="Q26" s="128">
        <f t="shared" si="2"/>
        <v>0.77534246575342469</v>
      </c>
      <c r="R26" s="128">
        <f t="shared" si="3"/>
        <v>24.224657534246575</v>
      </c>
      <c r="S26" s="128">
        <f t="shared" si="4"/>
        <v>921</v>
      </c>
      <c r="T26" s="128">
        <f t="shared" si="5"/>
        <v>2.5232876712328767</v>
      </c>
      <c r="U26" s="128">
        <f t="shared" si="6"/>
        <v>190.7115</v>
      </c>
      <c r="V26" s="128">
        <f t="shared" si="7"/>
        <v>3623.5185000000001</v>
      </c>
      <c r="W26" s="128">
        <f t="shared" si="8"/>
        <v>377.43276843474331</v>
      </c>
      <c r="X26" s="128">
        <f t="shared" si="9"/>
        <v>3436.7972315652569</v>
      </c>
    </row>
    <row r="27" spans="2:24" ht="13.5">
      <c r="B27" s="127" t="s">
        <v>234</v>
      </c>
      <c r="C27" s="127" t="s">
        <v>235</v>
      </c>
      <c r="D27" s="122">
        <v>1</v>
      </c>
      <c r="E27" s="122">
        <v>45780.19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f t="shared" si="0"/>
        <v>1</v>
      </c>
      <c r="M27" s="130">
        <f t="shared" si="0"/>
        <v>45780.19</v>
      </c>
      <c r="N27" s="128">
        <v>25</v>
      </c>
      <c r="O27" s="129">
        <v>42635</v>
      </c>
      <c r="P27" s="128">
        <f t="shared" si="1"/>
        <v>283</v>
      </c>
      <c r="Q27" s="128">
        <f t="shared" si="2"/>
        <v>0.77534246575342469</v>
      </c>
      <c r="R27" s="128">
        <f t="shared" si="3"/>
        <v>24.224657534246575</v>
      </c>
      <c r="S27" s="128">
        <f t="shared" si="4"/>
        <v>921</v>
      </c>
      <c r="T27" s="128">
        <f t="shared" si="5"/>
        <v>2.5232876712328767</v>
      </c>
      <c r="U27" s="128">
        <f t="shared" si="6"/>
        <v>2289.0095000000001</v>
      </c>
      <c r="V27" s="128">
        <f t="shared" si="7"/>
        <v>43491.180500000002</v>
      </c>
      <c r="W27" s="128">
        <f t="shared" si="8"/>
        <v>4530.1263560845964</v>
      </c>
      <c r="X27" s="128">
        <f t="shared" si="9"/>
        <v>41250.063643915404</v>
      </c>
    </row>
    <row r="28" spans="2:24" ht="13.5">
      <c r="B28" s="127" t="s">
        <v>236</v>
      </c>
      <c r="C28" s="127" t="s">
        <v>237</v>
      </c>
      <c r="D28" s="122">
        <v>1</v>
      </c>
      <c r="E28" s="122">
        <v>78527.64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0"/>
        <v>1</v>
      </c>
      <c r="M28" s="130">
        <f t="shared" si="0"/>
        <v>78527.64</v>
      </c>
      <c r="N28" s="128">
        <v>25</v>
      </c>
      <c r="O28" s="129">
        <v>42635</v>
      </c>
      <c r="P28" s="128">
        <f t="shared" si="1"/>
        <v>283</v>
      </c>
      <c r="Q28" s="128">
        <f t="shared" si="2"/>
        <v>0.77534246575342469</v>
      </c>
      <c r="R28" s="128">
        <f t="shared" si="3"/>
        <v>24.224657534246575</v>
      </c>
      <c r="S28" s="128">
        <f t="shared" si="4"/>
        <v>921</v>
      </c>
      <c r="T28" s="128">
        <f t="shared" si="5"/>
        <v>2.5232876712328767</v>
      </c>
      <c r="U28" s="128">
        <f t="shared" si="6"/>
        <v>3926.3820000000001</v>
      </c>
      <c r="V28" s="128">
        <f t="shared" si="7"/>
        <v>74601.258000000002</v>
      </c>
      <c r="W28" s="128">
        <f t="shared" si="8"/>
        <v>7770.612827188419</v>
      </c>
      <c r="X28" s="128">
        <f t="shared" si="9"/>
        <v>70757.027172811577</v>
      </c>
    </row>
    <row r="29" spans="2:24" ht="13.5">
      <c r="B29" s="127" t="s">
        <v>238</v>
      </c>
      <c r="C29" s="127" t="s">
        <v>239</v>
      </c>
      <c r="D29" s="122">
        <v>2</v>
      </c>
      <c r="E29" s="122">
        <v>1514.33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f t="shared" si="0"/>
        <v>2</v>
      </c>
      <c r="M29" s="130">
        <f t="shared" si="0"/>
        <v>1514.33</v>
      </c>
      <c r="N29" s="128">
        <v>25</v>
      </c>
      <c r="O29" s="129">
        <v>42635</v>
      </c>
      <c r="P29" s="128">
        <f t="shared" si="1"/>
        <v>283</v>
      </c>
      <c r="Q29" s="128">
        <f t="shared" si="2"/>
        <v>0.77534246575342469</v>
      </c>
      <c r="R29" s="128">
        <f t="shared" si="3"/>
        <v>24.224657534246575</v>
      </c>
      <c r="S29" s="128">
        <f t="shared" si="4"/>
        <v>921</v>
      </c>
      <c r="T29" s="128">
        <f t="shared" si="5"/>
        <v>2.5232876712328767</v>
      </c>
      <c r="U29" s="128">
        <f t="shared" si="6"/>
        <v>75.716499999999996</v>
      </c>
      <c r="V29" s="128">
        <f t="shared" si="7"/>
        <v>1438.6134999999999</v>
      </c>
      <c r="W29" s="128">
        <f t="shared" si="8"/>
        <v>149.84879365528161</v>
      </c>
      <c r="X29" s="128">
        <f t="shared" si="9"/>
        <v>1364.4812063447184</v>
      </c>
    </row>
    <row r="30" spans="2:24" ht="13.5">
      <c r="B30" s="205" t="s">
        <v>294</v>
      </c>
      <c r="C30" s="205" t="s">
        <v>295</v>
      </c>
      <c r="D30" s="206">
        <v>1</v>
      </c>
      <c r="E30" s="206">
        <v>539.48</v>
      </c>
      <c r="F30" s="206">
        <v>0</v>
      </c>
      <c r="G30" s="206">
        <v>0</v>
      </c>
      <c r="H30" s="206">
        <f>D30</f>
        <v>1</v>
      </c>
      <c r="I30" s="206">
        <f>E30</f>
        <v>539.48</v>
      </c>
      <c r="J30" s="206">
        <v>0</v>
      </c>
      <c r="K30" s="206">
        <v>0</v>
      </c>
      <c r="L30" s="206">
        <f t="shared" si="0"/>
        <v>0</v>
      </c>
      <c r="M30" s="207">
        <f t="shared" si="0"/>
        <v>0</v>
      </c>
      <c r="N30" s="208">
        <v>25</v>
      </c>
      <c r="O30" s="209">
        <v>42635</v>
      </c>
      <c r="P30" s="208">
        <f t="shared" si="1"/>
        <v>283</v>
      </c>
      <c r="Q30" s="208">
        <f t="shared" si="2"/>
        <v>0.77534246575342469</v>
      </c>
      <c r="R30" s="208">
        <f t="shared" si="3"/>
        <v>24.224657534246575</v>
      </c>
      <c r="S30" s="208">
        <f t="shared" si="4"/>
        <v>921</v>
      </c>
      <c r="T30" s="208">
        <f t="shared" si="5"/>
        <v>2.5232876712328767</v>
      </c>
      <c r="U30" s="208">
        <f t="shared" si="6"/>
        <v>0</v>
      </c>
      <c r="V30" s="208">
        <f t="shared" si="7"/>
        <v>0</v>
      </c>
      <c r="W30" s="208">
        <f t="shared" si="8"/>
        <v>0</v>
      </c>
      <c r="X30" s="208">
        <f t="shared" si="9"/>
        <v>0</v>
      </c>
    </row>
    <row r="31" spans="2:24" ht="13.5">
      <c r="B31" s="127" t="s">
        <v>240</v>
      </c>
      <c r="C31" s="127" t="s">
        <v>241</v>
      </c>
      <c r="D31" s="122">
        <v>1</v>
      </c>
      <c r="E31" s="122">
        <v>113.58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0"/>
        <v>1</v>
      </c>
      <c r="M31" s="130">
        <f t="shared" si="0"/>
        <v>113.58</v>
      </c>
      <c r="N31" s="128">
        <v>25</v>
      </c>
      <c r="O31" s="129">
        <v>42635</v>
      </c>
      <c r="P31" s="128">
        <f t="shared" si="1"/>
        <v>283</v>
      </c>
      <c r="Q31" s="128">
        <f t="shared" si="2"/>
        <v>0.77534246575342469</v>
      </c>
      <c r="R31" s="128">
        <f t="shared" si="3"/>
        <v>24.224657534246575</v>
      </c>
      <c r="S31" s="128">
        <f t="shared" si="4"/>
        <v>921</v>
      </c>
      <c r="T31" s="128">
        <f t="shared" si="5"/>
        <v>2.5232876712328767</v>
      </c>
      <c r="U31" s="128">
        <f t="shared" si="6"/>
        <v>5.6790000000000003</v>
      </c>
      <c r="V31" s="128">
        <f t="shared" si="7"/>
        <v>107.901</v>
      </c>
      <c r="W31" s="128">
        <f t="shared" si="8"/>
        <v>11.239179031893237</v>
      </c>
      <c r="X31" s="128">
        <f t="shared" si="9"/>
        <v>102.34082096810675</v>
      </c>
    </row>
    <row r="32" spans="2:24" ht="13.5">
      <c r="B32" s="127" t="s">
        <v>242</v>
      </c>
      <c r="C32" s="127" t="s">
        <v>243</v>
      </c>
      <c r="D32" s="122">
        <v>4</v>
      </c>
      <c r="E32" s="122">
        <v>719.31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0"/>
        <v>4</v>
      </c>
      <c r="M32" s="130">
        <f t="shared" si="0"/>
        <v>719.31</v>
      </c>
      <c r="N32" s="128">
        <v>25</v>
      </c>
      <c r="O32" s="129">
        <v>42635</v>
      </c>
      <c r="P32" s="128">
        <f t="shared" si="1"/>
        <v>283</v>
      </c>
      <c r="Q32" s="128">
        <f t="shared" si="2"/>
        <v>0.77534246575342469</v>
      </c>
      <c r="R32" s="128">
        <f t="shared" si="3"/>
        <v>24.224657534246575</v>
      </c>
      <c r="S32" s="128">
        <f t="shared" si="4"/>
        <v>921</v>
      </c>
      <c r="T32" s="128">
        <f t="shared" si="5"/>
        <v>2.5232876712328767</v>
      </c>
      <c r="U32" s="128">
        <f t="shared" si="6"/>
        <v>35.965499999999999</v>
      </c>
      <c r="V32" s="128">
        <f t="shared" si="7"/>
        <v>683.34449999999993</v>
      </c>
      <c r="W32" s="128">
        <f t="shared" si="8"/>
        <v>71.17849858629269</v>
      </c>
      <c r="X32" s="128">
        <f t="shared" si="9"/>
        <v>648.13150141370727</v>
      </c>
    </row>
    <row r="33" spans="2:24" ht="13.5">
      <c r="B33" s="127" t="s">
        <v>244</v>
      </c>
      <c r="C33" s="127" t="s">
        <v>245</v>
      </c>
      <c r="D33" s="122">
        <v>1</v>
      </c>
      <c r="E33" s="122">
        <v>28270.68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0"/>
        <v>1</v>
      </c>
      <c r="M33" s="130">
        <f t="shared" si="0"/>
        <v>28270.68</v>
      </c>
      <c r="N33" s="128">
        <v>25</v>
      </c>
      <c r="O33" s="129">
        <v>42635</v>
      </c>
      <c r="P33" s="128">
        <f t="shared" si="1"/>
        <v>283</v>
      </c>
      <c r="Q33" s="128">
        <f t="shared" si="2"/>
        <v>0.77534246575342469</v>
      </c>
      <c r="R33" s="128">
        <f t="shared" si="3"/>
        <v>24.224657534246575</v>
      </c>
      <c r="S33" s="128">
        <f t="shared" si="4"/>
        <v>921</v>
      </c>
      <c r="T33" s="128">
        <f t="shared" si="5"/>
        <v>2.5232876712328767</v>
      </c>
      <c r="U33" s="128">
        <f t="shared" si="6"/>
        <v>1413.5340000000001</v>
      </c>
      <c r="V33" s="128">
        <f t="shared" si="7"/>
        <v>26857.146000000001</v>
      </c>
      <c r="W33" s="128">
        <f t="shared" si="8"/>
        <v>2797.4928145216018</v>
      </c>
      <c r="X33" s="128">
        <f t="shared" si="9"/>
        <v>25473.187185478397</v>
      </c>
    </row>
    <row r="34" spans="2:24" ht="13.5">
      <c r="B34" s="127" t="s">
        <v>246</v>
      </c>
      <c r="C34" s="127" t="s">
        <v>247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f t="shared" si="0"/>
        <v>0</v>
      </c>
      <c r="M34" s="130">
        <f t="shared" si="0"/>
        <v>0</v>
      </c>
      <c r="N34" s="128">
        <v>25</v>
      </c>
      <c r="O34" s="129">
        <v>42635</v>
      </c>
      <c r="P34" s="128">
        <f t="shared" si="1"/>
        <v>283</v>
      </c>
      <c r="Q34" s="128">
        <f t="shared" si="2"/>
        <v>0.77534246575342469</v>
      </c>
      <c r="R34" s="128">
        <f t="shared" si="3"/>
        <v>24.224657534246575</v>
      </c>
      <c r="S34" s="128">
        <f t="shared" si="4"/>
        <v>921</v>
      </c>
      <c r="T34" s="128">
        <f t="shared" si="5"/>
        <v>2.5232876712328767</v>
      </c>
      <c r="U34" s="128">
        <f>+M34*5%</f>
        <v>0</v>
      </c>
      <c r="V34" s="128">
        <f t="shared" si="7"/>
        <v>0</v>
      </c>
      <c r="W34" s="128">
        <f t="shared" si="8"/>
        <v>0</v>
      </c>
      <c r="X34" s="128">
        <f t="shared" si="9"/>
        <v>0</v>
      </c>
    </row>
    <row r="35" spans="2:24" ht="13.5">
      <c r="B35" s="127" t="s">
        <v>248</v>
      </c>
      <c r="C35" s="127" t="s">
        <v>249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f t="shared" si="0"/>
        <v>0</v>
      </c>
      <c r="M35" s="130">
        <f t="shared" si="0"/>
        <v>0</v>
      </c>
      <c r="N35" s="128">
        <v>25</v>
      </c>
      <c r="O35" s="129">
        <v>42635</v>
      </c>
      <c r="P35" s="128">
        <f t="shared" si="1"/>
        <v>283</v>
      </c>
      <c r="Q35" s="128">
        <f t="shared" si="2"/>
        <v>0.77534246575342469</v>
      </c>
      <c r="R35" s="128">
        <f t="shared" si="3"/>
        <v>24.224657534246575</v>
      </c>
      <c r="S35" s="128">
        <f t="shared" si="4"/>
        <v>921</v>
      </c>
      <c r="T35" s="128">
        <f t="shared" si="5"/>
        <v>2.5232876712328767</v>
      </c>
      <c r="U35" s="128">
        <f t="shared" si="6"/>
        <v>0</v>
      </c>
      <c r="V35" s="128">
        <f t="shared" si="7"/>
        <v>0</v>
      </c>
      <c r="W35" s="128">
        <f t="shared" si="8"/>
        <v>0</v>
      </c>
      <c r="X35" s="128">
        <f t="shared" si="9"/>
        <v>0</v>
      </c>
    </row>
    <row r="36" spans="2:24" ht="13.5">
      <c r="B36" s="200" t="s">
        <v>292</v>
      </c>
      <c r="C36" s="200" t="s">
        <v>293</v>
      </c>
      <c r="D36" s="201">
        <v>1</v>
      </c>
      <c r="E36" s="201">
        <v>108773</v>
      </c>
      <c r="F36" s="201">
        <v>0</v>
      </c>
      <c r="G36" s="201">
        <v>0</v>
      </c>
      <c r="H36" s="201">
        <f>D36</f>
        <v>1</v>
      </c>
      <c r="I36" s="201">
        <f>E36</f>
        <v>108773</v>
      </c>
      <c r="J36" s="201">
        <v>0</v>
      </c>
      <c r="K36" s="201">
        <v>0</v>
      </c>
      <c r="L36" s="201">
        <f t="shared" si="0"/>
        <v>0</v>
      </c>
      <c r="M36" s="202">
        <f t="shared" si="0"/>
        <v>0</v>
      </c>
      <c r="N36" s="203">
        <v>25</v>
      </c>
      <c r="O36" s="204">
        <v>42635</v>
      </c>
      <c r="P36" s="203">
        <f t="shared" si="1"/>
        <v>283</v>
      </c>
      <c r="Q36" s="203">
        <f t="shared" si="2"/>
        <v>0.77534246575342469</v>
      </c>
      <c r="R36" s="203">
        <f t="shared" si="3"/>
        <v>24.224657534246575</v>
      </c>
      <c r="S36" s="203">
        <f t="shared" si="4"/>
        <v>921</v>
      </c>
      <c r="T36" s="203">
        <f t="shared" si="5"/>
        <v>2.5232876712328767</v>
      </c>
      <c r="U36" s="203">
        <f t="shared" si="6"/>
        <v>0</v>
      </c>
      <c r="V36" s="203">
        <f t="shared" si="7"/>
        <v>0</v>
      </c>
      <c r="W36" s="203">
        <f t="shared" si="8"/>
        <v>0</v>
      </c>
      <c r="X36" s="203">
        <f t="shared" si="9"/>
        <v>0</v>
      </c>
    </row>
    <row r="37" spans="2:24" ht="13.5">
      <c r="B37" s="127" t="s">
        <v>250</v>
      </c>
      <c r="C37" s="127" t="s">
        <v>251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f t="shared" si="0"/>
        <v>0</v>
      </c>
      <c r="M37" s="130">
        <f t="shared" si="0"/>
        <v>0</v>
      </c>
      <c r="N37" s="128">
        <v>25</v>
      </c>
      <c r="O37" s="129">
        <v>42635</v>
      </c>
      <c r="P37" s="128">
        <f t="shared" si="1"/>
        <v>283</v>
      </c>
      <c r="Q37" s="128">
        <f t="shared" si="2"/>
        <v>0.77534246575342469</v>
      </c>
      <c r="R37" s="128">
        <f t="shared" si="3"/>
        <v>24.224657534246575</v>
      </c>
      <c r="S37" s="128">
        <f t="shared" si="4"/>
        <v>921</v>
      </c>
      <c r="T37" s="128">
        <f t="shared" si="5"/>
        <v>2.5232876712328767</v>
      </c>
      <c r="U37" s="128">
        <f t="shared" si="6"/>
        <v>0</v>
      </c>
      <c r="V37" s="128">
        <f t="shared" si="7"/>
        <v>0</v>
      </c>
      <c r="W37" s="128">
        <f t="shared" si="8"/>
        <v>0</v>
      </c>
      <c r="X37" s="128">
        <f t="shared" si="9"/>
        <v>0</v>
      </c>
    </row>
    <row r="38" spans="2:24">
      <c r="B38" s="127"/>
      <c r="C38" s="127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8"/>
      <c r="O38" s="129"/>
      <c r="P38" s="128"/>
      <c r="Q38" s="128"/>
      <c r="R38" s="128"/>
      <c r="S38" s="128"/>
      <c r="T38" s="128"/>
      <c r="U38" s="128"/>
      <c r="V38" s="128"/>
      <c r="W38" s="128"/>
      <c r="X38" s="128"/>
    </row>
    <row r="39" spans="2:24">
      <c r="B39" s="195" t="s">
        <v>252</v>
      </c>
      <c r="C39" s="195" t="s">
        <v>253</v>
      </c>
      <c r="D39" s="196"/>
      <c r="E39" s="196">
        <f>SUM(E6:E37)</f>
        <v>2282017.21</v>
      </c>
      <c r="F39" s="196"/>
      <c r="G39" s="196">
        <f>SUM(G6:G37)</f>
        <v>0</v>
      </c>
      <c r="H39" s="196"/>
      <c r="I39" s="196">
        <f>SUM(I6:I37)</f>
        <v>115357.13</v>
      </c>
      <c r="J39" s="196"/>
      <c r="K39" s="196">
        <f>SUM(K6:K37)</f>
        <v>0</v>
      </c>
      <c r="L39" s="196"/>
      <c r="M39" s="196">
        <f>SUM(M6:M37)</f>
        <v>2166660.08</v>
      </c>
      <c r="N39" s="128"/>
      <c r="O39" s="128"/>
      <c r="P39" s="128"/>
      <c r="Q39" s="128"/>
      <c r="R39" s="128"/>
      <c r="S39" s="128"/>
      <c r="T39" s="128"/>
      <c r="U39" s="210">
        <f>SUM(U6:U37)</f>
        <v>108333.00400000002</v>
      </c>
      <c r="V39" s="210">
        <f>SUM(V6:V37)</f>
        <v>2058327.0760000004</v>
      </c>
      <c r="W39" s="210">
        <f>SUM(W6:W37)</f>
        <v>203883.85454784721</v>
      </c>
      <c r="X39" s="210">
        <f>SUM(X6:X37)</f>
        <v>1962776.2254521523</v>
      </c>
    </row>
    <row r="40" spans="2:24"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</row>
    <row r="41" spans="2:24"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 t="s">
        <v>275</v>
      </c>
      <c r="W41" s="128">
        <v>1070.18</v>
      </c>
      <c r="X41" s="128"/>
    </row>
    <row r="42" spans="2:24"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 t="s">
        <v>276</v>
      </c>
      <c r="W42" s="128">
        <v>12642.745588981708</v>
      </c>
      <c r="X42" s="128"/>
    </row>
    <row r="43" spans="2:24">
      <c r="M43" s="131"/>
      <c r="V43" s="128" t="s">
        <v>278</v>
      </c>
      <c r="W43" s="131">
        <v>24409.693742074291</v>
      </c>
    </row>
    <row r="44" spans="2:24">
      <c r="V44" s="134" t="s">
        <v>279</v>
      </c>
      <c r="W44" s="131">
        <v>19597.620223909376</v>
      </c>
    </row>
    <row r="45" spans="2:24">
      <c r="V45" s="134" t="s">
        <v>283</v>
      </c>
      <c r="W45" s="131">
        <v>22679.68</v>
      </c>
    </row>
    <row r="46" spans="2:24">
      <c r="V46" s="134" t="s">
        <v>285</v>
      </c>
      <c r="W46" s="131">
        <v>22679.68</v>
      </c>
    </row>
    <row r="47" spans="2:24">
      <c r="V47" s="134" t="s">
        <v>286</v>
      </c>
      <c r="W47" s="131">
        <v>22186.639999999999</v>
      </c>
    </row>
    <row r="48" spans="2:24">
      <c r="V48" s="134" t="s">
        <v>318</v>
      </c>
      <c r="W48" s="131">
        <v>122521.65359630682</v>
      </c>
      <c r="X48" s="68">
        <v>108014.67670265319</v>
      </c>
    </row>
    <row r="49" spans="13:24">
      <c r="V49" s="134" t="s">
        <v>289</v>
      </c>
      <c r="W49" s="131">
        <v>22003.267473765303</v>
      </c>
      <c r="X49" s="105">
        <v>501.978147251753</v>
      </c>
    </row>
    <row r="50" spans="13:24">
      <c r="V50" s="134" t="s">
        <v>297</v>
      </c>
      <c r="W50" s="131">
        <v>21538.790771112079</v>
      </c>
    </row>
    <row r="51" spans="13:24">
      <c r="M51" s="132"/>
      <c r="V51" s="134" t="s">
        <v>319</v>
      </c>
      <c r="W51" s="131">
        <f>W39-SUM(W41:W50)+SUM(X48:X50)</f>
        <v>21070.558001602563</v>
      </c>
    </row>
    <row r="52" spans="13:24">
      <c r="V52" s="134" t="s">
        <v>320</v>
      </c>
    </row>
    <row r="53" spans="13:24">
      <c r="V53" s="134" t="s">
        <v>321</v>
      </c>
    </row>
    <row r="54" spans="13:24">
      <c r="V54" s="134" t="s">
        <v>322</v>
      </c>
    </row>
    <row r="55" spans="13:24">
      <c r="V55" s="134" t="s">
        <v>323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S6" sqref="S6"/>
    </sheetView>
  </sheetViews>
  <sheetFormatPr defaultRowHeight="12.75"/>
  <cols>
    <col min="1" max="1" width="19.28515625" style="8" bestFit="1" customWidth="1"/>
    <col min="2" max="5" width="10" style="8" bestFit="1" customWidth="1"/>
    <col min="6" max="8" width="7.5703125" style="8" bestFit="1" customWidth="1"/>
    <col min="9" max="9" width="9" style="8" bestFit="1" customWidth="1"/>
    <col min="10" max="13" width="10" style="8" bestFit="1" customWidth="1"/>
    <col min="14" max="14" width="11.42578125" style="8" bestFit="1" customWidth="1"/>
    <col min="15" max="16" width="11.42578125" style="8" customWidth="1"/>
    <col min="17" max="17" width="11.42578125" style="18" bestFit="1" customWidth="1"/>
    <col min="18" max="18" width="9.140625" style="8"/>
    <col min="19" max="19" width="14.42578125" style="8" customWidth="1"/>
    <col min="20" max="20" width="22.28515625" style="8" customWidth="1"/>
    <col min="21" max="21" width="9.140625" style="8"/>
    <col min="22" max="22" width="14.140625" style="8" bestFit="1" customWidth="1"/>
    <col min="23" max="16384" width="9.140625" style="8"/>
  </cols>
  <sheetData>
    <row r="3" spans="1:22">
      <c r="A3" s="11" t="s">
        <v>73</v>
      </c>
      <c r="B3" s="290" t="s">
        <v>74</v>
      </c>
      <c r="C3" s="290"/>
      <c r="D3" s="290"/>
      <c r="E3" s="290"/>
      <c r="F3" s="290" t="s">
        <v>13</v>
      </c>
      <c r="G3" s="290"/>
      <c r="H3" s="290"/>
      <c r="I3" s="290"/>
      <c r="J3" s="290" t="s">
        <v>75</v>
      </c>
      <c r="K3" s="290"/>
      <c r="L3" s="290"/>
      <c r="M3" s="290"/>
      <c r="N3" s="11"/>
      <c r="O3" s="11"/>
      <c r="P3" s="11"/>
    </row>
    <row r="4" spans="1:22" s="13" customFormat="1">
      <c r="A4" s="12"/>
      <c r="B4" s="12" t="s">
        <v>69</v>
      </c>
      <c r="C4" s="12" t="s">
        <v>70</v>
      </c>
      <c r="D4" s="12" t="s">
        <v>71</v>
      </c>
      <c r="E4" s="12" t="s">
        <v>72</v>
      </c>
      <c r="F4" s="12" t="s">
        <v>69</v>
      </c>
      <c r="G4" s="12" t="s">
        <v>70</v>
      </c>
      <c r="H4" s="12" t="s">
        <v>71</v>
      </c>
      <c r="I4" s="12" t="s">
        <v>72</v>
      </c>
      <c r="J4" s="12" t="s">
        <v>69</v>
      </c>
      <c r="K4" s="12" t="s">
        <v>70</v>
      </c>
      <c r="L4" s="12" t="s">
        <v>71</v>
      </c>
      <c r="M4" s="12" t="s">
        <v>72</v>
      </c>
      <c r="N4" s="12"/>
      <c r="O4" s="12" t="s">
        <v>77</v>
      </c>
      <c r="P4" s="12"/>
      <c r="Q4" s="22" t="s">
        <v>69</v>
      </c>
      <c r="S4" s="13" t="s">
        <v>76</v>
      </c>
      <c r="T4" s="13" t="s">
        <v>80</v>
      </c>
      <c r="V4" s="13" t="s">
        <v>78</v>
      </c>
    </row>
    <row r="5" spans="1:22">
      <c r="A5" s="14" t="s">
        <v>4</v>
      </c>
      <c r="B5" s="15">
        <v>0</v>
      </c>
      <c r="C5" s="15">
        <v>0</v>
      </c>
      <c r="D5" s="15">
        <v>0</v>
      </c>
      <c r="E5" s="15">
        <v>0</v>
      </c>
      <c r="F5" s="14"/>
      <c r="G5" s="14"/>
      <c r="H5" s="14"/>
      <c r="I5" s="14"/>
      <c r="J5" s="15">
        <v>0</v>
      </c>
      <c r="K5" s="15">
        <v>0</v>
      </c>
      <c r="L5" s="15">
        <v>0</v>
      </c>
      <c r="M5" s="15">
        <v>0</v>
      </c>
      <c r="N5" s="14"/>
      <c r="O5" s="14"/>
      <c r="P5" s="14"/>
    </row>
    <row r="6" spans="1:22">
      <c r="A6" s="14" t="s">
        <v>5</v>
      </c>
      <c r="B6" s="15">
        <v>693910.4723157417</v>
      </c>
      <c r="C6" s="15">
        <v>693910.4723157417</v>
      </c>
      <c r="D6" s="15">
        <v>693575.4723157417</v>
      </c>
      <c r="E6" s="15">
        <v>687479.07525482355</v>
      </c>
      <c r="F6" s="14"/>
      <c r="G6" s="14"/>
      <c r="H6" s="14"/>
      <c r="I6" s="15">
        <f>68888.6121153425+7209</f>
        <v>76097.612115342505</v>
      </c>
      <c r="J6" s="15">
        <f>B6+F6</f>
        <v>693910.4723157417</v>
      </c>
      <c r="K6" s="15">
        <f t="shared" ref="K6:M6" si="0">C6+G6</f>
        <v>693910.4723157417</v>
      </c>
      <c r="L6" s="15">
        <f t="shared" si="0"/>
        <v>693575.4723157417</v>
      </c>
      <c r="M6" s="15">
        <f t="shared" si="0"/>
        <v>763576.68737016607</v>
      </c>
      <c r="N6" s="16">
        <f>SUM(J6:M6)</f>
        <v>2844973.1043173913</v>
      </c>
      <c r="O6" s="17">
        <f>N6/4</f>
        <v>711243.27607934782</v>
      </c>
      <c r="P6" s="17"/>
      <c r="Q6" s="18">
        <f>Lead!I9</f>
        <v>75417779.712457821</v>
      </c>
      <c r="S6" s="19">
        <f>Q6-M6</f>
        <v>74654203.025087655</v>
      </c>
      <c r="T6" s="8" t="s">
        <v>79</v>
      </c>
      <c r="V6" s="19">
        <f>Q6-O6</f>
        <v>74706536.436378479</v>
      </c>
    </row>
    <row r="7" spans="1:22" ht="63.75">
      <c r="A7" s="14" t="s">
        <v>6</v>
      </c>
      <c r="B7" s="15">
        <v>5126796.185011561</v>
      </c>
      <c r="C7" s="15">
        <v>5124954.7005665302</v>
      </c>
      <c r="D7" s="15">
        <v>4786283.3243123479</v>
      </c>
      <c r="E7" s="15">
        <v>4236159.0719783222</v>
      </c>
      <c r="F7" s="14"/>
      <c r="G7" s="14"/>
      <c r="H7" s="14"/>
      <c r="I7" s="14"/>
      <c r="J7" s="15">
        <f t="shared" ref="J7:J10" si="1">B7+F7</f>
        <v>5126796.185011561</v>
      </c>
      <c r="K7" s="15">
        <f t="shared" ref="K7:K10" si="2">C7+G7</f>
        <v>5124954.7005665302</v>
      </c>
      <c r="L7" s="15">
        <f t="shared" ref="L7:L10" si="3">D7+H7</f>
        <v>4786283.3243123479</v>
      </c>
      <c r="M7" s="15">
        <f t="shared" ref="M7:M10" si="4">E7+I7</f>
        <v>4236159.0719783222</v>
      </c>
      <c r="N7" s="16">
        <f t="shared" ref="N7:N10" si="5">SUM(J7:M7)</f>
        <v>19274193.281868763</v>
      </c>
      <c r="O7" s="17">
        <f>N7/4</f>
        <v>4818548.3204671908</v>
      </c>
      <c r="P7" s="16"/>
      <c r="Q7" s="18">
        <f>Lead!I10</f>
        <v>309746953.64436173</v>
      </c>
      <c r="S7" s="19">
        <f>Q7-M7</f>
        <v>305510794.5723834</v>
      </c>
      <c r="T7" s="20" t="s">
        <v>114</v>
      </c>
      <c r="V7" s="19">
        <f t="shared" ref="V7:V10" si="6">Q7-O7</f>
        <v>304928405.32389456</v>
      </c>
    </row>
    <row r="8" spans="1:22" ht="38.25">
      <c r="A8" s="14" t="s">
        <v>7</v>
      </c>
      <c r="B8" s="15">
        <v>319285.60946316848</v>
      </c>
      <c r="C8" s="15">
        <v>218178.10946316848</v>
      </c>
      <c r="D8" s="15">
        <v>218178.10946316848</v>
      </c>
      <c r="E8" s="15">
        <v>218178.10946316848</v>
      </c>
      <c r="F8" s="14"/>
      <c r="G8" s="14"/>
      <c r="H8" s="14"/>
      <c r="I8" s="14"/>
      <c r="J8" s="15">
        <f t="shared" si="1"/>
        <v>319285.60946316848</v>
      </c>
      <c r="K8" s="15">
        <f t="shared" si="2"/>
        <v>218178.10946316848</v>
      </c>
      <c r="L8" s="15">
        <f t="shared" si="3"/>
        <v>218178.10946316848</v>
      </c>
      <c r="M8" s="15">
        <f t="shared" si="4"/>
        <v>218178.10946316848</v>
      </c>
      <c r="N8" s="16">
        <f t="shared" si="5"/>
        <v>973819.93785267393</v>
      </c>
      <c r="O8" s="17">
        <f>N8/4</f>
        <v>243454.98446316848</v>
      </c>
      <c r="P8" s="16"/>
      <c r="Q8" s="18">
        <f>Lead!I11</f>
        <v>0</v>
      </c>
      <c r="S8" s="19">
        <f>Q8-M8</f>
        <v>-218178.10946316848</v>
      </c>
      <c r="T8" s="20" t="s">
        <v>81</v>
      </c>
      <c r="V8" s="19">
        <f t="shared" si="6"/>
        <v>-243454.98446316848</v>
      </c>
    </row>
    <row r="9" spans="1:22" ht="102">
      <c r="A9" s="14" t="s">
        <v>8</v>
      </c>
      <c r="B9" s="15">
        <v>563262.86711829947</v>
      </c>
      <c r="C9" s="15">
        <v>563262.86711829947</v>
      </c>
      <c r="D9" s="15">
        <v>561210.86711829947</v>
      </c>
      <c r="E9" s="15">
        <v>367102.90961829969</v>
      </c>
      <c r="F9" s="15">
        <v>14603.233258082193</v>
      </c>
      <c r="G9" s="15">
        <v>19066.047269041097</v>
      </c>
      <c r="H9" s="15">
        <v>30180.622241643836</v>
      </c>
      <c r="I9" s="15">
        <v>53803.244593242009</v>
      </c>
      <c r="J9" s="15">
        <f t="shared" si="1"/>
        <v>577866.10037638166</v>
      </c>
      <c r="K9" s="15">
        <f t="shared" si="2"/>
        <v>582328.91438734054</v>
      </c>
      <c r="L9" s="15">
        <f t="shared" si="3"/>
        <v>591391.48935994331</v>
      </c>
      <c r="M9" s="15">
        <f t="shared" si="4"/>
        <v>420906.1542115417</v>
      </c>
      <c r="N9" s="16">
        <f t="shared" si="5"/>
        <v>2172492.658335207</v>
      </c>
      <c r="O9" s="17">
        <f>N9/4</f>
        <v>543123.16458380176</v>
      </c>
      <c r="P9" s="16"/>
      <c r="Q9" s="18">
        <f>Lead!I12</f>
        <v>896781.83140656201</v>
      </c>
      <c r="S9" s="19">
        <f>Q9-M9</f>
        <v>475875.67719502031</v>
      </c>
      <c r="T9" s="20" t="s">
        <v>112</v>
      </c>
      <c r="V9" s="19">
        <f t="shared" si="6"/>
        <v>353658.66682276025</v>
      </c>
    </row>
    <row r="10" spans="1:22" ht="76.5">
      <c r="A10" s="14" t="s">
        <v>9</v>
      </c>
      <c r="B10" s="15">
        <v>41228.704019614386</v>
      </c>
      <c r="C10" s="15">
        <v>41228.704019614386</v>
      </c>
      <c r="D10" s="15">
        <v>41228.704019614386</v>
      </c>
      <c r="E10" s="15">
        <v>41228.704019614386</v>
      </c>
      <c r="F10" s="15">
        <v>0</v>
      </c>
      <c r="G10" s="15">
        <v>528.8615643835617</v>
      </c>
      <c r="H10" s="15">
        <v>1897.3379750684931</v>
      </c>
      <c r="I10" s="15">
        <v>27958.044905753428</v>
      </c>
      <c r="J10" s="15">
        <f t="shared" si="1"/>
        <v>41228.704019614386</v>
      </c>
      <c r="K10" s="15">
        <f t="shared" si="2"/>
        <v>41757.565583997944</v>
      </c>
      <c r="L10" s="15">
        <f t="shared" si="3"/>
        <v>43126.041994682877</v>
      </c>
      <c r="M10" s="15">
        <f t="shared" si="4"/>
        <v>69186.748925367807</v>
      </c>
      <c r="N10" s="16">
        <f t="shared" si="5"/>
        <v>195299.06052366301</v>
      </c>
      <c r="O10" s="17">
        <f>N10/4</f>
        <v>48824.765130915752</v>
      </c>
      <c r="P10" s="16"/>
      <c r="Q10" s="18">
        <f>Lead!I13</f>
        <v>1372077.2412725987</v>
      </c>
      <c r="S10" s="19">
        <f>Q10-M10</f>
        <v>1302890.4923472309</v>
      </c>
      <c r="T10" s="20" t="s">
        <v>113</v>
      </c>
      <c r="V10" s="19">
        <f t="shared" si="6"/>
        <v>1323252.4761416831</v>
      </c>
    </row>
    <row r="11" spans="1:2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2">
      <c r="A12" s="11" t="s">
        <v>75</v>
      </c>
      <c r="B12" s="21">
        <f>SUM(B5:B11)</f>
        <v>6744483.8379283855</v>
      </c>
      <c r="C12" s="21">
        <f t="shared" ref="C12:S12" si="7">SUM(C5:C11)</f>
        <v>6641534.8534833537</v>
      </c>
      <c r="D12" s="21">
        <f t="shared" si="7"/>
        <v>6300476.4772291714</v>
      </c>
      <c r="E12" s="21">
        <f t="shared" si="7"/>
        <v>5550147.8703342276</v>
      </c>
      <c r="F12" s="21">
        <f t="shared" si="7"/>
        <v>14603.233258082193</v>
      </c>
      <c r="G12" s="21">
        <f t="shared" si="7"/>
        <v>19594.908833424659</v>
      </c>
      <c r="H12" s="21">
        <f t="shared" si="7"/>
        <v>32077.96021671233</v>
      </c>
      <c r="I12" s="21">
        <f t="shared" si="7"/>
        <v>157858.90161433793</v>
      </c>
      <c r="J12" s="21">
        <f t="shared" si="7"/>
        <v>6759087.0711864671</v>
      </c>
      <c r="K12" s="21">
        <f t="shared" si="7"/>
        <v>6661129.7623167792</v>
      </c>
      <c r="L12" s="21">
        <f t="shared" si="7"/>
        <v>6332554.4374458836</v>
      </c>
      <c r="M12" s="21">
        <f t="shared" si="7"/>
        <v>5708006.7719485657</v>
      </c>
      <c r="N12" s="21">
        <f t="shared" si="7"/>
        <v>25460778.042897698</v>
      </c>
      <c r="O12" s="21">
        <f t="shared" si="7"/>
        <v>6365194.5107244244</v>
      </c>
      <c r="P12" s="21"/>
      <c r="Q12" s="21">
        <f t="shared" si="7"/>
        <v>387433592.42949873</v>
      </c>
      <c r="S12" s="21">
        <f t="shared" si="7"/>
        <v>381725585.65755016</v>
      </c>
    </row>
  </sheetData>
  <mergeCells count="3">
    <mergeCell ref="B3:E3"/>
    <mergeCell ref="F3:I3"/>
    <mergeCell ref="J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"/>
  <sheetViews>
    <sheetView topLeftCell="V1" workbookViewId="0">
      <selection activeCell="W1" sqref="W1"/>
    </sheetView>
  </sheetViews>
  <sheetFormatPr defaultRowHeight="12.75"/>
  <cols>
    <col min="1" max="1" width="27.5703125" style="2" bestFit="1" customWidth="1"/>
    <col min="2" max="2" width="15.42578125" style="2" bestFit="1" customWidth="1"/>
    <col min="3" max="3" width="9" style="2" bestFit="1" customWidth="1"/>
    <col min="4" max="4" width="27.140625" style="2" bestFit="1" customWidth="1"/>
    <col min="5" max="5" width="9.85546875" style="2" bestFit="1" customWidth="1"/>
    <col min="6" max="6" width="5.42578125" style="2" bestFit="1" customWidth="1"/>
    <col min="7" max="7" width="9.140625" style="2"/>
    <col min="8" max="8" width="29.7109375" style="2" bestFit="1" customWidth="1"/>
    <col min="9" max="9" width="10.42578125" style="2" bestFit="1" customWidth="1"/>
    <col min="10" max="10" width="7.5703125" style="2" bestFit="1" customWidth="1"/>
    <col min="11" max="11" width="9" style="2" bestFit="1" customWidth="1"/>
    <col min="12" max="12" width="9.140625" style="2"/>
    <col min="13" max="13" width="21.140625" style="2" bestFit="1" customWidth="1"/>
    <col min="14" max="14" width="23.5703125" style="2" bestFit="1" customWidth="1"/>
    <col min="15" max="16" width="47.42578125" style="2" bestFit="1" customWidth="1"/>
    <col min="17" max="17" width="27.7109375" style="2" bestFit="1" customWidth="1"/>
    <col min="18" max="19" width="47.42578125" style="2" bestFit="1" customWidth="1"/>
    <col min="20" max="20" width="9.140625" style="2"/>
    <col min="21" max="21" width="9" style="2" bestFit="1" customWidth="1"/>
    <col min="22" max="22" width="18.28515625" style="2" bestFit="1" customWidth="1"/>
    <col min="23" max="23" width="12.85546875" style="2" bestFit="1" customWidth="1"/>
    <col min="24" max="24" width="15.7109375" style="2" bestFit="1" customWidth="1"/>
    <col min="25" max="25" width="35.42578125" style="2" bestFit="1" customWidth="1"/>
    <col min="26" max="26" width="20.28515625" style="2" bestFit="1" customWidth="1"/>
    <col min="27" max="27" width="20.7109375" style="2" bestFit="1" customWidth="1"/>
    <col min="28" max="28" width="20.85546875" style="2" bestFit="1" customWidth="1"/>
    <col min="29" max="29" width="8.5703125" style="2" bestFit="1" customWidth="1"/>
    <col min="30" max="30" width="24.7109375" style="2" bestFit="1" customWidth="1"/>
    <col min="31" max="31" width="35.7109375" style="2" bestFit="1" customWidth="1"/>
    <col min="32" max="32" width="23.42578125" style="2" bestFit="1" customWidth="1"/>
    <col min="33" max="36" width="26.85546875" style="2" bestFit="1" customWidth="1"/>
    <col min="37" max="38" width="9" style="2" bestFit="1" customWidth="1"/>
    <col min="39" max="39" width="25.28515625" style="2" bestFit="1" customWidth="1"/>
    <col min="40" max="16384" width="9.140625" style="2"/>
  </cols>
  <sheetData>
    <row r="2" spans="1:39">
      <c r="B2" s="2" t="s">
        <v>17</v>
      </c>
      <c r="C2" s="2" t="s">
        <v>18</v>
      </c>
      <c r="D2" s="2" t="s">
        <v>86</v>
      </c>
      <c r="E2" s="2" t="s">
        <v>87</v>
      </c>
      <c r="F2" s="2" t="s">
        <v>88</v>
      </c>
      <c r="H2" s="2" t="s">
        <v>89</v>
      </c>
      <c r="I2" s="2" t="s">
        <v>12</v>
      </c>
      <c r="J2" s="2">
        <v>0.05</v>
      </c>
      <c r="K2" s="2" t="s">
        <v>68</v>
      </c>
      <c r="M2" s="2" t="s">
        <v>90</v>
      </c>
      <c r="N2" s="2" t="s">
        <v>66</v>
      </c>
      <c r="O2" s="2" t="s">
        <v>91</v>
      </c>
      <c r="P2" s="2" t="s">
        <v>92</v>
      </c>
      <c r="Q2" s="2" t="s">
        <v>93</v>
      </c>
      <c r="R2" s="2" t="s">
        <v>94</v>
      </c>
      <c r="S2" s="2" t="s">
        <v>95</v>
      </c>
      <c r="V2" s="2" t="s">
        <v>96</v>
      </c>
      <c r="W2" s="2" t="s">
        <v>97</v>
      </c>
      <c r="X2" s="2" t="s">
        <v>98</v>
      </c>
      <c r="Y2" s="2" t="s">
        <v>99</v>
      </c>
      <c r="Z2" s="2" t="s">
        <v>100</v>
      </c>
      <c r="AA2" s="2" t="s">
        <v>101</v>
      </c>
      <c r="AB2" s="2" t="s">
        <v>102</v>
      </c>
      <c r="AC2" s="2" t="s">
        <v>80</v>
      </c>
      <c r="AD2" s="2" t="s">
        <v>103</v>
      </c>
      <c r="AE2" s="2" t="s">
        <v>104</v>
      </c>
      <c r="AF2" s="2" t="s">
        <v>105</v>
      </c>
      <c r="AG2" s="2" t="s">
        <v>106</v>
      </c>
      <c r="AH2" s="2" t="s">
        <v>107</v>
      </c>
      <c r="AI2" s="2" t="s">
        <v>108</v>
      </c>
      <c r="AJ2" s="2" t="s">
        <v>109</v>
      </c>
      <c r="AK2" s="2" t="s">
        <v>110</v>
      </c>
      <c r="AM2" s="2" t="s">
        <v>111</v>
      </c>
    </row>
    <row r="3" spans="1:39">
      <c r="A3" s="23" t="s">
        <v>22</v>
      </c>
      <c r="B3" s="24" t="s">
        <v>82</v>
      </c>
      <c r="C3" s="5">
        <v>464000</v>
      </c>
      <c r="D3" s="4">
        <v>169169</v>
      </c>
      <c r="E3" s="4">
        <v>294831</v>
      </c>
      <c r="F3" s="25">
        <v>16.21</v>
      </c>
      <c r="G3" s="9"/>
      <c r="H3" s="1">
        <v>178659.9583561644</v>
      </c>
      <c r="I3" s="1">
        <v>-9490.9583561643958</v>
      </c>
      <c r="J3" s="1">
        <v>23200</v>
      </c>
      <c r="K3" s="1">
        <v>271631</v>
      </c>
      <c r="L3" s="1"/>
      <c r="M3" s="1">
        <v>271631</v>
      </c>
      <c r="N3" s="1">
        <v>75214.400000000009</v>
      </c>
      <c r="O3" s="4">
        <v>18803.600000000002</v>
      </c>
      <c r="P3" s="4">
        <v>18803.600000000002</v>
      </c>
      <c r="Q3" s="4">
        <v>313635</v>
      </c>
      <c r="R3" s="4">
        <v>18803.600000000002</v>
      </c>
      <c r="S3" s="4">
        <v>18803.600000000002</v>
      </c>
      <c r="T3" s="4"/>
      <c r="U3" s="10">
        <v>219616.59999999998</v>
      </c>
      <c r="V3" s="26" t="s">
        <v>83</v>
      </c>
      <c r="W3" s="27">
        <v>40862</v>
      </c>
      <c r="X3" s="27">
        <v>41729</v>
      </c>
      <c r="Y3" s="28">
        <v>2.3753424657534246</v>
      </c>
      <c r="Z3" s="28">
        <v>3</v>
      </c>
      <c r="AA3" s="29" t="s">
        <v>84</v>
      </c>
      <c r="AB3" s="30"/>
      <c r="AC3" s="30"/>
      <c r="AD3" s="31">
        <v>0.62465753424657544</v>
      </c>
      <c r="AE3" s="4">
        <v>271631</v>
      </c>
      <c r="AF3" s="4">
        <v>271631</v>
      </c>
      <c r="AG3" s="4">
        <v>135815.5</v>
      </c>
      <c r="AH3" s="3">
        <v>135815.5</v>
      </c>
      <c r="AI3" s="3">
        <v>135815.5</v>
      </c>
      <c r="AJ3" s="3">
        <v>33354</v>
      </c>
      <c r="AK3" s="3">
        <v>-0.5</v>
      </c>
      <c r="AL3" s="4">
        <v>102461.5</v>
      </c>
    </row>
    <row r="4" spans="1:39">
      <c r="A4" s="23" t="s">
        <v>23</v>
      </c>
      <c r="B4" s="24" t="s">
        <v>85</v>
      </c>
      <c r="C4" s="5">
        <v>145000</v>
      </c>
      <c r="D4" s="4">
        <v>54016</v>
      </c>
      <c r="E4" s="4">
        <v>90984</v>
      </c>
      <c r="F4" s="25">
        <v>16.21</v>
      </c>
      <c r="G4" s="9"/>
      <c r="H4" s="1">
        <v>53899.360273972612</v>
      </c>
      <c r="I4" s="1">
        <v>116.63972602738795</v>
      </c>
      <c r="J4" s="1">
        <v>7250</v>
      </c>
      <c r="K4" s="1">
        <v>83734</v>
      </c>
      <c r="L4" s="1"/>
      <c r="M4" s="1">
        <v>83734</v>
      </c>
      <c r="N4" s="1">
        <v>23504.500000000004</v>
      </c>
      <c r="O4" s="4">
        <v>5876.1250000000009</v>
      </c>
      <c r="P4" s="4">
        <v>5876.1250000000009</v>
      </c>
      <c r="Q4" s="4">
        <v>96860</v>
      </c>
      <c r="R4" s="4">
        <v>5876.1250000000009</v>
      </c>
      <c r="S4" s="4">
        <v>5876.1250000000009</v>
      </c>
      <c r="T4" s="4"/>
      <c r="U4" s="10">
        <v>67479.5</v>
      </c>
      <c r="V4" s="26" t="s">
        <v>83</v>
      </c>
      <c r="W4" s="27">
        <v>40892</v>
      </c>
      <c r="X4" s="27">
        <v>41729</v>
      </c>
      <c r="Y4" s="28">
        <v>2.2931506849315069</v>
      </c>
      <c r="Z4" s="28">
        <v>3</v>
      </c>
      <c r="AA4" s="29" t="s">
        <v>84</v>
      </c>
      <c r="AB4" s="30"/>
      <c r="AC4" s="30"/>
      <c r="AD4" s="31">
        <v>0.70684931506849313</v>
      </c>
      <c r="AE4" s="4">
        <v>83734</v>
      </c>
      <c r="AF4" s="4">
        <v>83734</v>
      </c>
      <c r="AG4" s="4">
        <v>35886</v>
      </c>
      <c r="AH4" s="3">
        <v>35886</v>
      </c>
      <c r="AI4" s="3">
        <v>35886</v>
      </c>
      <c r="AJ4" s="3">
        <v>30092</v>
      </c>
      <c r="AK4" s="3">
        <v>0</v>
      </c>
      <c r="AL4" s="4">
        <v>5794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view="pageBreakPreview" topLeftCell="A18" zoomScale="93" zoomScaleSheetLayoutView="93" workbookViewId="0">
      <selection activeCell="E43" sqref="E43"/>
    </sheetView>
  </sheetViews>
  <sheetFormatPr defaultRowHeight="14.25" customHeight="1"/>
  <cols>
    <col min="1" max="1" width="34.5703125" customWidth="1"/>
    <col min="2" max="2" width="10.42578125" bestFit="1" customWidth="1"/>
    <col min="3" max="4" width="17" bestFit="1" customWidth="1"/>
    <col min="5" max="5" width="15.42578125" bestFit="1" customWidth="1"/>
    <col min="6" max="6" width="11.7109375" bestFit="1" customWidth="1"/>
    <col min="7" max="7" width="17.28515625" bestFit="1" customWidth="1"/>
    <col min="8" max="8" width="15" bestFit="1" customWidth="1"/>
    <col min="9" max="9" width="16.5703125" bestFit="1" customWidth="1"/>
  </cols>
  <sheetData>
    <row r="1" spans="1:9" ht="15">
      <c r="A1" s="291" t="s">
        <v>116</v>
      </c>
      <c r="B1" s="291"/>
      <c r="C1" s="291"/>
      <c r="D1" s="291"/>
      <c r="E1" s="291"/>
      <c r="F1" s="291"/>
      <c r="G1" s="291"/>
    </row>
    <row r="3" spans="1:9" ht="15">
      <c r="A3" s="291" t="s">
        <v>131</v>
      </c>
      <c r="B3" s="291"/>
      <c r="C3" s="291"/>
      <c r="D3" s="291"/>
      <c r="E3" s="291"/>
      <c r="F3" s="291"/>
      <c r="G3" s="291"/>
    </row>
    <row r="5" spans="1:9" ht="15">
      <c r="A5" s="32" t="s">
        <v>2</v>
      </c>
      <c r="B5" s="33" t="s">
        <v>117</v>
      </c>
      <c r="C5" s="33" t="s">
        <v>118</v>
      </c>
      <c r="D5" s="33" t="s">
        <v>119</v>
      </c>
      <c r="E5" s="33" t="s">
        <v>120</v>
      </c>
      <c r="F5" s="33" t="s">
        <v>121</v>
      </c>
      <c r="G5" s="33" t="s">
        <v>122</v>
      </c>
    </row>
    <row r="6" spans="1:9" ht="15">
      <c r="A6" s="34"/>
      <c r="B6" s="35"/>
      <c r="C6" s="35"/>
      <c r="D6" s="36" t="s">
        <v>130</v>
      </c>
      <c r="E6" s="35" t="s">
        <v>123</v>
      </c>
      <c r="F6" s="35" t="s">
        <v>118</v>
      </c>
      <c r="G6" s="35" t="s">
        <v>124</v>
      </c>
    </row>
    <row r="8" spans="1:9" ht="15" hidden="1">
      <c r="A8" s="37" t="s">
        <v>125</v>
      </c>
      <c r="B8" s="38"/>
      <c r="C8" s="39"/>
      <c r="D8" s="40"/>
      <c r="E8" s="40"/>
      <c r="F8" s="40"/>
      <c r="G8" s="40"/>
    </row>
    <row r="9" spans="1:9" ht="15" hidden="1">
      <c r="A9" s="41"/>
      <c r="B9" s="38"/>
      <c r="C9" s="39"/>
      <c r="D9" s="39"/>
      <c r="E9" s="40"/>
      <c r="F9" s="40"/>
      <c r="G9" s="40"/>
    </row>
    <row r="10" spans="1:9" ht="15" hidden="1">
      <c r="A10" s="41" t="s">
        <v>126</v>
      </c>
      <c r="B10" s="38">
        <v>2006</v>
      </c>
      <c r="C10" s="42">
        <v>0</v>
      </c>
      <c r="D10" s="42">
        <v>0</v>
      </c>
      <c r="E10" s="43">
        <v>0</v>
      </c>
      <c r="F10" s="43">
        <v>0</v>
      </c>
      <c r="G10" s="43">
        <f>F10+E10+D10-C10</f>
        <v>0</v>
      </c>
    </row>
    <row r="11" spans="1:9" ht="15" hidden="1">
      <c r="A11" s="41"/>
      <c r="B11" s="38"/>
      <c r="C11" s="42"/>
      <c r="D11" s="42"/>
      <c r="E11" s="43"/>
      <c r="F11" s="43"/>
      <c r="G11" s="43"/>
    </row>
    <row r="12" spans="1:9" ht="15" hidden="1">
      <c r="A12" s="41"/>
      <c r="B12" s="38"/>
      <c r="C12" s="44">
        <f>SUM(C9:C11)</f>
        <v>0</v>
      </c>
      <c r="D12" s="44">
        <f>SUM(D9:D11)</f>
        <v>0</v>
      </c>
      <c r="E12" s="44">
        <f>SUM(E9:E11)</f>
        <v>0</v>
      </c>
      <c r="F12" s="44">
        <f>SUM(F9:F11)</f>
        <v>0</v>
      </c>
      <c r="G12" s="44">
        <f>SUM(G9:G11)</f>
        <v>0</v>
      </c>
    </row>
    <row r="13" spans="1:9" ht="15">
      <c r="A13" s="45" t="s">
        <v>127</v>
      </c>
      <c r="B13" s="38"/>
      <c r="C13" s="42"/>
      <c r="D13" s="42"/>
      <c r="E13" s="43"/>
      <c r="F13" s="43"/>
      <c r="G13" s="43"/>
    </row>
    <row r="14" spans="1:9" ht="15">
      <c r="A14" s="6" t="s">
        <v>64</v>
      </c>
      <c r="B14">
        <v>2013</v>
      </c>
      <c r="C14" s="60">
        <v>466091</v>
      </c>
      <c r="D14" s="60">
        <v>125747.67</v>
      </c>
      <c r="E14" s="61">
        <v>10402.66</v>
      </c>
      <c r="F14" s="61">
        <v>0</v>
      </c>
      <c r="G14" s="61">
        <f>F14+E14+D14-C14</f>
        <v>-329940.67000000004</v>
      </c>
    </row>
    <row r="15" spans="1:9" ht="15">
      <c r="A15" s="59" t="s">
        <v>132</v>
      </c>
      <c r="B15" s="38"/>
      <c r="C15" s="42"/>
      <c r="D15" s="42"/>
      <c r="E15" s="43"/>
      <c r="F15" s="43"/>
      <c r="G15" s="43"/>
    </row>
    <row r="16" spans="1:9" ht="15">
      <c r="A16" t="s">
        <v>28</v>
      </c>
      <c r="B16">
        <v>1953</v>
      </c>
      <c r="C16" s="64">
        <f>61199-35000</f>
        <v>26199</v>
      </c>
      <c r="D16" s="64">
        <f t="shared" ref="D16:D34" si="0">ROUND(C16*0.95,0)</f>
        <v>24889</v>
      </c>
      <c r="E16" s="43"/>
      <c r="F16" s="43"/>
      <c r="G16" s="66">
        <f t="shared" ref="G16:G34" si="1">F16+E16+D16-C16</f>
        <v>-1310</v>
      </c>
      <c r="H16">
        <f>C16*0.05</f>
        <v>1309.95</v>
      </c>
      <c r="I16" s="65">
        <f>G16+H16</f>
        <v>-4.9999999999954525E-2</v>
      </c>
    </row>
    <row r="17" spans="1:9" ht="15">
      <c r="A17" t="s">
        <v>28</v>
      </c>
      <c r="B17">
        <v>1954</v>
      </c>
      <c r="C17" s="64">
        <v>45741</v>
      </c>
      <c r="D17" s="64">
        <f t="shared" si="0"/>
        <v>43454</v>
      </c>
      <c r="E17" s="43"/>
      <c r="F17" s="43"/>
      <c r="G17" s="66">
        <f t="shared" si="1"/>
        <v>-2287</v>
      </c>
      <c r="H17">
        <f t="shared" ref="H17:H59" si="2">C17*0.05</f>
        <v>2287.0500000000002</v>
      </c>
      <c r="I17" s="65">
        <f t="shared" ref="I17:I59" si="3">G17+H17</f>
        <v>5.0000000000181899E-2</v>
      </c>
    </row>
    <row r="18" spans="1:9" ht="15">
      <c r="A18" t="s">
        <v>29</v>
      </c>
      <c r="B18">
        <v>1958</v>
      </c>
      <c r="C18" s="64">
        <v>101803</v>
      </c>
      <c r="D18" s="64">
        <f t="shared" si="0"/>
        <v>96713</v>
      </c>
      <c r="E18" s="43"/>
      <c r="F18" s="43"/>
      <c r="G18" s="66">
        <f t="shared" si="1"/>
        <v>-5090</v>
      </c>
      <c r="H18">
        <f t="shared" si="2"/>
        <v>5090.1500000000005</v>
      </c>
      <c r="I18" s="65">
        <f t="shared" si="3"/>
        <v>0.1500000000005457</v>
      </c>
    </row>
    <row r="19" spans="1:9" ht="15">
      <c r="A19" t="s">
        <v>28</v>
      </c>
      <c r="B19">
        <v>1959</v>
      </c>
      <c r="C19" s="64">
        <v>37000</v>
      </c>
      <c r="D19" s="64">
        <f t="shared" si="0"/>
        <v>35150</v>
      </c>
      <c r="E19" s="43"/>
      <c r="F19" s="43"/>
      <c r="G19" s="66">
        <f t="shared" si="1"/>
        <v>-1850</v>
      </c>
      <c r="H19">
        <f t="shared" si="2"/>
        <v>1850</v>
      </c>
      <c r="I19" s="65">
        <f t="shared" si="3"/>
        <v>0</v>
      </c>
    </row>
    <row r="20" spans="1:9" ht="15">
      <c r="A20" t="s">
        <v>34</v>
      </c>
      <c r="B20">
        <v>1967</v>
      </c>
      <c r="C20" s="64">
        <v>13351</v>
      </c>
      <c r="D20" s="64">
        <f t="shared" si="0"/>
        <v>12683</v>
      </c>
      <c r="E20" s="43"/>
      <c r="F20" s="43"/>
      <c r="G20" s="66">
        <f t="shared" si="1"/>
        <v>-668</v>
      </c>
      <c r="H20">
        <f t="shared" si="2"/>
        <v>667.55000000000007</v>
      </c>
      <c r="I20" s="65">
        <f t="shared" si="3"/>
        <v>-0.44999999999993179</v>
      </c>
    </row>
    <row r="21" spans="1:9" ht="15">
      <c r="A21" t="s">
        <v>33</v>
      </c>
      <c r="B21">
        <v>1967</v>
      </c>
      <c r="C21" s="64">
        <v>5387</v>
      </c>
      <c r="D21" s="64">
        <f t="shared" si="0"/>
        <v>5118</v>
      </c>
      <c r="E21" s="43"/>
      <c r="F21" s="43"/>
      <c r="G21" s="66">
        <f t="shared" si="1"/>
        <v>-269</v>
      </c>
      <c r="H21">
        <f t="shared" si="2"/>
        <v>269.35000000000002</v>
      </c>
      <c r="I21" s="65">
        <f t="shared" si="3"/>
        <v>0.35000000000002274</v>
      </c>
    </row>
    <row r="22" spans="1:9" ht="15">
      <c r="A22" t="s">
        <v>35</v>
      </c>
      <c r="B22">
        <v>1968</v>
      </c>
      <c r="C22" s="64">
        <v>247</v>
      </c>
      <c r="D22" s="64">
        <f t="shared" si="0"/>
        <v>235</v>
      </c>
      <c r="E22" s="43"/>
      <c r="F22" s="43"/>
      <c r="G22" s="66">
        <f t="shared" si="1"/>
        <v>-12</v>
      </c>
      <c r="H22">
        <f t="shared" si="2"/>
        <v>12.350000000000001</v>
      </c>
      <c r="I22" s="65">
        <f t="shared" si="3"/>
        <v>0.35000000000000142</v>
      </c>
    </row>
    <row r="23" spans="1:9" ht="15">
      <c r="A23" t="s">
        <v>34</v>
      </c>
      <c r="B23">
        <v>1968</v>
      </c>
      <c r="C23" s="64">
        <v>3382</v>
      </c>
      <c r="D23" s="64">
        <f t="shared" si="0"/>
        <v>3213</v>
      </c>
      <c r="E23" s="43"/>
      <c r="F23" s="43"/>
      <c r="G23" s="66">
        <f t="shared" si="1"/>
        <v>-169</v>
      </c>
      <c r="H23">
        <f t="shared" si="2"/>
        <v>169.10000000000002</v>
      </c>
      <c r="I23" s="65">
        <f t="shared" si="3"/>
        <v>0.10000000000002274</v>
      </c>
    </row>
    <row r="24" spans="1:9" ht="15">
      <c r="A24" t="s">
        <v>36</v>
      </c>
      <c r="B24">
        <v>1970</v>
      </c>
      <c r="C24" s="64">
        <v>31856</v>
      </c>
      <c r="D24" s="64">
        <f t="shared" si="0"/>
        <v>30263</v>
      </c>
      <c r="E24" s="43"/>
      <c r="F24" s="43"/>
      <c r="G24" s="66">
        <f t="shared" si="1"/>
        <v>-1593</v>
      </c>
      <c r="H24">
        <f t="shared" si="2"/>
        <v>1592.8000000000002</v>
      </c>
      <c r="I24" s="65">
        <f t="shared" si="3"/>
        <v>-0.1999999999998181</v>
      </c>
    </row>
    <row r="25" spans="1:9" ht="15">
      <c r="A25" t="s">
        <v>37</v>
      </c>
      <c r="B25">
        <v>1977</v>
      </c>
      <c r="C25" s="64">
        <f>1377586-35550</f>
        <v>1342036</v>
      </c>
      <c r="D25" s="64">
        <f t="shared" si="0"/>
        <v>1274934</v>
      </c>
      <c r="E25" s="43"/>
      <c r="F25" s="43"/>
      <c r="G25" s="66">
        <f t="shared" si="1"/>
        <v>-67102</v>
      </c>
      <c r="H25">
        <f t="shared" si="2"/>
        <v>67101.8</v>
      </c>
      <c r="I25" s="65">
        <f t="shared" si="3"/>
        <v>-0.19999999999708962</v>
      </c>
    </row>
    <row r="26" spans="1:9" ht="15">
      <c r="A26" t="s">
        <v>37</v>
      </c>
      <c r="B26">
        <v>1977</v>
      </c>
      <c r="C26" s="64">
        <v>60351</v>
      </c>
      <c r="D26" s="64">
        <f t="shared" si="0"/>
        <v>57333</v>
      </c>
      <c r="E26" s="43"/>
      <c r="F26" s="43"/>
      <c r="G26" s="66">
        <f t="shared" si="1"/>
        <v>-3018</v>
      </c>
      <c r="H26">
        <f t="shared" si="2"/>
        <v>3017.55</v>
      </c>
      <c r="I26" s="65">
        <f t="shared" si="3"/>
        <v>-0.4499999999998181</v>
      </c>
    </row>
    <row r="27" spans="1:9" ht="15">
      <c r="A27" t="s">
        <v>39</v>
      </c>
      <c r="B27">
        <v>1978</v>
      </c>
      <c r="C27" s="64">
        <v>52696</v>
      </c>
      <c r="D27" s="64">
        <f t="shared" si="0"/>
        <v>50061</v>
      </c>
      <c r="E27" s="43"/>
      <c r="F27" s="43"/>
      <c r="G27" s="66">
        <f t="shared" si="1"/>
        <v>-2635</v>
      </c>
      <c r="H27">
        <f t="shared" si="2"/>
        <v>2634.8</v>
      </c>
      <c r="I27" s="65">
        <f t="shared" si="3"/>
        <v>-0.1999999999998181</v>
      </c>
    </row>
    <row r="28" spans="1:9" ht="15">
      <c r="A28" t="s">
        <v>38</v>
      </c>
      <c r="B28">
        <v>1978</v>
      </c>
      <c r="C28" s="64">
        <v>312284</v>
      </c>
      <c r="D28" s="64">
        <f t="shared" si="0"/>
        <v>296670</v>
      </c>
      <c r="E28" s="43"/>
      <c r="F28" s="43"/>
      <c r="G28" s="66">
        <f t="shared" si="1"/>
        <v>-15614</v>
      </c>
      <c r="H28">
        <f t="shared" si="2"/>
        <v>15614.2</v>
      </c>
      <c r="I28" s="65">
        <f t="shared" si="3"/>
        <v>0.2000000000007276</v>
      </c>
    </row>
    <row r="29" spans="1:9" ht="15">
      <c r="A29" t="s">
        <v>40</v>
      </c>
      <c r="B29">
        <v>1980</v>
      </c>
      <c r="C29" s="64">
        <v>179557</v>
      </c>
      <c r="D29" s="64">
        <f t="shared" si="0"/>
        <v>170579</v>
      </c>
      <c r="E29" s="43"/>
      <c r="F29" s="43"/>
      <c r="G29" s="66">
        <f t="shared" si="1"/>
        <v>-8978</v>
      </c>
      <c r="H29">
        <f t="shared" si="2"/>
        <v>8977.85</v>
      </c>
      <c r="I29" s="65">
        <f t="shared" si="3"/>
        <v>-0.1499999999996362</v>
      </c>
    </row>
    <row r="30" spans="1:9" ht="15">
      <c r="A30" t="s">
        <v>41</v>
      </c>
      <c r="B30">
        <v>1988</v>
      </c>
      <c r="C30" s="64">
        <f>2627914+2627914+2627915</f>
        <v>7883743</v>
      </c>
      <c r="D30" s="64">
        <f t="shared" si="0"/>
        <v>7489556</v>
      </c>
      <c r="E30" s="43"/>
      <c r="F30" s="43"/>
      <c r="G30" s="66">
        <f t="shared" si="1"/>
        <v>-394187</v>
      </c>
      <c r="H30">
        <f t="shared" si="2"/>
        <v>394187.15</v>
      </c>
      <c r="I30" s="65">
        <f t="shared" si="3"/>
        <v>0.15000000002328306</v>
      </c>
    </row>
    <row r="31" spans="1:9" ht="15">
      <c r="A31" t="s">
        <v>42</v>
      </c>
      <c r="B31">
        <v>1989</v>
      </c>
      <c r="C31" s="64">
        <v>64485</v>
      </c>
      <c r="D31" s="64">
        <f t="shared" si="0"/>
        <v>61261</v>
      </c>
      <c r="E31" s="43"/>
      <c r="F31" s="43"/>
      <c r="G31" s="66">
        <f t="shared" si="1"/>
        <v>-3224</v>
      </c>
      <c r="H31">
        <f t="shared" si="2"/>
        <v>3224.25</v>
      </c>
      <c r="I31" s="65">
        <f t="shared" si="3"/>
        <v>0.25</v>
      </c>
    </row>
    <row r="32" spans="1:9" ht="15">
      <c r="A32" t="s">
        <v>31</v>
      </c>
      <c r="B32">
        <v>1963</v>
      </c>
      <c r="C32" s="64">
        <v>233385</v>
      </c>
      <c r="D32" s="64">
        <f t="shared" si="0"/>
        <v>221716</v>
      </c>
      <c r="E32" s="43"/>
      <c r="F32" s="43"/>
      <c r="G32" s="66">
        <f t="shared" si="1"/>
        <v>-11669</v>
      </c>
      <c r="H32">
        <f t="shared" si="2"/>
        <v>11669.25</v>
      </c>
      <c r="I32" s="65">
        <f t="shared" si="3"/>
        <v>0.25</v>
      </c>
    </row>
    <row r="33" spans="1:9" ht="15">
      <c r="A33" t="s">
        <v>31</v>
      </c>
      <c r="B33">
        <v>1964</v>
      </c>
      <c r="C33" s="64">
        <f>109983-6881</f>
        <v>103102</v>
      </c>
      <c r="D33" s="64">
        <f t="shared" si="0"/>
        <v>97947</v>
      </c>
      <c r="E33" s="43"/>
      <c r="F33" s="43"/>
      <c r="G33" s="66">
        <f t="shared" si="1"/>
        <v>-5155</v>
      </c>
      <c r="H33">
        <f t="shared" si="2"/>
        <v>5155.1000000000004</v>
      </c>
      <c r="I33" s="65">
        <f t="shared" si="3"/>
        <v>0.1000000000003638</v>
      </c>
    </row>
    <row r="34" spans="1:9" ht="15">
      <c r="A34" t="s">
        <v>32</v>
      </c>
      <c r="B34">
        <v>1965</v>
      </c>
      <c r="C34" s="64">
        <v>143</v>
      </c>
      <c r="D34" s="64">
        <f t="shared" si="0"/>
        <v>136</v>
      </c>
      <c r="E34" s="43"/>
      <c r="F34" s="43"/>
      <c r="G34" s="66">
        <f t="shared" si="1"/>
        <v>-7</v>
      </c>
      <c r="H34">
        <f t="shared" si="2"/>
        <v>7.15</v>
      </c>
      <c r="I34" s="65">
        <f t="shared" si="3"/>
        <v>0.15000000000000036</v>
      </c>
    </row>
    <row r="35" spans="1:9" ht="15">
      <c r="A35" s="7" t="s">
        <v>58</v>
      </c>
      <c r="B35">
        <v>2006</v>
      </c>
      <c r="C35" s="42">
        <v>6623555.25</v>
      </c>
      <c r="D35" s="42">
        <v>2791719</v>
      </c>
      <c r="E35" s="43">
        <v>105372</v>
      </c>
      <c r="F35" s="43">
        <v>0</v>
      </c>
      <c r="G35" s="63">
        <f>F35+E35+D35-C35</f>
        <v>-3726464.25</v>
      </c>
      <c r="H35">
        <f t="shared" si="2"/>
        <v>331177.76250000001</v>
      </c>
      <c r="I35" s="65">
        <f t="shared" si="3"/>
        <v>-3395286.4874999998</v>
      </c>
    </row>
    <row r="36" spans="1:9" ht="15">
      <c r="A36" t="s">
        <v>45</v>
      </c>
      <c r="B36">
        <v>1992</v>
      </c>
      <c r="C36" s="64">
        <v>2591146</v>
      </c>
      <c r="D36" s="64">
        <f t="shared" ref="D36:D46" si="4">ROUND(C36*0.95,0)</f>
        <v>2461589</v>
      </c>
      <c r="E36" s="43"/>
      <c r="F36" s="43"/>
      <c r="G36" s="63">
        <f t="shared" ref="G36:G46" si="5">F36+E36+D36-C36</f>
        <v>-129557</v>
      </c>
      <c r="H36">
        <f t="shared" si="2"/>
        <v>129557.3</v>
      </c>
      <c r="I36" s="65">
        <f t="shared" si="3"/>
        <v>0.30000000000291038</v>
      </c>
    </row>
    <row r="37" spans="1:9" ht="15">
      <c r="A37" t="s">
        <v>30</v>
      </c>
      <c r="B37">
        <v>1992</v>
      </c>
      <c r="C37" s="64">
        <v>351988</v>
      </c>
      <c r="D37" s="64">
        <f t="shared" si="4"/>
        <v>334389</v>
      </c>
      <c r="E37" s="43"/>
      <c r="F37" s="43"/>
      <c r="G37" s="63">
        <f t="shared" si="5"/>
        <v>-17599</v>
      </c>
      <c r="H37">
        <f t="shared" si="2"/>
        <v>17599.400000000001</v>
      </c>
      <c r="I37" s="65">
        <f t="shared" si="3"/>
        <v>0.40000000000145519</v>
      </c>
    </row>
    <row r="38" spans="1:9" ht="15">
      <c r="A38" t="s">
        <v>53</v>
      </c>
      <c r="B38">
        <v>1993</v>
      </c>
      <c r="C38" s="64">
        <v>90362</v>
      </c>
      <c r="D38" s="64">
        <f t="shared" si="4"/>
        <v>85844</v>
      </c>
      <c r="E38" s="43"/>
      <c r="F38" s="43"/>
      <c r="G38" s="63">
        <f t="shared" si="5"/>
        <v>-4518</v>
      </c>
      <c r="H38">
        <f t="shared" si="2"/>
        <v>4518.1000000000004</v>
      </c>
      <c r="I38" s="65">
        <f t="shared" si="3"/>
        <v>0.1000000000003638</v>
      </c>
    </row>
    <row r="39" spans="1:9" ht="15">
      <c r="A39" t="s">
        <v>52</v>
      </c>
      <c r="B39">
        <v>1992</v>
      </c>
      <c r="C39" s="64">
        <v>32650</v>
      </c>
      <c r="D39" s="64">
        <f t="shared" si="4"/>
        <v>31018</v>
      </c>
      <c r="E39" s="43"/>
      <c r="F39" s="43"/>
      <c r="G39" s="63">
        <f t="shared" si="5"/>
        <v>-1632</v>
      </c>
      <c r="H39">
        <f t="shared" si="2"/>
        <v>1632.5</v>
      </c>
      <c r="I39" s="65">
        <f t="shared" si="3"/>
        <v>0.5</v>
      </c>
    </row>
    <row r="40" spans="1:9" ht="15">
      <c r="A40" t="s">
        <v>50</v>
      </c>
      <c r="B40">
        <v>1992</v>
      </c>
      <c r="C40" s="64">
        <v>2791738</v>
      </c>
      <c r="D40" s="64">
        <f t="shared" si="4"/>
        <v>2652151</v>
      </c>
      <c r="E40" s="43"/>
      <c r="F40" s="43"/>
      <c r="G40" s="63">
        <f t="shared" si="5"/>
        <v>-139587</v>
      </c>
      <c r="H40">
        <f t="shared" si="2"/>
        <v>139586.9</v>
      </c>
      <c r="I40" s="65">
        <f t="shared" si="3"/>
        <v>-0.10000000000582077</v>
      </c>
    </row>
    <row r="41" spans="1:9" ht="15">
      <c r="A41" t="s">
        <v>51</v>
      </c>
      <c r="B41">
        <v>1992</v>
      </c>
      <c r="C41" s="64">
        <v>36232</v>
      </c>
      <c r="D41" s="64">
        <f t="shared" si="4"/>
        <v>34420</v>
      </c>
      <c r="E41" s="43"/>
      <c r="F41" s="43"/>
      <c r="G41" s="63">
        <f t="shared" si="5"/>
        <v>-1812</v>
      </c>
      <c r="H41">
        <f t="shared" si="2"/>
        <v>1811.6000000000001</v>
      </c>
      <c r="I41" s="65">
        <f t="shared" si="3"/>
        <v>-0.39999999999986358</v>
      </c>
    </row>
    <row r="42" spans="1:9" ht="15">
      <c r="A42" t="s">
        <v>46</v>
      </c>
      <c r="B42">
        <v>1992</v>
      </c>
      <c r="C42" s="64">
        <v>2364003</v>
      </c>
      <c r="D42" s="64">
        <f t="shared" si="4"/>
        <v>2245803</v>
      </c>
      <c r="E42" s="43"/>
      <c r="F42" s="43"/>
      <c r="G42" s="63">
        <f t="shared" si="5"/>
        <v>-118200</v>
      </c>
      <c r="H42">
        <f t="shared" si="2"/>
        <v>118200.15000000001</v>
      </c>
      <c r="I42" s="65">
        <f t="shared" si="3"/>
        <v>0.15000000000873115</v>
      </c>
    </row>
    <row r="43" spans="1:9" ht="15">
      <c r="A43" t="s">
        <v>47</v>
      </c>
      <c r="B43">
        <v>1992</v>
      </c>
      <c r="C43" s="64">
        <v>636148</v>
      </c>
      <c r="D43" s="64">
        <f t="shared" si="4"/>
        <v>604341</v>
      </c>
      <c r="E43" s="43"/>
      <c r="F43" s="43"/>
      <c r="G43" s="63">
        <f t="shared" si="5"/>
        <v>-31807</v>
      </c>
      <c r="H43">
        <f t="shared" si="2"/>
        <v>31807.4</v>
      </c>
      <c r="I43" s="65">
        <f t="shared" si="3"/>
        <v>0.40000000000145519</v>
      </c>
    </row>
    <row r="44" spans="1:9" ht="15">
      <c r="A44" t="s">
        <v>49</v>
      </c>
      <c r="B44">
        <v>1992</v>
      </c>
      <c r="C44" s="64">
        <v>112643</v>
      </c>
      <c r="D44" s="64">
        <f t="shared" si="4"/>
        <v>107011</v>
      </c>
      <c r="E44" s="43"/>
      <c r="F44" s="43"/>
      <c r="G44" s="63">
        <f t="shared" si="5"/>
        <v>-5632</v>
      </c>
      <c r="H44">
        <f t="shared" si="2"/>
        <v>5632.1500000000005</v>
      </c>
      <c r="I44" s="65">
        <f t="shared" si="3"/>
        <v>0.1500000000005457</v>
      </c>
    </row>
    <row r="45" spans="1:9" ht="15">
      <c r="A45" t="s">
        <v>48</v>
      </c>
      <c r="B45">
        <v>1992</v>
      </c>
      <c r="C45" s="64">
        <v>265666</v>
      </c>
      <c r="D45" s="64">
        <f t="shared" si="4"/>
        <v>252383</v>
      </c>
      <c r="E45" s="43"/>
      <c r="F45" s="43"/>
      <c r="G45" s="63">
        <f t="shared" si="5"/>
        <v>-13283</v>
      </c>
      <c r="H45">
        <f t="shared" si="2"/>
        <v>13283.300000000001</v>
      </c>
      <c r="I45" s="65">
        <f t="shared" si="3"/>
        <v>0.30000000000109139</v>
      </c>
    </row>
    <row r="46" spans="1:9" ht="15">
      <c r="A46" t="s">
        <v>30</v>
      </c>
      <c r="B46">
        <v>1992</v>
      </c>
      <c r="C46" s="64">
        <v>85456</v>
      </c>
      <c r="D46" s="64">
        <f t="shared" si="4"/>
        <v>81183</v>
      </c>
      <c r="E46" s="43"/>
      <c r="F46" s="43"/>
      <c r="G46" s="63">
        <f t="shared" si="5"/>
        <v>-4273</v>
      </c>
      <c r="H46">
        <f t="shared" si="2"/>
        <v>4272.8</v>
      </c>
      <c r="I46" s="65">
        <f t="shared" si="3"/>
        <v>-0.1999999999998181</v>
      </c>
    </row>
    <row r="47" spans="1:9" ht="15">
      <c r="A47" s="7" t="s">
        <v>57</v>
      </c>
      <c r="B47">
        <v>2004</v>
      </c>
      <c r="C47" s="64">
        <v>3489028.02</v>
      </c>
      <c r="D47" s="64">
        <v>1833041.0823704554</v>
      </c>
      <c r="E47" s="43">
        <v>50757</v>
      </c>
      <c r="F47" s="43">
        <v>0</v>
      </c>
      <c r="G47" s="43">
        <f>F47+E47+D47-C47</f>
        <v>-1605229.9376295446</v>
      </c>
      <c r="H47">
        <f t="shared" si="2"/>
        <v>174451.40100000001</v>
      </c>
      <c r="I47" s="65">
        <f t="shared" si="3"/>
        <v>-1430778.5366295446</v>
      </c>
    </row>
    <row r="48" spans="1:9" ht="15">
      <c r="A48" t="s">
        <v>54</v>
      </c>
      <c r="B48">
        <v>1993</v>
      </c>
      <c r="C48" s="64">
        <v>2134030</v>
      </c>
      <c r="D48" s="64">
        <v>2027328</v>
      </c>
      <c r="E48" s="43"/>
      <c r="F48" s="43"/>
      <c r="G48" s="43">
        <f>F48+E48+D48-C48</f>
        <v>-106702</v>
      </c>
      <c r="H48">
        <f t="shared" si="2"/>
        <v>106701.5</v>
      </c>
      <c r="I48" s="65">
        <f t="shared" si="3"/>
        <v>-0.5</v>
      </c>
    </row>
    <row r="49" spans="1:9" ht="15">
      <c r="A49" s="7" t="s">
        <v>55</v>
      </c>
      <c r="B49">
        <v>1995</v>
      </c>
      <c r="C49" s="64">
        <v>7012849</v>
      </c>
      <c r="D49" s="64">
        <v>6662206.9829616183</v>
      </c>
      <c r="E49" s="43">
        <v>0</v>
      </c>
      <c r="F49" s="43">
        <v>0</v>
      </c>
      <c r="G49" s="43">
        <f t="shared" ref="G49:G59" si="6">F49+E49+D49-C49</f>
        <v>-350642.01703838166</v>
      </c>
      <c r="H49">
        <f t="shared" si="2"/>
        <v>350642.45</v>
      </c>
      <c r="I49" s="65">
        <f t="shared" si="3"/>
        <v>0.43296161835314706</v>
      </c>
    </row>
    <row r="50" spans="1:9" ht="26.25">
      <c r="A50" s="7" t="s">
        <v>56</v>
      </c>
      <c r="B50">
        <v>1996</v>
      </c>
      <c r="C50" s="64">
        <v>3011354</v>
      </c>
      <c r="D50" s="64">
        <v>2860786.0110829961</v>
      </c>
      <c r="E50" s="43">
        <v>0</v>
      </c>
      <c r="F50" s="43">
        <v>0</v>
      </c>
      <c r="G50" s="43">
        <f t="shared" si="6"/>
        <v>-150567.98891700385</v>
      </c>
      <c r="H50">
        <f t="shared" si="2"/>
        <v>150567.70000000001</v>
      </c>
      <c r="I50" s="65">
        <f t="shared" si="3"/>
        <v>-0.28891700383974239</v>
      </c>
    </row>
    <row r="51" spans="1:9" ht="26.25">
      <c r="A51" s="7" t="s">
        <v>59</v>
      </c>
      <c r="B51">
        <v>2007</v>
      </c>
      <c r="C51" s="64">
        <v>2114805.7599999998</v>
      </c>
      <c r="D51" s="64">
        <v>777561.97787109111</v>
      </c>
      <c r="E51" s="43">
        <v>34872</v>
      </c>
      <c r="F51" s="43">
        <v>0</v>
      </c>
      <c r="G51" s="43">
        <f t="shared" si="6"/>
        <v>-1302371.7821289087</v>
      </c>
      <c r="H51">
        <f t="shared" si="2"/>
        <v>105740.288</v>
      </c>
      <c r="I51" s="65">
        <f t="shared" si="3"/>
        <v>-1196631.4941289087</v>
      </c>
    </row>
    <row r="52" spans="1:9" ht="15">
      <c r="A52" s="7" t="s">
        <v>57</v>
      </c>
      <c r="B52">
        <v>2008</v>
      </c>
      <c r="C52" s="64">
        <v>4212593.1399999997</v>
      </c>
      <c r="D52" s="64">
        <v>1331286.9855463412</v>
      </c>
      <c r="E52" s="43">
        <v>0</v>
      </c>
      <c r="F52" s="43">
        <v>0</v>
      </c>
      <c r="G52" s="43">
        <f t="shared" si="6"/>
        <v>-2881306.1544536585</v>
      </c>
      <c r="H52">
        <f t="shared" si="2"/>
        <v>210629.65700000001</v>
      </c>
      <c r="I52" s="65">
        <f t="shared" si="3"/>
        <v>-2670676.4974536584</v>
      </c>
    </row>
    <row r="53" spans="1:9" ht="15">
      <c r="A53" s="7" t="s">
        <v>61</v>
      </c>
      <c r="B53">
        <v>2008</v>
      </c>
      <c r="C53" s="64">
        <v>1001685.44</v>
      </c>
      <c r="D53" s="64">
        <v>316557.83084599301</v>
      </c>
      <c r="E53" s="43">
        <v>0</v>
      </c>
      <c r="F53" s="43">
        <v>0</v>
      </c>
      <c r="G53" s="43">
        <f t="shared" si="6"/>
        <v>-685127.60915400693</v>
      </c>
      <c r="H53">
        <f t="shared" si="2"/>
        <v>50084.271999999997</v>
      </c>
      <c r="I53" s="65">
        <f t="shared" si="3"/>
        <v>-635043.33715400693</v>
      </c>
    </row>
    <row r="54" spans="1:9" ht="26.25">
      <c r="A54" s="7" t="s">
        <v>60</v>
      </c>
      <c r="B54">
        <v>2008</v>
      </c>
      <c r="C54" s="64">
        <v>335271.25</v>
      </c>
      <c r="D54" s="64">
        <v>105953.40988675959</v>
      </c>
      <c r="E54" s="43">
        <v>0</v>
      </c>
      <c r="F54" s="43">
        <v>0</v>
      </c>
      <c r="G54" s="43">
        <f t="shared" si="6"/>
        <v>-229317.84011324041</v>
      </c>
      <c r="H54">
        <f t="shared" si="2"/>
        <v>16763.5625</v>
      </c>
      <c r="I54" s="65">
        <f t="shared" si="3"/>
        <v>-212554.27761324041</v>
      </c>
    </row>
    <row r="55" spans="1:9" ht="15">
      <c r="A55" s="7" t="s">
        <v>62</v>
      </c>
      <c r="B55">
        <v>2010</v>
      </c>
      <c r="C55" s="64">
        <v>4707463</v>
      </c>
      <c r="D55" s="64">
        <v>975943.42300667614</v>
      </c>
      <c r="E55" s="48">
        <v>0</v>
      </c>
      <c r="F55" s="43">
        <v>0</v>
      </c>
      <c r="G55" s="43">
        <f t="shared" si="6"/>
        <v>-3731519.5769933239</v>
      </c>
      <c r="H55">
        <f t="shared" si="2"/>
        <v>235373.15000000002</v>
      </c>
      <c r="I55" s="65">
        <f t="shared" si="3"/>
        <v>-3496146.426993324</v>
      </c>
    </row>
    <row r="56" spans="1:9" ht="15">
      <c r="A56" s="7" t="s">
        <v>57</v>
      </c>
      <c r="B56">
        <v>2010</v>
      </c>
      <c r="C56" s="64">
        <v>1976986.14</v>
      </c>
      <c r="D56" s="64">
        <v>494057.76754515711</v>
      </c>
      <c r="E56" s="48"/>
      <c r="F56" s="43"/>
      <c r="G56" s="43">
        <f t="shared" si="6"/>
        <v>-1482928.3724548428</v>
      </c>
      <c r="H56">
        <f t="shared" si="2"/>
        <v>98849.307000000001</v>
      </c>
      <c r="I56" s="65">
        <f t="shared" si="3"/>
        <v>-1384079.0654548428</v>
      </c>
    </row>
    <row r="57" spans="1:9" ht="15">
      <c r="A57" t="s">
        <v>43</v>
      </c>
      <c r="B57">
        <v>1989</v>
      </c>
      <c r="C57" s="64">
        <f>3234017+2152394</f>
        <v>5386411</v>
      </c>
      <c r="D57" s="64">
        <f t="shared" ref="D57:D58" si="7">ROUND(C57*0.95,0)</f>
        <v>5117090</v>
      </c>
      <c r="E57" s="48"/>
      <c r="F57" s="43"/>
      <c r="G57" s="43">
        <f t="shared" si="6"/>
        <v>-269321</v>
      </c>
      <c r="H57">
        <f t="shared" si="2"/>
        <v>269320.55</v>
      </c>
      <c r="I57" s="65">
        <f t="shared" si="3"/>
        <v>-0.45000000001164153</v>
      </c>
    </row>
    <row r="58" spans="1:9" ht="15">
      <c r="A58" t="s">
        <v>44</v>
      </c>
      <c r="B58">
        <v>1990</v>
      </c>
      <c r="C58" s="64">
        <v>57731</v>
      </c>
      <c r="D58" s="64">
        <f t="shared" si="7"/>
        <v>54844</v>
      </c>
      <c r="E58" s="48"/>
      <c r="F58" s="43"/>
      <c r="G58" s="43">
        <f t="shared" si="6"/>
        <v>-2887</v>
      </c>
      <c r="H58">
        <f t="shared" si="2"/>
        <v>2886.55</v>
      </c>
      <c r="I58" s="65">
        <f t="shared" si="3"/>
        <v>-0.4499999999998181</v>
      </c>
    </row>
    <row r="59" spans="1:9" ht="15">
      <c r="A59" s="7" t="s">
        <v>63</v>
      </c>
      <c r="B59">
        <v>2012</v>
      </c>
      <c r="C59" s="64">
        <v>5089535.9000000004</v>
      </c>
      <c r="D59" s="64">
        <v>558939.7278901902</v>
      </c>
      <c r="E59" s="48">
        <v>0</v>
      </c>
      <c r="F59" s="43">
        <v>0</v>
      </c>
      <c r="G59" s="43">
        <f t="shared" si="6"/>
        <v>-4530596.1721098106</v>
      </c>
      <c r="H59">
        <f t="shared" si="2"/>
        <v>254476.79500000004</v>
      </c>
      <c r="I59" s="65">
        <f t="shared" si="3"/>
        <v>-4276119.3771098107</v>
      </c>
    </row>
    <row r="60" spans="1:9" ht="15">
      <c r="A60" s="46"/>
      <c r="B60" s="38"/>
      <c r="C60" s="42"/>
      <c r="D60" s="47"/>
      <c r="E60" s="48"/>
      <c r="F60" s="43"/>
      <c r="G60" s="43"/>
    </row>
    <row r="61" spans="1:9" ht="15">
      <c r="A61" s="41"/>
      <c r="B61" s="38"/>
      <c r="C61" s="62">
        <f t="shared" ref="C61:I61" si="8">SUM(C16:C59)</f>
        <v>67008078.899999991</v>
      </c>
      <c r="D61" s="62">
        <f t="shared" si="8"/>
        <v>44769359.199007288</v>
      </c>
      <c r="E61" s="62">
        <f t="shared" si="8"/>
        <v>191001</v>
      </c>
      <c r="F61" s="62">
        <f t="shared" si="8"/>
        <v>0</v>
      </c>
      <c r="G61" s="62">
        <f t="shared" si="8"/>
        <v>-22047718.700992726</v>
      </c>
      <c r="H61" s="62">
        <f t="shared" si="8"/>
        <v>3350403.9449999998</v>
      </c>
      <c r="I61" s="62">
        <f t="shared" si="8"/>
        <v>-18697314.755992722</v>
      </c>
    </row>
    <row r="62" spans="1:9" ht="15">
      <c r="A62" s="41"/>
      <c r="B62" s="38"/>
      <c r="C62" s="42"/>
      <c r="D62" s="42"/>
      <c r="E62" s="42"/>
      <c r="F62" s="42"/>
      <c r="G62" s="42"/>
    </row>
    <row r="63" spans="1:9" ht="14.25" hidden="1" customHeight="1">
      <c r="A63" s="45" t="s">
        <v>128</v>
      </c>
      <c r="B63" s="38"/>
      <c r="C63" s="42"/>
      <c r="D63" s="42"/>
      <c r="E63" s="43"/>
      <c r="F63" s="43"/>
      <c r="G63" s="43"/>
    </row>
    <row r="64" spans="1:9" ht="14.25" hidden="1" customHeight="1">
      <c r="A64" s="41" t="s">
        <v>27</v>
      </c>
      <c r="B64" s="38">
        <v>2009</v>
      </c>
      <c r="C64" s="42">
        <v>0</v>
      </c>
      <c r="D64" s="42">
        <v>0</v>
      </c>
      <c r="E64" s="43">
        <v>0</v>
      </c>
      <c r="F64" s="43">
        <v>0</v>
      </c>
      <c r="G64" s="43">
        <f>F64+E64+D64-C64</f>
        <v>0</v>
      </c>
    </row>
    <row r="65" spans="1:8" ht="15">
      <c r="A65" s="41"/>
      <c r="B65" s="38"/>
      <c r="C65" s="42"/>
      <c r="D65" s="42"/>
      <c r="E65" s="43"/>
      <c r="F65" s="43"/>
      <c r="G65" s="43"/>
    </row>
    <row r="66" spans="1:8" ht="15">
      <c r="A66" s="49" t="s">
        <v>26</v>
      </c>
      <c r="B66" s="38"/>
      <c r="C66" s="42"/>
      <c r="D66" s="42"/>
      <c r="E66" s="43"/>
      <c r="F66" s="43"/>
      <c r="G66" s="43"/>
    </row>
    <row r="67" spans="1:8" ht="15">
      <c r="A67" s="41" t="s">
        <v>25</v>
      </c>
      <c r="B67" s="38">
        <v>2008</v>
      </c>
      <c r="C67" s="42">
        <v>25900</v>
      </c>
      <c r="D67" s="42">
        <v>24605</v>
      </c>
      <c r="E67" s="43">
        <v>0</v>
      </c>
      <c r="F67" s="43">
        <v>1295</v>
      </c>
      <c r="G67" s="43">
        <f>F67+E67+D67-C67</f>
        <v>0</v>
      </c>
    </row>
    <row r="68" spans="1:8" ht="15">
      <c r="A68" s="41" t="s">
        <v>24</v>
      </c>
      <c r="B68" s="38">
        <v>2013</v>
      </c>
      <c r="C68" s="42">
        <v>6600</v>
      </c>
      <c r="D68" s="42">
        <v>1900.58</v>
      </c>
      <c r="E68" s="43">
        <f>3828-D68</f>
        <v>1927.42</v>
      </c>
      <c r="F68" s="43">
        <v>2772</v>
      </c>
      <c r="G68" s="43">
        <f>F68+E68+D68-C68</f>
        <v>0</v>
      </c>
    </row>
    <row r="69" spans="1:8" ht="15">
      <c r="A69" s="41" t="s">
        <v>24</v>
      </c>
      <c r="B69" s="38">
        <v>2014</v>
      </c>
      <c r="C69" s="42">
        <v>9220</v>
      </c>
      <c r="D69" s="42">
        <v>1257</v>
      </c>
      <c r="E69" s="43">
        <f>3688-D69</f>
        <v>2431</v>
      </c>
      <c r="F69" s="43">
        <v>5532</v>
      </c>
      <c r="G69" s="43">
        <f>F69+E69+D69-C69</f>
        <v>0</v>
      </c>
    </row>
    <row r="70" spans="1:8" ht="15">
      <c r="A70" s="41"/>
      <c r="B70" s="38"/>
      <c r="C70" s="62">
        <f>SUM(C67:C69)</f>
        <v>41720</v>
      </c>
      <c r="D70" s="62">
        <f t="shared" ref="D70:G70" si="9">SUM(D67:D69)</f>
        <v>27762.58</v>
      </c>
      <c r="E70" s="62">
        <f t="shared" si="9"/>
        <v>4358.42</v>
      </c>
      <c r="F70" s="62">
        <f t="shared" si="9"/>
        <v>9599</v>
      </c>
      <c r="G70" s="62">
        <f t="shared" si="9"/>
        <v>0</v>
      </c>
    </row>
    <row r="71" spans="1:8" ht="15">
      <c r="A71" s="41"/>
      <c r="B71" s="38"/>
      <c r="C71" s="42"/>
      <c r="D71" s="42"/>
      <c r="E71" s="43"/>
      <c r="F71" s="43"/>
      <c r="G71" s="43"/>
    </row>
    <row r="72" spans="1:8" ht="15">
      <c r="B72" s="50"/>
      <c r="C72" s="43"/>
      <c r="D72" s="43"/>
      <c r="E72" s="43"/>
      <c r="F72" s="43"/>
      <c r="G72" s="43"/>
    </row>
    <row r="73" spans="1:8" ht="15">
      <c r="A73" s="51" t="s">
        <v>129</v>
      </c>
      <c r="B73" s="38"/>
      <c r="C73" s="52">
        <f>C61+C12+C64+C70</f>
        <v>67049798.899999991</v>
      </c>
      <c r="D73" s="52">
        <f>D61+D12+D64+D70</f>
        <v>44797121.779007286</v>
      </c>
      <c r="E73" s="52">
        <f>E61+E12+E64+E70</f>
        <v>195359.42</v>
      </c>
      <c r="F73" s="52">
        <f>F61+F12+F64+F70</f>
        <v>9599</v>
      </c>
      <c r="G73" s="52">
        <f>G61+G12+G64+G70</f>
        <v>-22047718.700992726</v>
      </c>
      <c r="H73" s="40">
        <f>C73-D73-E73-F73+G73</f>
        <v>0</v>
      </c>
    </row>
    <row r="74" spans="1:8" ht="15">
      <c r="B74" s="38"/>
      <c r="C74" s="40"/>
      <c r="D74" s="40"/>
      <c r="E74" s="40"/>
      <c r="F74" s="40"/>
      <c r="G74" s="40"/>
    </row>
    <row r="75" spans="1:8" ht="15">
      <c r="B75" s="38"/>
      <c r="C75" s="40"/>
      <c r="D75" s="40"/>
      <c r="E75" s="40"/>
      <c r="F75" s="40"/>
      <c r="G75" s="40"/>
    </row>
    <row r="76" spans="1:8" ht="15">
      <c r="B76" s="38"/>
      <c r="C76" s="40"/>
      <c r="D76" s="40"/>
      <c r="E76" s="40"/>
      <c r="F76" s="40"/>
      <c r="G76" s="40"/>
    </row>
    <row r="77" spans="1:8" ht="15">
      <c r="B77" s="38"/>
      <c r="C77" s="40"/>
      <c r="D77" s="40"/>
      <c r="E77" s="40"/>
      <c r="F77" s="40"/>
      <c r="G77" s="40"/>
    </row>
    <row r="78" spans="1:8" ht="15">
      <c r="A78" s="53"/>
      <c r="B78" s="38"/>
      <c r="C78" s="40"/>
      <c r="D78" s="40"/>
      <c r="E78" s="40"/>
      <c r="F78" s="40"/>
      <c r="G78" s="40"/>
    </row>
    <row r="79" spans="1:8" ht="15">
      <c r="A79" s="53"/>
      <c r="B79" s="38"/>
      <c r="C79" s="40"/>
      <c r="D79" s="40"/>
      <c r="E79" s="40">
        <f>D73+E73-'[1]Sch IV (2)'!L16</f>
        <v>42933328.129007287</v>
      </c>
      <c r="F79" s="40"/>
      <c r="G79" s="40"/>
    </row>
    <row r="80" spans="1:8" ht="15">
      <c r="A80" s="53"/>
      <c r="B80" s="38"/>
      <c r="C80" s="40"/>
      <c r="D80" s="40"/>
      <c r="E80" s="40"/>
      <c r="F80" s="40"/>
      <c r="G80" s="40"/>
    </row>
    <row r="81" spans="1:7" ht="15">
      <c r="A81" s="53"/>
      <c r="B81" s="38"/>
      <c r="C81" s="40"/>
      <c r="D81" s="40"/>
      <c r="E81" s="40"/>
      <c r="F81" s="40"/>
      <c r="G81" s="40"/>
    </row>
    <row r="82" spans="1:7" ht="15">
      <c r="A82" s="53"/>
      <c r="B82" s="38"/>
      <c r="C82" s="40"/>
      <c r="D82" s="40"/>
      <c r="E82" s="40"/>
      <c r="F82" s="40"/>
      <c r="G82" s="40"/>
    </row>
    <row r="83" spans="1:7" ht="15">
      <c r="A83" s="53"/>
      <c r="B83" s="38"/>
      <c r="C83" s="40"/>
      <c r="D83" s="40"/>
      <c r="E83" s="40"/>
      <c r="F83" s="40"/>
      <c r="G83" s="40"/>
    </row>
    <row r="84" spans="1:7" ht="15">
      <c r="A84" s="53"/>
      <c r="B84" s="38"/>
      <c r="C84" s="40"/>
      <c r="D84" s="40"/>
      <c r="E84" s="40"/>
      <c r="F84" s="40"/>
      <c r="G84" s="40"/>
    </row>
    <row r="85" spans="1:7" ht="15">
      <c r="A85" s="53"/>
      <c r="B85" s="38"/>
      <c r="C85" s="40"/>
      <c r="D85" s="40"/>
      <c r="E85" s="40"/>
      <c r="F85" s="40"/>
      <c r="G85" s="40"/>
    </row>
    <row r="86" spans="1:7" ht="15">
      <c r="A86" s="53"/>
      <c r="B86" s="38"/>
      <c r="C86" s="40"/>
      <c r="D86" s="40"/>
      <c r="E86" s="40"/>
      <c r="F86" s="40"/>
      <c r="G86" s="40"/>
    </row>
    <row r="87" spans="1:7" ht="15">
      <c r="A87" s="53"/>
      <c r="B87" s="38"/>
      <c r="C87" s="40"/>
      <c r="D87" s="40"/>
      <c r="E87" s="40"/>
      <c r="F87" s="40"/>
      <c r="G87" s="40"/>
    </row>
    <row r="88" spans="1:7" ht="15">
      <c r="A88" s="53"/>
      <c r="B88" s="38"/>
      <c r="C88" s="40"/>
      <c r="D88" s="40"/>
      <c r="E88" s="40"/>
      <c r="F88" s="40"/>
      <c r="G88" s="40"/>
    </row>
    <row r="89" spans="1:7" ht="15">
      <c r="A89" s="53"/>
      <c r="B89" s="38"/>
      <c r="C89" s="40"/>
      <c r="D89" s="40"/>
      <c r="E89" s="40"/>
      <c r="F89" s="40"/>
      <c r="G89" s="40"/>
    </row>
    <row r="90" spans="1:7" ht="15">
      <c r="A90" s="53"/>
      <c r="B90" s="38"/>
      <c r="C90" s="40"/>
      <c r="D90" s="40"/>
      <c r="E90" s="40"/>
      <c r="F90" s="40"/>
      <c r="G90" s="40"/>
    </row>
    <row r="91" spans="1:7" ht="15">
      <c r="A91" s="54"/>
      <c r="B91" s="38"/>
      <c r="C91" s="40"/>
      <c r="D91" s="40"/>
      <c r="E91" s="40"/>
      <c r="F91" s="40"/>
      <c r="G91" s="40"/>
    </row>
    <row r="92" spans="1:7" ht="15">
      <c r="A92" s="54"/>
      <c r="B92" s="38"/>
      <c r="C92" s="40"/>
      <c r="D92" s="40"/>
      <c r="E92" s="40"/>
      <c r="F92" s="40"/>
      <c r="G92" s="40"/>
    </row>
    <row r="93" spans="1:7" ht="15">
      <c r="A93" s="53"/>
      <c r="B93" s="38"/>
      <c r="C93" s="40"/>
      <c r="D93" s="40"/>
      <c r="E93" s="40"/>
      <c r="F93" s="40"/>
      <c r="G93" s="40"/>
    </row>
    <row r="94" spans="1:7" ht="15">
      <c r="A94" s="53"/>
      <c r="B94" s="38"/>
      <c r="C94" s="40"/>
      <c r="D94" s="40"/>
      <c r="E94" s="40"/>
      <c r="F94" s="40"/>
      <c r="G94" s="40"/>
    </row>
    <row r="95" spans="1:7" ht="15">
      <c r="A95" s="53"/>
      <c r="B95" s="38"/>
      <c r="C95" s="40"/>
      <c r="D95" s="40"/>
      <c r="E95" s="40"/>
      <c r="F95" s="40"/>
      <c r="G95" s="40"/>
    </row>
    <row r="96" spans="1:7" ht="15">
      <c r="A96" s="53"/>
      <c r="B96" s="38"/>
      <c r="C96" s="40"/>
      <c r="D96" s="40"/>
      <c r="E96" s="40"/>
      <c r="F96" s="40"/>
      <c r="G96" s="40"/>
    </row>
    <row r="97" spans="1:7" ht="15">
      <c r="A97" s="53"/>
      <c r="B97" s="38"/>
      <c r="C97" s="40"/>
      <c r="D97" s="40"/>
      <c r="E97" s="40"/>
      <c r="F97" s="40"/>
      <c r="G97" s="40"/>
    </row>
    <row r="98" spans="1:7" ht="15">
      <c r="A98" s="53"/>
      <c r="B98" s="38"/>
      <c r="C98" s="40"/>
      <c r="D98" s="40"/>
      <c r="E98" s="40"/>
      <c r="F98" s="40"/>
      <c r="G98" s="40"/>
    </row>
    <row r="99" spans="1:7" ht="15">
      <c r="A99" s="54"/>
      <c r="B99" s="38"/>
      <c r="C99" s="40"/>
      <c r="D99" s="40"/>
      <c r="E99" s="40"/>
      <c r="F99" s="40"/>
      <c r="G99" s="40"/>
    </row>
    <row r="100" spans="1:7" ht="15">
      <c r="A100" s="53"/>
      <c r="B100" s="38"/>
      <c r="C100" s="40"/>
      <c r="D100" s="40"/>
      <c r="E100" s="40"/>
      <c r="F100" s="40"/>
      <c r="G100" s="40"/>
    </row>
    <row r="101" spans="1:7" ht="15">
      <c r="A101" s="54"/>
      <c r="B101" s="38"/>
      <c r="C101" s="40"/>
      <c r="D101" s="40"/>
      <c r="E101" s="40"/>
      <c r="F101" s="40"/>
      <c r="G101" s="40"/>
    </row>
    <row r="102" spans="1:7" ht="15">
      <c r="A102" s="53"/>
      <c r="B102" s="38"/>
      <c r="C102" s="40"/>
      <c r="D102" s="40"/>
      <c r="E102" s="40"/>
      <c r="F102" s="40"/>
      <c r="G102" s="40"/>
    </row>
    <row r="103" spans="1:7" ht="15">
      <c r="A103" s="53"/>
      <c r="B103" s="38"/>
      <c r="C103" s="40"/>
      <c r="D103" s="40"/>
      <c r="E103" s="40"/>
      <c r="F103" s="40"/>
      <c r="G103" s="40"/>
    </row>
    <row r="104" spans="1:7" ht="15">
      <c r="A104" s="53"/>
      <c r="B104" s="38"/>
      <c r="C104" s="40"/>
      <c r="D104" s="40"/>
      <c r="E104" s="40"/>
      <c r="F104" s="40"/>
      <c r="G104" s="40"/>
    </row>
    <row r="105" spans="1:7" ht="15">
      <c r="A105" s="53"/>
      <c r="B105" s="38"/>
      <c r="C105" s="40"/>
      <c r="D105" s="40"/>
      <c r="E105" s="40"/>
      <c r="F105" s="40"/>
      <c r="G105" s="40"/>
    </row>
    <row r="106" spans="1:7" ht="15">
      <c r="A106" s="53"/>
      <c r="B106" s="38"/>
      <c r="C106" s="40"/>
      <c r="D106" s="40"/>
      <c r="E106" s="40"/>
      <c r="F106" s="40"/>
      <c r="G106" s="40"/>
    </row>
    <row r="107" spans="1:7" ht="15">
      <c r="A107" s="53"/>
      <c r="B107" s="38"/>
      <c r="C107" s="40"/>
      <c r="D107" s="40"/>
      <c r="E107" s="40"/>
      <c r="F107" s="40"/>
      <c r="G107" s="40"/>
    </row>
    <row r="108" spans="1:7" ht="15">
      <c r="A108" s="53"/>
      <c r="B108" s="38"/>
      <c r="C108" s="40"/>
      <c r="D108" s="40"/>
      <c r="E108" s="40"/>
      <c r="F108" s="40"/>
      <c r="G108" s="40"/>
    </row>
    <row r="109" spans="1:7" ht="15">
      <c r="A109" s="53"/>
      <c r="B109" s="38"/>
      <c r="C109" s="40"/>
      <c r="D109" s="40"/>
      <c r="E109" s="40"/>
      <c r="F109" s="40"/>
      <c r="G109" s="40"/>
    </row>
    <row r="110" spans="1:7" ht="15">
      <c r="A110" s="53"/>
      <c r="B110" s="38"/>
      <c r="C110" s="40"/>
      <c r="D110" s="40"/>
      <c r="E110" s="40"/>
      <c r="F110" s="40"/>
      <c r="G110" s="40"/>
    </row>
    <row r="111" spans="1:7" ht="15">
      <c r="A111" s="53"/>
      <c r="B111" s="38"/>
      <c r="C111" s="40"/>
      <c r="D111" s="40"/>
      <c r="E111" s="40"/>
      <c r="F111" s="40"/>
      <c r="G111" s="40"/>
    </row>
    <row r="112" spans="1:7" ht="15">
      <c r="A112" s="53"/>
      <c r="B112" s="38"/>
      <c r="C112" s="40"/>
      <c r="D112" s="40"/>
      <c r="E112" s="40"/>
      <c r="F112" s="40"/>
      <c r="G112" s="40"/>
    </row>
    <row r="113" spans="1:7" ht="15">
      <c r="A113" s="53"/>
      <c r="B113" s="38"/>
      <c r="C113" s="40"/>
      <c r="D113" s="40"/>
      <c r="E113" s="40"/>
      <c r="F113" s="40"/>
      <c r="G113" s="40"/>
    </row>
    <row r="114" spans="1:7" ht="15">
      <c r="A114" s="53"/>
      <c r="B114" s="38"/>
      <c r="C114" s="40"/>
      <c r="D114" s="40"/>
      <c r="E114" s="40"/>
      <c r="F114" s="40"/>
      <c r="G114" s="40"/>
    </row>
    <row r="115" spans="1:7" ht="15">
      <c r="A115" s="53"/>
      <c r="B115" s="38"/>
      <c r="C115" s="40"/>
      <c r="D115" s="40"/>
      <c r="E115" s="40"/>
      <c r="F115" s="40"/>
      <c r="G115" s="40"/>
    </row>
    <row r="116" spans="1:7" ht="15">
      <c r="A116" s="53"/>
      <c r="B116" s="38"/>
      <c r="C116" s="40"/>
      <c r="D116" s="40"/>
      <c r="E116" s="40"/>
      <c r="F116" s="40"/>
      <c r="G116" s="40"/>
    </row>
    <row r="117" spans="1:7" ht="15">
      <c r="A117" s="53"/>
      <c r="B117" s="38"/>
      <c r="C117" s="40"/>
      <c r="D117" s="40"/>
      <c r="E117" s="40"/>
      <c r="F117" s="40"/>
      <c r="G117" s="40"/>
    </row>
    <row r="118" spans="1:7" ht="15">
      <c r="A118" s="53"/>
      <c r="B118" s="38"/>
      <c r="C118" s="40"/>
      <c r="D118" s="40"/>
      <c r="E118" s="40"/>
      <c r="F118" s="40"/>
      <c r="G118" s="40"/>
    </row>
    <row r="119" spans="1:7" ht="15">
      <c r="A119" s="53"/>
      <c r="B119" s="38"/>
      <c r="C119" s="40"/>
      <c r="D119" s="40"/>
      <c r="E119" s="40"/>
      <c r="F119" s="40"/>
      <c r="G119" s="40"/>
    </row>
    <row r="120" spans="1:7" ht="15">
      <c r="A120" s="53"/>
      <c r="B120" s="38"/>
      <c r="C120" s="40"/>
      <c r="D120" s="40"/>
      <c r="E120" s="40"/>
      <c r="F120" s="40"/>
      <c r="G120" s="40"/>
    </row>
    <row r="121" spans="1:7" ht="15">
      <c r="A121" s="53"/>
      <c r="B121" s="38"/>
      <c r="C121" s="40"/>
      <c r="D121" s="40"/>
      <c r="E121" s="40"/>
      <c r="F121" s="40"/>
      <c r="G121" s="40"/>
    </row>
    <row r="122" spans="1:7" ht="15">
      <c r="A122" s="53"/>
      <c r="B122" s="38"/>
      <c r="C122" s="40"/>
      <c r="D122" s="40"/>
      <c r="E122" s="40"/>
      <c r="F122" s="40"/>
      <c r="G122" s="40"/>
    </row>
    <row r="123" spans="1:7" ht="15">
      <c r="A123" s="53"/>
      <c r="B123" s="38"/>
      <c r="C123" s="40"/>
      <c r="D123" s="40"/>
      <c r="E123" s="40"/>
      <c r="F123" s="40"/>
      <c r="G123" s="40"/>
    </row>
    <row r="124" spans="1:7" ht="15">
      <c r="A124" s="53"/>
      <c r="B124" s="38"/>
      <c r="C124" s="40"/>
      <c r="D124" s="40"/>
      <c r="E124" s="40"/>
      <c r="F124" s="40"/>
      <c r="G124" s="40"/>
    </row>
    <row r="125" spans="1:7" ht="15">
      <c r="A125" s="53"/>
      <c r="B125" s="38"/>
      <c r="C125" s="40"/>
      <c r="D125" s="40"/>
      <c r="E125" s="40"/>
      <c r="F125" s="40"/>
      <c r="G125" s="40"/>
    </row>
    <row r="126" spans="1:7" ht="15">
      <c r="A126" s="53"/>
      <c r="B126" s="38"/>
      <c r="C126" s="40"/>
      <c r="D126" s="40"/>
      <c r="E126" s="40"/>
      <c r="F126" s="40"/>
      <c r="G126" s="40"/>
    </row>
    <row r="127" spans="1:7" ht="15">
      <c r="A127" s="53"/>
      <c r="B127" s="38"/>
      <c r="C127" s="40"/>
      <c r="D127" s="40"/>
      <c r="E127" s="40"/>
      <c r="F127" s="40"/>
      <c r="G127" s="40"/>
    </row>
    <row r="128" spans="1:7" ht="15">
      <c r="A128" s="53"/>
      <c r="B128" s="38"/>
      <c r="C128" s="40"/>
      <c r="D128" s="40"/>
      <c r="E128" s="40"/>
      <c r="F128" s="40"/>
      <c r="G128" s="40"/>
    </row>
    <row r="129" spans="1:7" ht="15">
      <c r="B129" s="38"/>
      <c r="C129" s="40"/>
      <c r="D129" s="40"/>
      <c r="E129" s="40"/>
      <c r="F129" s="40"/>
      <c r="G129" s="40"/>
    </row>
    <row r="130" spans="1:7" ht="15">
      <c r="B130" s="38"/>
      <c r="C130" s="40"/>
      <c r="D130" s="40"/>
      <c r="E130" s="40"/>
      <c r="F130" s="40"/>
      <c r="G130" s="40"/>
    </row>
    <row r="131" spans="1:7" ht="15">
      <c r="A131" s="55"/>
      <c r="B131" s="38"/>
      <c r="C131" s="40"/>
      <c r="D131" s="40"/>
      <c r="E131" s="40"/>
      <c r="F131" s="40"/>
      <c r="G131" s="40"/>
    </row>
    <row r="132" spans="1:7" ht="15">
      <c r="A132" s="53"/>
      <c r="B132" s="38"/>
      <c r="C132" s="40"/>
      <c r="D132" s="40"/>
      <c r="E132" s="40"/>
      <c r="F132" s="40"/>
      <c r="G132" s="40"/>
    </row>
    <row r="133" spans="1:7" ht="15">
      <c r="B133" s="38"/>
      <c r="C133" s="40"/>
      <c r="D133" s="40"/>
      <c r="E133" s="40"/>
      <c r="F133" s="40"/>
      <c r="G133" s="40"/>
    </row>
    <row r="134" spans="1:7" ht="15">
      <c r="A134" s="56"/>
      <c r="B134" s="38"/>
      <c r="C134" s="40"/>
      <c r="D134" s="40"/>
      <c r="E134" s="40"/>
      <c r="F134" s="40"/>
      <c r="G134" s="40"/>
    </row>
    <row r="135" spans="1:7" ht="15">
      <c r="B135" s="38"/>
      <c r="C135" s="40"/>
      <c r="D135" s="40"/>
      <c r="E135" s="40"/>
      <c r="F135" s="40"/>
      <c r="G135" s="40"/>
    </row>
    <row r="136" spans="1:7" ht="15">
      <c r="B136" s="38"/>
      <c r="C136" s="40"/>
      <c r="D136" s="40"/>
      <c r="E136" s="40"/>
      <c r="F136" s="40"/>
      <c r="G136" s="40"/>
    </row>
    <row r="137" spans="1:7" ht="15">
      <c r="B137" s="38"/>
      <c r="C137" s="40"/>
      <c r="D137" s="40"/>
      <c r="E137" s="40"/>
      <c r="F137" s="40"/>
      <c r="G137" s="40"/>
    </row>
    <row r="138" spans="1:7" ht="15">
      <c r="B138" s="38"/>
      <c r="C138" s="40"/>
      <c r="D138" s="40"/>
      <c r="E138" s="40"/>
      <c r="F138" s="40"/>
      <c r="G138" s="40"/>
    </row>
    <row r="139" spans="1:7" ht="15">
      <c r="B139" s="38"/>
      <c r="C139" s="40"/>
      <c r="D139" s="40"/>
      <c r="E139" s="40"/>
      <c r="F139" s="40"/>
      <c r="G139" s="40"/>
    </row>
    <row r="140" spans="1:7" ht="15">
      <c r="B140" s="38"/>
      <c r="C140" s="40"/>
      <c r="D140" s="40"/>
      <c r="E140" s="40"/>
      <c r="F140" s="40"/>
      <c r="G140" s="40"/>
    </row>
    <row r="141" spans="1:7" ht="15">
      <c r="B141" s="38"/>
      <c r="C141" s="40"/>
      <c r="D141" s="40"/>
      <c r="E141" s="40"/>
      <c r="F141" s="40"/>
      <c r="G141" s="40"/>
    </row>
    <row r="142" spans="1:7" ht="15">
      <c r="B142" s="38"/>
      <c r="C142" s="40"/>
      <c r="D142" s="40"/>
      <c r="E142" s="40"/>
      <c r="F142" s="40"/>
      <c r="G142" s="40"/>
    </row>
    <row r="143" spans="1:7" ht="15">
      <c r="B143" s="38"/>
      <c r="C143" s="40"/>
      <c r="D143" s="40"/>
      <c r="E143" s="40"/>
      <c r="F143" s="40"/>
      <c r="G143" s="40"/>
    </row>
    <row r="144" spans="1:7" ht="15">
      <c r="B144" s="38"/>
      <c r="C144" s="40"/>
      <c r="D144" s="40"/>
      <c r="E144" s="40"/>
      <c r="F144" s="40"/>
      <c r="G144" s="40"/>
    </row>
    <row r="145" spans="2:7" ht="15">
      <c r="B145" s="38"/>
      <c r="C145" s="40"/>
      <c r="D145" s="40"/>
      <c r="E145" s="40"/>
      <c r="F145" s="40"/>
      <c r="G145" s="40"/>
    </row>
    <row r="146" spans="2:7" ht="15">
      <c r="B146" s="38"/>
      <c r="C146" s="40"/>
      <c r="D146" s="40"/>
      <c r="E146" s="40"/>
      <c r="F146" s="40"/>
      <c r="G146" s="40"/>
    </row>
    <row r="147" spans="2:7" ht="15">
      <c r="B147" s="38"/>
      <c r="C147" s="40"/>
      <c r="D147" s="40"/>
      <c r="E147" s="40"/>
      <c r="F147" s="40"/>
      <c r="G147" s="40"/>
    </row>
    <row r="148" spans="2:7" ht="15">
      <c r="B148" s="38"/>
      <c r="C148" s="40"/>
      <c r="D148" s="40"/>
      <c r="E148" s="40"/>
      <c r="F148" s="40"/>
      <c r="G148" s="40"/>
    </row>
    <row r="149" spans="2:7" ht="15">
      <c r="B149" s="38"/>
      <c r="C149" s="40"/>
      <c r="D149" s="40"/>
      <c r="E149" s="40"/>
      <c r="F149" s="40"/>
      <c r="G149" s="40"/>
    </row>
    <row r="150" spans="2:7" ht="15">
      <c r="B150" s="38"/>
      <c r="C150" s="40"/>
      <c r="D150" s="40"/>
      <c r="E150" s="40"/>
      <c r="F150" s="40"/>
      <c r="G150" s="40"/>
    </row>
    <row r="151" spans="2:7" ht="15">
      <c r="B151" s="38"/>
      <c r="C151" s="40"/>
      <c r="D151" s="40"/>
      <c r="E151" s="40"/>
      <c r="F151" s="40"/>
      <c r="G151" s="40"/>
    </row>
    <row r="152" spans="2:7" ht="15">
      <c r="B152" s="38"/>
      <c r="C152" s="40"/>
      <c r="D152" s="40"/>
      <c r="E152" s="40"/>
      <c r="F152" s="40"/>
      <c r="G152" s="40"/>
    </row>
    <row r="153" spans="2:7" ht="15">
      <c r="B153" s="38"/>
      <c r="C153" s="40"/>
      <c r="D153" s="40"/>
      <c r="E153" s="40"/>
      <c r="F153" s="40"/>
      <c r="G153" s="40"/>
    </row>
    <row r="154" spans="2:7" ht="15">
      <c r="B154" s="38"/>
      <c r="C154" s="40"/>
      <c r="D154" s="40"/>
      <c r="E154" s="40"/>
      <c r="F154" s="40"/>
      <c r="G154" s="40"/>
    </row>
    <row r="155" spans="2:7" ht="15">
      <c r="B155" s="38"/>
      <c r="C155" s="40"/>
      <c r="D155" s="40"/>
      <c r="E155" s="40"/>
      <c r="F155" s="40"/>
      <c r="G155" s="40"/>
    </row>
    <row r="156" spans="2:7" ht="15">
      <c r="B156" s="38"/>
      <c r="C156" s="40"/>
      <c r="D156" s="40"/>
      <c r="E156" s="40"/>
      <c r="F156" s="40"/>
      <c r="G156" s="40"/>
    </row>
    <row r="157" spans="2:7" ht="15">
      <c r="B157" s="38"/>
      <c r="C157" s="40"/>
      <c r="D157" s="40"/>
      <c r="E157" s="40"/>
      <c r="F157" s="40"/>
      <c r="G157" s="40"/>
    </row>
    <row r="158" spans="2:7" ht="15">
      <c r="B158" s="38"/>
      <c r="C158" s="40"/>
      <c r="D158" s="40"/>
      <c r="E158" s="40"/>
      <c r="F158" s="40"/>
      <c r="G158" s="40"/>
    </row>
    <row r="159" spans="2:7" ht="15">
      <c r="B159" s="38"/>
      <c r="C159" s="40"/>
      <c r="D159" s="40"/>
      <c r="E159" s="40"/>
      <c r="F159" s="40"/>
      <c r="G159" s="40"/>
    </row>
    <row r="160" spans="2:7" ht="15">
      <c r="B160" s="38"/>
      <c r="C160" s="40"/>
      <c r="D160" s="40"/>
      <c r="E160" s="40"/>
      <c r="F160" s="40"/>
      <c r="G160" s="40"/>
    </row>
    <row r="161" spans="2:7" ht="15">
      <c r="B161" s="38"/>
      <c r="C161" s="40"/>
      <c r="D161" s="40"/>
      <c r="E161" s="40"/>
      <c r="F161" s="40"/>
      <c r="G161" s="40"/>
    </row>
    <row r="162" spans="2:7" ht="15">
      <c r="B162" s="38"/>
      <c r="C162" s="40"/>
      <c r="D162" s="40"/>
      <c r="E162" s="40"/>
      <c r="F162" s="40"/>
      <c r="G162" s="40"/>
    </row>
    <row r="163" spans="2:7" ht="15">
      <c r="B163" s="38"/>
      <c r="C163" s="40"/>
      <c r="D163" s="40"/>
      <c r="E163" s="40"/>
      <c r="F163" s="40"/>
      <c r="G163" s="40"/>
    </row>
    <row r="164" spans="2:7" ht="15">
      <c r="B164" s="38"/>
      <c r="C164" s="40"/>
      <c r="D164" s="40"/>
      <c r="E164" s="40"/>
      <c r="F164" s="40"/>
      <c r="G164" s="40"/>
    </row>
    <row r="165" spans="2:7" ht="15">
      <c r="B165" s="38"/>
      <c r="C165" s="40"/>
      <c r="D165" s="40"/>
      <c r="E165" s="40"/>
      <c r="F165" s="40"/>
      <c r="G165" s="40"/>
    </row>
    <row r="166" spans="2:7" ht="15">
      <c r="B166" s="38"/>
      <c r="C166" s="40"/>
      <c r="D166" s="40"/>
      <c r="E166" s="40"/>
      <c r="F166" s="40"/>
      <c r="G166" s="40"/>
    </row>
    <row r="167" spans="2:7" ht="15">
      <c r="B167" s="38"/>
      <c r="C167" s="40"/>
      <c r="D167" s="40"/>
      <c r="E167" s="40"/>
      <c r="F167" s="40"/>
      <c r="G167" s="40"/>
    </row>
    <row r="168" spans="2:7" ht="15">
      <c r="B168" s="38"/>
      <c r="C168" s="40"/>
      <c r="D168" s="40"/>
      <c r="E168" s="40"/>
      <c r="F168" s="40"/>
      <c r="G168" s="40"/>
    </row>
    <row r="169" spans="2:7" ht="15">
      <c r="B169" s="38"/>
      <c r="C169" s="40"/>
      <c r="D169" s="40"/>
      <c r="E169" s="40"/>
      <c r="F169" s="40"/>
      <c r="G169" s="40"/>
    </row>
    <row r="170" spans="2:7" ht="15">
      <c r="B170" s="38"/>
      <c r="C170" s="40"/>
      <c r="D170" s="40"/>
      <c r="E170" s="40"/>
      <c r="F170" s="40"/>
      <c r="G170" s="40"/>
    </row>
    <row r="171" spans="2:7" ht="15">
      <c r="B171" s="38"/>
      <c r="C171" s="40"/>
      <c r="D171" s="40"/>
      <c r="E171" s="40"/>
      <c r="F171" s="40"/>
      <c r="G171" s="40"/>
    </row>
    <row r="172" spans="2:7" ht="15">
      <c r="B172" s="38"/>
      <c r="C172" s="40"/>
      <c r="D172" s="40"/>
      <c r="E172" s="40"/>
      <c r="F172" s="40"/>
      <c r="G172" s="40"/>
    </row>
    <row r="173" spans="2:7" ht="15">
      <c r="B173" s="38"/>
      <c r="C173" s="40"/>
      <c r="D173" s="40"/>
      <c r="E173" s="40"/>
      <c r="F173" s="40"/>
      <c r="G173" s="40"/>
    </row>
    <row r="174" spans="2:7" ht="15">
      <c r="B174" s="38"/>
      <c r="C174" s="40"/>
      <c r="D174" s="40"/>
      <c r="E174" s="40"/>
      <c r="F174" s="40"/>
      <c r="G174" s="40"/>
    </row>
    <row r="175" spans="2:7" ht="15">
      <c r="B175" s="38"/>
      <c r="C175" s="40"/>
      <c r="D175" s="40"/>
      <c r="E175" s="40"/>
      <c r="F175" s="40"/>
      <c r="G175" s="40"/>
    </row>
    <row r="176" spans="2:7" ht="15">
      <c r="B176" s="38"/>
      <c r="C176" s="40"/>
      <c r="D176" s="40"/>
      <c r="E176" s="40"/>
      <c r="F176" s="40"/>
      <c r="G176" s="40"/>
    </row>
    <row r="177" spans="1:7" ht="15">
      <c r="A177" s="57"/>
      <c r="B177" s="38"/>
      <c r="C177" s="40"/>
      <c r="D177" s="40"/>
      <c r="E177" s="40"/>
      <c r="F177" s="40"/>
      <c r="G177" s="40"/>
    </row>
    <row r="178" spans="1:7" ht="15">
      <c r="B178" s="38"/>
      <c r="C178" s="40"/>
      <c r="D178" s="40"/>
      <c r="E178" s="40"/>
      <c r="F178" s="40"/>
      <c r="G178" s="40"/>
    </row>
    <row r="179" spans="1:7" ht="15">
      <c r="B179" s="38"/>
      <c r="C179" s="40"/>
      <c r="D179" s="40"/>
      <c r="E179" s="40"/>
      <c r="F179" s="40"/>
      <c r="G179" s="40"/>
    </row>
    <row r="180" spans="1:7" ht="15">
      <c r="B180" s="38"/>
      <c r="C180" s="40"/>
      <c r="D180" s="40"/>
      <c r="E180" s="40"/>
      <c r="F180" s="40"/>
      <c r="G180" s="40"/>
    </row>
    <row r="181" spans="1:7" ht="15">
      <c r="B181" s="38"/>
      <c r="C181" s="40"/>
      <c r="D181" s="40"/>
      <c r="E181" s="40"/>
      <c r="F181" s="40"/>
      <c r="G181" s="40"/>
    </row>
    <row r="182" spans="1:7" ht="15">
      <c r="B182" s="38"/>
      <c r="C182" s="40"/>
      <c r="D182" s="40"/>
      <c r="E182" s="40"/>
      <c r="F182" s="40"/>
      <c r="G182" s="40"/>
    </row>
    <row r="183" spans="1:7" ht="15">
      <c r="B183" s="38"/>
      <c r="C183" s="40"/>
      <c r="D183" s="40"/>
      <c r="E183" s="40"/>
      <c r="F183" s="40"/>
      <c r="G183" s="40"/>
    </row>
    <row r="184" spans="1:7" ht="15">
      <c r="B184" s="38"/>
      <c r="C184" s="40"/>
      <c r="D184" s="40"/>
      <c r="E184" s="40"/>
      <c r="F184" s="40"/>
      <c r="G184" s="40"/>
    </row>
    <row r="185" spans="1:7" ht="15">
      <c r="B185" s="38"/>
      <c r="C185" s="40"/>
      <c r="D185" s="40"/>
      <c r="E185" s="40"/>
      <c r="F185" s="40"/>
      <c r="G185" s="40"/>
    </row>
    <row r="186" spans="1:7" ht="15">
      <c r="B186" s="38"/>
      <c r="C186" s="40"/>
      <c r="D186" s="40"/>
      <c r="E186" s="40"/>
      <c r="F186" s="40"/>
      <c r="G186" s="40"/>
    </row>
    <row r="187" spans="1:7" ht="15">
      <c r="B187" s="38"/>
      <c r="C187" s="40"/>
      <c r="D187" s="40"/>
      <c r="E187" s="40"/>
      <c r="F187" s="40"/>
      <c r="G187" s="40"/>
    </row>
    <row r="188" spans="1:7" ht="15">
      <c r="B188" s="38"/>
      <c r="C188" s="40"/>
      <c r="D188" s="40"/>
      <c r="E188" s="40"/>
      <c r="F188" s="40"/>
      <c r="G188" s="40"/>
    </row>
    <row r="189" spans="1:7" ht="15">
      <c r="B189" s="38"/>
      <c r="C189" s="40"/>
      <c r="D189" s="40"/>
      <c r="E189" s="40"/>
      <c r="F189" s="40"/>
      <c r="G189" s="40"/>
    </row>
    <row r="190" spans="1:7" ht="15">
      <c r="B190" s="38"/>
      <c r="C190" s="40"/>
      <c r="D190" s="40"/>
      <c r="E190" s="40"/>
      <c r="F190" s="40"/>
      <c r="G190" s="40"/>
    </row>
    <row r="191" spans="1:7" ht="15">
      <c r="B191" s="38"/>
      <c r="C191" s="40"/>
      <c r="D191" s="40"/>
      <c r="E191" s="40"/>
      <c r="F191" s="40"/>
      <c r="G191" s="40"/>
    </row>
    <row r="192" spans="1:7" ht="15">
      <c r="B192" s="38"/>
      <c r="C192" s="40"/>
      <c r="D192" s="40"/>
      <c r="E192" s="40"/>
      <c r="F192" s="40"/>
      <c r="G192" s="40"/>
    </row>
    <row r="193" spans="1:7" ht="15">
      <c r="B193" s="38"/>
      <c r="C193" s="40"/>
      <c r="D193" s="40"/>
      <c r="E193" s="40"/>
      <c r="F193" s="40"/>
      <c r="G193" s="40"/>
    </row>
    <row r="194" spans="1:7" ht="15">
      <c r="B194" s="38"/>
      <c r="C194" s="40"/>
      <c r="D194" s="40"/>
      <c r="E194" s="40"/>
      <c r="F194" s="40"/>
      <c r="G194" s="40"/>
    </row>
    <row r="195" spans="1:7" ht="15">
      <c r="B195" s="38"/>
      <c r="C195" s="40"/>
      <c r="D195" s="40"/>
      <c r="E195" s="40"/>
      <c r="F195" s="40"/>
      <c r="G195" s="40"/>
    </row>
    <row r="196" spans="1:7" ht="15">
      <c r="A196" s="53"/>
      <c r="B196" s="38"/>
      <c r="C196" s="40"/>
      <c r="D196" s="40"/>
      <c r="E196" s="40"/>
      <c r="F196" s="40"/>
      <c r="G196" s="40"/>
    </row>
    <row r="197" spans="1:7" ht="15">
      <c r="B197" s="38"/>
      <c r="C197" s="40"/>
      <c r="D197" s="40"/>
      <c r="E197" s="40"/>
      <c r="F197" s="40"/>
      <c r="G197" s="40"/>
    </row>
    <row r="198" spans="1:7" ht="15">
      <c r="B198" s="38"/>
      <c r="C198" s="40"/>
      <c r="D198" s="40"/>
      <c r="E198" s="40"/>
      <c r="F198" s="40"/>
      <c r="G198" s="40"/>
    </row>
    <row r="199" spans="1:7" ht="15">
      <c r="B199" s="38"/>
      <c r="C199" s="40"/>
      <c r="D199" s="40"/>
      <c r="E199" s="40"/>
      <c r="F199" s="40"/>
      <c r="G199" s="40"/>
    </row>
    <row r="200" spans="1:7" ht="15">
      <c r="B200" s="38"/>
      <c r="C200" s="40"/>
      <c r="D200" s="40"/>
      <c r="E200" s="40"/>
      <c r="F200" s="40"/>
      <c r="G200" s="40"/>
    </row>
    <row r="201" spans="1:7" ht="15">
      <c r="B201" s="38"/>
      <c r="C201" s="40"/>
      <c r="D201" s="40"/>
      <c r="E201" s="40"/>
      <c r="F201" s="40"/>
      <c r="G201" s="40"/>
    </row>
    <row r="202" spans="1:7" ht="15">
      <c r="A202" s="57"/>
      <c r="B202" s="38"/>
      <c r="C202" s="40"/>
      <c r="D202" s="40"/>
      <c r="E202" s="40"/>
      <c r="F202" s="40"/>
      <c r="G202" s="40"/>
    </row>
    <row r="203" spans="1:7" ht="15">
      <c r="B203" s="38"/>
      <c r="C203" s="40"/>
      <c r="D203" s="40"/>
      <c r="E203" s="40"/>
      <c r="F203" s="40"/>
      <c r="G203" s="40"/>
    </row>
    <row r="204" spans="1:7" ht="15">
      <c r="A204" s="57"/>
      <c r="B204" s="38"/>
      <c r="C204" s="40"/>
      <c r="D204" s="40"/>
      <c r="E204" s="40"/>
      <c r="F204" s="40"/>
      <c r="G204" s="40"/>
    </row>
    <row r="205" spans="1:7" ht="15">
      <c r="B205" s="38"/>
      <c r="C205" s="40"/>
      <c r="D205" s="40"/>
      <c r="E205" s="40"/>
      <c r="F205" s="40"/>
      <c r="G205" s="40"/>
    </row>
    <row r="206" spans="1:7" ht="15">
      <c r="A206" s="57"/>
      <c r="B206" s="38"/>
      <c r="C206" s="40"/>
      <c r="D206" s="40"/>
      <c r="E206" s="40"/>
      <c r="F206" s="40"/>
      <c r="G206" s="40"/>
    </row>
    <row r="207" spans="1:7" ht="15">
      <c r="A207" s="57"/>
      <c r="B207" s="38"/>
      <c r="C207" s="40"/>
      <c r="D207" s="40"/>
      <c r="E207" s="40"/>
      <c r="F207" s="40"/>
      <c r="G207" s="40"/>
    </row>
    <row r="208" spans="1:7" ht="15">
      <c r="B208" s="38"/>
      <c r="C208" s="40"/>
      <c r="D208" s="40"/>
      <c r="E208" s="40"/>
      <c r="F208" s="40"/>
      <c r="G208" s="40"/>
    </row>
    <row r="209" spans="1:8" ht="15">
      <c r="B209" s="38"/>
      <c r="C209" s="40"/>
      <c r="D209" s="40"/>
      <c r="E209" s="40"/>
      <c r="F209" s="40"/>
      <c r="G209" s="40"/>
    </row>
    <row r="210" spans="1:8" ht="15">
      <c r="B210" s="38"/>
      <c r="C210" s="40"/>
      <c r="D210" s="40"/>
      <c r="E210" s="40"/>
      <c r="F210" s="40"/>
      <c r="G210" s="40"/>
    </row>
    <row r="211" spans="1:8" ht="15">
      <c r="B211" s="38"/>
      <c r="C211" s="40"/>
      <c r="D211" s="40"/>
      <c r="E211" s="40"/>
      <c r="F211" s="40"/>
      <c r="G211" s="40"/>
    </row>
    <row r="212" spans="1:8" ht="15">
      <c r="B212" s="38"/>
      <c r="C212" s="40"/>
      <c r="D212" s="40"/>
      <c r="E212" s="40"/>
      <c r="F212" s="40"/>
      <c r="G212" s="40"/>
    </row>
    <row r="213" spans="1:8" ht="15">
      <c r="B213" s="38"/>
      <c r="C213" s="40"/>
      <c r="D213" s="40"/>
      <c r="E213" s="40"/>
      <c r="F213" s="40"/>
      <c r="G213" s="40"/>
    </row>
    <row r="214" spans="1:8" ht="15">
      <c r="B214" s="38"/>
      <c r="C214" s="40"/>
      <c r="D214" s="40"/>
      <c r="E214" s="40"/>
      <c r="F214" s="40"/>
      <c r="G214" s="40"/>
    </row>
    <row r="215" spans="1:8" ht="15">
      <c r="B215" s="38"/>
      <c r="C215" s="40"/>
      <c r="D215" s="40"/>
      <c r="E215" s="40"/>
      <c r="F215" s="40"/>
      <c r="G215" s="40"/>
    </row>
    <row r="216" spans="1:8" ht="15">
      <c r="B216" s="38"/>
      <c r="C216" s="40"/>
      <c r="D216" s="40"/>
      <c r="E216" s="40"/>
      <c r="F216" s="40"/>
      <c r="G216" s="40"/>
    </row>
    <row r="217" spans="1:8" ht="15">
      <c r="A217" s="46"/>
      <c r="B217" s="38"/>
      <c r="C217" s="40"/>
      <c r="D217" s="40"/>
      <c r="E217" s="40"/>
      <c r="F217" s="40"/>
      <c r="G217" s="40"/>
    </row>
    <row r="218" spans="1:8" ht="15">
      <c r="A218" s="46"/>
      <c r="B218" s="38"/>
      <c r="C218" s="40"/>
      <c r="D218" s="40"/>
      <c r="E218" s="40"/>
      <c r="F218" s="40"/>
      <c r="G218" s="40"/>
    </row>
    <row r="219" spans="1:8" ht="15">
      <c r="B219" s="38"/>
      <c r="C219" s="40"/>
      <c r="D219" s="40"/>
      <c r="E219" s="40"/>
      <c r="F219" s="40"/>
      <c r="G219" s="40"/>
    </row>
    <row r="220" spans="1:8" ht="15">
      <c r="C220" s="40"/>
      <c r="D220" s="40"/>
      <c r="E220" s="40"/>
      <c r="F220" s="40"/>
      <c r="G220" s="40"/>
    </row>
    <row r="221" spans="1:8" ht="15">
      <c r="C221" s="58"/>
      <c r="D221" s="58"/>
      <c r="E221" s="58"/>
      <c r="F221" s="58"/>
      <c r="G221" s="58"/>
    </row>
    <row r="222" spans="1:8" ht="15">
      <c r="C222" s="58"/>
      <c r="D222" s="58"/>
      <c r="E222" s="58"/>
      <c r="F222" s="58"/>
      <c r="G222" s="58"/>
      <c r="H222" s="40">
        <f>G222-242260</f>
        <v>-242260</v>
      </c>
    </row>
    <row r="223" spans="1:8" ht="15">
      <c r="C223" s="39"/>
      <c r="D223" s="39"/>
      <c r="E223" s="39"/>
      <c r="F223" s="39"/>
      <c r="G223" s="39"/>
    </row>
    <row r="224" spans="1:8" ht="15">
      <c r="D224" s="40"/>
      <c r="E224" s="40"/>
    </row>
    <row r="225" spans="3:7" ht="15">
      <c r="G225" s="40"/>
    </row>
    <row r="228" spans="3:7" ht="15">
      <c r="C228" s="40"/>
      <c r="D228" s="40"/>
      <c r="E228" s="40"/>
      <c r="F228" s="40"/>
      <c r="G228" s="40"/>
    </row>
  </sheetData>
  <mergeCells count="2">
    <mergeCell ref="A1:G1"/>
    <mergeCell ref="A3:G3"/>
  </mergeCells>
  <pageMargins left="0.7" right="0.7" top="0.75" bottom="0.75" header="0.3" footer="0.3"/>
  <pageSetup paperSize="9" scale="7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4"/>
  <sheetViews>
    <sheetView showGridLines="0" workbookViewId="0">
      <selection activeCell="G13" sqref="G13"/>
    </sheetView>
  </sheetViews>
  <sheetFormatPr defaultRowHeight="15"/>
  <cols>
    <col min="1" max="1" width="4.5703125" style="69" customWidth="1"/>
    <col min="2" max="2" width="12.85546875" style="69" bestFit="1" customWidth="1"/>
    <col min="3" max="3" width="7.85546875" style="69" customWidth="1"/>
    <col min="4" max="4" width="18.42578125" style="69" bestFit="1" customWidth="1"/>
    <col min="5" max="5" width="12.28515625" style="69" customWidth="1"/>
    <col min="6" max="6" width="21" style="69" bestFit="1" customWidth="1"/>
    <col min="7" max="7" width="13.85546875" style="69" bestFit="1" customWidth="1"/>
    <col min="8" max="8" width="11.5703125" style="69" customWidth="1"/>
    <col min="9" max="9" width="8.140625" style="69" customWidth="1"/>
    <col min="10" max="10" width="23.42578125" style="69" bestFit="1" customWidth="1"/>
    <col min="11" max="11" width="14.85546875" style="69" bestFit="1" customWidth="1"/>
    <col min="12" max="12" width="16" style="69" bestFit="1" customWidth="1"/>
    <col min="13" max="13" width="14.85546875" style="69" bestFit="1" customWidth="1"/>
    <col min="14" max="14" width="9" style="69" customWidth="1"/>
    <col min="15" max="15" width="18.140625" style="69" bestFit="1" customWidth="1"/>
    <col min="16" max="16" width="26.28515625" style="69" bestFit="1" customWidth="1"/>
    <col min="17" max="16384" width="9.140625" style="69"/>
  </cols>
  <sheetData>
    <row r="2" spans="2:12">
      <c r="B2" s="72" t="s">
        <v>4</v>
      </c>
    </row>
    <row r="4" spans="2:12" s="73" customFormat="1">
      <c r="D4" s="74"/>
      <c r="E4" s="75"/>
      <c r="F4" s="75"/>
      <c r="G4" s="75"/>
      <c r="I4" s="75"/>
      <c r="L4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4"/>
  <sheetViews>
    <sheetView showGridLines="0" topLeftCell="I1" workbookViewId="0">
      <selection activeCell="Q7" sqref="Q7:Q36"/>
    </sheetView>
  </sheetViews>
  <sheetFormatPr defaultRowHeight="12.75"/>
  <cols>
    <col min="1" max="1" width="9.140625" style="90"/>
    <col min="2" max="2" width="44.28515625" style="90" bestFit="1" customWidth="1"/>
    <col min="3" max="3" width="12.85546875" style="90" bestFit="1" customWidth="1"/>
    <col min="4" max="4" width="14.28515625" style="90" bestFit="1" customWidth="1"/>
    <col min="5" max="5" width="18.42578125" style="90" customWidth="1"/>
    <col min="6" max="6" width="12.28515625" style="90" customWidth="1"/>
    <col min="7" max="7" width="17.5703125" style="90" customWidth="1"/>
    <col min="8" max="8" width="11.5703125" style="90" customWidth="1"/>
    <col min="9" max="9" width="8.140625" style="90" customWidth="1"/>
    <col min="10" max="10" width="23.42578125" style="90" bestFit="1" customWidth="1"/>
    <col min="11" max="11" width="23.42578125" style="90" customWidth="1"/>
    <col min="12" max="12" width="21.28515625" style="90" bestFit="1" customWidth="1"/>
    <col min="13" max="13" width="16" style="90" bestFit="1" customWidth="1"/>
    <col min="14" max="14" width="14.28515625" style="90" customWidth="1"/>
    <col min="15" max="15" width="18.140625" style="90" bestFit="1" customWidth="1"/>
    <col min="16" max="16" width="26.28515625" style="90" bestFit="1" customWidth="1"/>
    <col min="17" max="17" width="28.42578125" style="90" bestFit="1" customWidth="1"/>
    <col min="18" max="16384" width="9.140625" style="90"/>
  </cols>
  <sheetData>
    <row r="2" spans="2:17">
      <c r="B2" s="78" t="s">
        <v>144</v>
      </c>
    </row>
    <row r="3" spans="2:17">
      <c r="K3" s="89">
        <v>44469</v>
      </c>
    </row>
    <row r="4" spans="2:17" s="96" customFormat="1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67" t="s">
        <v>134</v>
      </c>
      <c r="C7" s="90" t="s">
        <v>14</v>
      </c>
      <c r="D7" s="89">
        <v>42353</v>
      </c>
      <c r="E7" s="92">
        <v>28352211.196134202</v>
      </c>
      <c r="F7" s="92">
        <v>0</v>
      </c>
      <c r="G7" s="92">
        <f>E7+F7</f>
        <v>28352211.196134202</v>
      </c>
      <c r="H7" s="90" t="s">
        <v>133</v>
      </c>
      <c r="I7" s="90">
        <v>25</v>
      </c>
      <c r="J7" s="93">
        <f>E7*5%</f>
        <v>1417610.5598067101</v>
      </c>
      <c r="K7" s="93">
        <f>$K$3-D7+1</f>
        <v>2117</v>
      </c>
      <c r="L7" s="93">
        <f>K7/365</f>
        <v>5.8</v>
      </c>
      <c r="M7" s="93">
        <f>I7-L7</f>
        <v>19.2</v>
      </c>
      <c r="N7" s="90" t="str">
        <f>IF(M7&lt;=0,"NO","YES")</f>
        <v>YES</v>
      </c>
      <c r="O7" s="94">
        <f>G7-J7</f>
        <v>26934600.63632749</v>
      </c>
      <c r="P7" s="92">
        <f>O7/I7*L7</f>
        <v>6248827.3476279769</v>
      </c>
      <c r="Q7" s="95">
        <f>G7-P7</f>
        <v>22103383.848506227</v>
      </c>
    </row>
    <row r="8" spans="2:17">
      <c r="B8" s="67"/>
      <c r="D8" s="89">
        <v>42444</v>
      </c>
      <c r="E8" s="92">
        <v>4481337.67</v>
      </c>
      <c r="F8" s="92">
        <v>0</v>
      </c>
      <c r="G8" s="92">
        <f>E8+F8</f>
        <v>4481337.67</v>
      </c>
      <c r="H8" s="90" t="s">
        <v>133</v>
      </c>
      <c r="I8" s="90">
        <v>25</v>
      </c>
      <c r="J8" s="93">
        <f>E8*5%</f>
        <v>224066.8835</v>
      </c>
      <c r="K8" s="93">
        <f>$K$3-D8+1</f>
        <v>2026</v>
      </c>
      <c r="L8" s="93">
        <f>K8/365</f>
        <v>5.5506849315068489</v>
      </c>
      <c r="M8" s="93">
        <f>I8-L8</f>
        <v>19.449315068493149</v>
      </c>
      <c r="N8" s="90" t="str">
        <f>IF(M8&lt;=0,"NO","YES")</f>
        <v>YES</v>
      </c>
      <c r="O8" s="94">
        <f>G8-J8</f>
        <v>4257270.7864999995</v>
      </c>
      <c r="P8" s="92">
        <f>O8/I8*L8</f>
        <v>945230.75215879444</v>
      </c>
      <c r="Q8" s="95">
        <f>G8-P8</f>
        <v>3536106.9178412054</v>
      </c>
    </row>
    <row r="9" spans="2:17">
      <c r="B9" s="67"/>
      <c r="D9" s="89">
        <v>43054</v>
      </c>
      <c r="E9" s="92">
        <v>4174825.43</v>
      </c>
      <c r="F9" s="92">
        <v>0</v>
      </c>
      <c r="G9" s="92">
        <f>E9+F9</f>
        <v>4174825.43</v>
      </c>
      <c r="H9" s="90" t="s">
        <v>133</v>
      </c>
      <c r="I9" s="90">
        <v>25</v>
      </c>
      <c r="J9" s="93">
        <f>E9*5%</f>
        <v>208741.27150000003</v>
      </c>
      <c r="K9" s="93">
        <f>$K$3-D9+1</f>
        <v>1416</v>
      </c>
      <c r="L9" s="93">
        <f>K9/365</f>
        <v>3.8794520547945206</v>
      </c>
      <c r="M9" s="93">
        <f>I9-L9</f>
        <v>21.12054794520548</v>
      </c>
      <c r="N9" s="90" t="str">
        <f>IF(M9&lt;=0,"NO","YES")</f>
        <v>YES</v>
      </c>
      <c r="O9" s="94">
        <f>G9-J9</f>
        <v>3966084.1584999999</v>
      </c>
      <c r="P9" s="92">
        <f>O9/I9*L9</f>
        <v>615449.33352723287</v>
      </c>
      <c r="Q9" s="95">
        <f>G9-P9</f>
        <v>3559376.0964727672</v>
      </c>
    </row>
    <row r="10" spans="2:17">
      <c r="B10" s="67"/>
      <c r="E10" s="92"/>
      <c r="F10" s="92"/>
      <c r="G10" s="92"/>
      <c r="O10" s="94"/>
      <c r="P10" s="92"/>
    </row>
    <row r="11" spans="2:17">
      <c r="B11" s="67" t="s">
        <v>135</v>
      </c>
      <c r="C11" s="90" t="s">
        <v>14</v>
      </c>
      <c r="D11" s="89">
        <v>42353</v>
      </c>
      <c r="E11" s="92">
        <v>18824660.991227053</v>
      </c>
      <c r="F11" s="92">
        <v>0</v>
      </c>
      <c r="G11" s="92">
        <f>E11+F11</f>
        <v>18824660.991227053</v>
      </c>
      <c r="H11" s="90" t="s">
        <v>133</v>
      </c>
      <c r="I11" s="90">
        <v>25</v>
      </c>
      <c r="J11" s="93">
        <f>E11*5%</f>
        <v>941233.0495613527</v>
      </c>
      <c r="K11" s="93">
        <f>$K$3-D11+1</f>
        <v>2117</v>
      </c>
      <c r="L11" s="93">
        <f>K11/365</f>
        <v>5.8</v>
      </c>
      <c r="M11" s="93">
        <f>I11-L11</f>
        <v>19.2</v>
      </c>
      <c r="N11" s="90" t="str">
        <f>IF(M11&lt;=0,"NO","YES")</f>
        <v>YES</v>
      </c>
      <c r="O11" s="94">
        <f>G11-J11</f>
        <v>17883427.941665702</v>
      </c>
      <c r="P11" s="92">
        <f>O11/I11*L11</f>
        <v>4148955.2824664428</v>
      </c>
      <c r="Q11" s="95">
        <f>G11-P11</f>
        <v>14675705.70876061</v>
      </c>
    </row>
    <row r="12" spans="2:17" ht="15">
      <c r="B12" s="67"/>
      <c r="D12" s="89">
        <v>43054</v>
      </c>
      <c r="E12" s="145">
        <v>226125</v>
      </c>
      <c r="F12" s="92">
        <v>0</v>
      </c>
      <c r="G12" s="92">
        <f>E12+F12</f>
        <v>226125</v>
      </c>
      <c r="H12" s="90" t="s">
        <v>133</v>
      </c>
      <c r="I12" s="90">
        <v>25</v>
      </c>
      <c r="J12" s="93">
        <f>E12*5%</f>
        <v>11306.25</v>
      </c>
      <c r="K12" s="93">
        <f>$K$3-D12+1</f>
        <v>1416</v>
      </c>
      <c r="L12" s="93">
        <f>K12/365</f>
        <v>3.8794520547945206</v>
      </c>
      <c r="M12" s="93">
        <f>I12-L12</f>
        <v>21.12054794520548</v>
      </c>
      <c r="N12" s="90" t="str">
        <f>IF(M12&lt;=0,"NO","YES")</f>
        <v>YES</v>
      </c>
      <c r="O12" s="94">
        <f>G12-J12</f>
        <v>214818.75</v>
      </c>
      <c r="P12" s="92">
        <f>O12/I12*L12</f>
        <v>33335.161643835614</v>
      </c>
      <c r="Q12" s="95">
        <f>G12-P12</f>
        <v>192789.8383561644</v>
      </c>
    </row>
    <row r="13" spans="2:17">
      <c r="B13" s="67"/>
      <c r="D13" s="89">
        <v>43190</v>
      </c>
      <c r="E13" s="92">
        <v>2187034.08</v>
      </c>
      <c r="F13" s="92">
        <v>0</v>
      </c>
      <c r="G13" s="92">
        <f>E13+F13</f>
        <v>2187034.08</v>
      </c>
      <c r="H13" s="90" t="s">
        <v>133</v>
      </c>
      <c r="I13" s="90">
        <v>25</v>
      </c>
      <c r="J13" s="93">
        <f>E13*5%</f>
        <v>109351.70400000001</v>
      </c>
      <c r="K13" s="93">
        <f>$K$3-D13+1</f>
        <v>1280</v>
      </c>
      <c r="L13" s="93">
        <f>K13/365</f>
        <v>3.506849315068493</v>
      </c>
      <c r="M13" s="93">
        <f>I13-L13</f>
        <v>21.493150684931507</v>
      </c>
      <c r="N13" s="90" t="str">
        <f>IF(M13&lt;=0,"NO","YES")</f>
        <v>YES</v>
      </c>
      <c r="O13" s="94">
        <f>G13-J13</f>
        <v>2077682.3760000002</v>
      </c>
      <c r="P13" s="92">
        <f>O13/I13*L13</f>
        <v>291444.76068821922</v>
      </c>
      <c r="Q13" s="95">
        <f>G13-P13</f>
        <v>1895589.3193117809</v>
      </c>
    </row>
    <row r="14" spans="2:17">
      <c r="B14" s="67"/>
      <c r="D14" s="89"/>
      <c r="E14" s="92"/>
      <c r="F14" s="92"/>
      <c r="G14" s="92"/>
      <c r="O14" s="94"/>
      <c r="P14" s="92"/>
    </row>
    <row r="15" spans="2:17">
      <c r="B15" s="67" t="s">
        <v>136</v>
      </c>
      <c r="C15" s="90" t="s">
        <v>14</v>
      </c>
      <c r="D15" s="89">
        <v>42353</v>
      </c>
      <c r="E15" s="92">
        <v>90911896.830891356</v>
      </c>
      <c r="F15" s="92">
        <v>0</v>
      </c>
      <c r="G15" s="92">
        <f t="shared" ref="G15:G36" si="0">E15+F15</f>
        <v>90911896.830891356</v>
      </c>
      <c r="H15" s="90" t="s">
        <v>133</v>
      </c>
      <c r="I15" s="90">
        <v>25</v>
      </c>
      <c r="J15" s="93">
        <f>E15*5%</f>
        <v>4545594.8415445676</v>
      </c>
      <c r="K15" s="93">
        <f>$K$3-D15+1</f>
        <v>2117</v>
      </c>
      <c r="L15" s="93">
        <f t="shared" ref="L15:L36" si="1">K15/365</f>
        <v>5.8</v>
      </c>
      <c r="M15" s="93">
        <f>I15-L15</f>
        <v>19.2</v>
      </c>
      <c r="N15" s="90" t="str">
        <f t="shared" ref="N15:N16" si="2">IF(M15&lt;=0,"NO","YES")</f>
        <v>YES</v>
      </c>
      <c r="O15" s="94">
        <f t="shared" ref="O15:O16" si="3">G15-J15</f>
        <v>86366301.989346787</v>
      </c>
      <c r="P15" s="92">
        <f t="shared" ref="P15:P16" si="4">O15/I15*L15</f>
        <v>20036982.061528455</v>
      </c>
      <c r="Q15" s="95">
        <f>G15-P15</f>
        <v>70874914.769362897</v>
      </c>
    </row>
    <row r="16" spans="2:17">
      <c r="B16" s="67"/>
      <c r="D16" s="89">
        <v>42444</v>
      </c>
      <c r="E16" s="92">
        <v>649192.55000000005</v>
      </c>
      <c r="F16" s="92">
        <v>0</v>
      </c>
      <c r="G16" s="92">
        <f t="shared" si="0"/>
        <v>649192.55000000005</v>
      </c>
      <c r="H16" s="90" t="s">
        <v>133</v>
      </c>
      <c r="I16" s="90">
        <v>25</v>
      </c>
      <c r="J16" s="93">
        <f>E16*5%</f>
        <v>32459.627500000002</v>
      </c>
      <c r="K16" s="93">
        <f>$K$3-D16+1</f>
        <v>2026</v>
      </c>
      <c r="L16" s="93">
        <f t="shared" si="1"/>
        <v>5.5506849315068489</v>
      </c>
      <c r="M16" s="93">
        <f>I16-L16</f>
        <v>19.449315068493149</v>
      </c>
      <c r="N16" s="90" t="str">
        <f t="shared" si="2"/>
        <v>YES</v>
      </c>
      <c r="O16" s="94">
        <f t="shared" si="3"/>
        <v>616732.9225000001</v>
      </c>
      <c r="P16" s="92">
        <f t="shared" si="4"/>
        <v>136931.60558739729</v>
      </c>
      <c r="Q16" s="95">
        <f>G16-P16</f>
        <v>512260.94441260275</v>
      </c>
    </row>
    <row r="17" spans="2:17">
      <c r="B17" s="67"/>
      <c r="D17" s="89">
        <v>43054</v>
      </c>
      <c r="E17" s="92">
        <v>193631.08</v>
      </c>
      <c r="F17" s="92">
        <v>0</v>
      </c>
      <c r="G17" s="92">
        <f t="shared" ref="G17" si="5">E17+F17</f>
        <v>193631.08</v>
      </c>
      <c r="H17" s="90" t="s">
        <v>133</v>
      </c>
      <c r="I17" s="90">
        <v>25</v>
      </c>
      <c r="J17" s="93">
        <f>E17*5%</f>
        <v>9681.5540000000001</v>
      </c>
      <c r="K17" s="93">
        <f>$K$3-D17+1</f>
        <v>1416</v>
      </c>
      <c r="L17" s="93">
        <f t="shared" ref="L17" si="6">K17/365</f>
        <v>3.8794520547945206</v>
      </c>
      <c r="M17" s="93">
        <f>I17-L17</f>
        <v>21.12054794520548</v>
      </c>
      <c r="N17" s="90" t="str">
        <f t="shared" ref="N17" si="7">IF(M17&lt;=0,"NO","YES")</f>
        <v>YES</v>
      </c>
      <c r="O17" s="94">
        <f t="shared" ref="O17" si="8">G17-J17</f>
        <v>183949.52599999998</v>
      </c>
      <c r="P17" s="92">
        <f t="shared" ref="P17" si="9">O17/I17*L17</f>
        <v>28544.934664767123</v>
      </c>
      <c r="Q17" s="95">
        <f>G17-P17</f>
        <v>165086.14533523287</v>
      </c>
    </row>
    <row r="18" spans="2:17">
      <c r="B18" s="67"/>
      <c r="D18" s="89"/>
      <c r="E18" s="92"/>
      <c r="F18" s="92"/>
      <c r="G18" s="92"/>
      <c r="O18" s="94"/>
      <c r="P18" s="92"/>
    </row>
    <row r="19" spans="2:17">
      <c r="B19" s="67" t="s">
        <v>137</v>
      </c>
      <c r="C19" s="90" t="s">
        <v>14</v>
      </c>
      <c r="D19" s="89">
        <v>42353</v>
      </c>
      <c r="E19" s="92">
        <v>23307685.765457917</v>
      </c>
      <c r="F19" s="92">
        <v>0</v>
      </c>
      <c r="G19" s="92">
        <f t="shared" si="0"/>
        <v>23307685.765457917</v>
      </c>
      <c r="H19" s="90" t="s">
        <v>133</v>
      </c>
      <c r="I19" s="90">
        <v>25</v>
      </c>
      <c r="J19" s="93">
        <f t="shared" ref="J19:J20" si="10">E19*5%</f>
        <v>1165384.2882728959</v>
      </c>
      <c r="K19" s="93">
        <f>$K$3-D19+1</f>
        <v>2117</v>
      </c>
      <c r="L19" s="93">
        <f t="shared" si="1"/>
        <v>5.8</v>
      </c>
      <c r="M19" s="93">
        <f>I19-L19</f>
        <v>19.2</v>
      </c>
      <c r="N19" s="90" t="str">
        <f t="shared" ref="N19:N24" si="11">IF(M19&lt;0,"NO","YES")</f>
        <v>YES</v>
      </c>
      <c r="O19" s="94">
        <f t="shared" ref="O19:O20" si="12">G19-J19</f>
        <v>22142301.477185022</v>
      </c>
      <c r="P19" s="92">
        <f>O19/I19*L19</f>
        <v>5137013.9427069249</v>
      </c>
      <c r="Q19" s="95">
        <f>G19-P19</f>
        <v>18170671.822750993</v>
      </c>
    </row>
    <row r="20" spans="2:17">
      <c r="B20" s="67"/>
      <c r="D20" s="89">
        <v>42444</v>
      </c>
      <c r="E20" s="92">
        <v>1232002.6100000001</v>
      </c>
      <c r="F20" s="92">
        <v>0</v>
      </c>
      <c r="G20" s="92">
        <f t="shared" si="0"/>
        <v>1232002.6100000001</v>
      </c>
      <c r="H20" s="90" t="s">
        <v>133</v>
      </c>
      <c r="I20" s="90">
        <v>25</v>
      </c>
      <c r="J20" s="93">
        <f t="shared" si="10"/>
        <v>61600.130500000007</v>
      </c>
      <c r="K20" s="93">
        <f>$K$3-D20+1</f>
        <v>2026</v>
      </c>
      <c r="L20" s="93">
        <f t="shared" si="1"/>
        <v>5.5506849315068489</v>
      </c>
      <c r="M20" s="93">
        <f>I20-L20</f>
        <v>19.449315068493149</v>
      </c>
      <c r="N20" s="90" t="str">
        <f t="shared" si="11"/>
        <v>YES</v>
      </c>
      <c r="O20" s="94">
        <f t="shared" si="12"/>
        <v>1170402.4795000001</v>
      </c>
      <c r="P20" s="92">
        <f>O20/I20*L20</f>
        <v>259861.41627035616</v>
      </c>
      <c r="Q20" s="95">
        <f>G20-P20</f>
        <v>972141.19372964394</v>
      </c>
    </row>
    <row r="21" spans="2:17">
      <c r="B21" s="67"/>
      <c r="D21" s="89">
        <v>43054</v>
      </c>
      <c r="E21" s="92">
        <v>2039602.83</v>
      </c>
      <c r="F21" s="92">
        <v>0</v>
      </c>
      <c r="G21" s="92">
        <f t="shared" ref="G21" si="13">E21+F21</f>
        <v>2039602.83</v>
      </c>
      <c r="H21" s="90" t="s">
        <v>133</v>
      </c>
      <c r="I21" s="90">
        <v>25</v>
      </c>
      <c r="J21" s="93">
        <f t="shared" ref="J21" si="14">E21*5%</f>
        <v>101980.14150000001</v>
      </c>
      <c r="K21" s="93">
        <f>$K$3-D21+1</f>
        <v>1416</v>
      </c>
      <c r="L21" s="93">
        <f t="shared" ref="L21" si="15">K21/365</f>
        <v>3.8794520547945206</v>
      </c>
      <c r="M21" s="93">
        <f>I21-L21</f>
        <v>21.12054794520548</v>
      </c>
      <c r="N21" s="90" t="str">
        <f t="shared" ref="N21" si="16">IF(M21&lt;0,"NO","YES")</f>
        <v>YES</v>
      </c>
      <c r="O21" s="94">
        <f t="shared" ref="O21" si="17">G21-J21</f>
        <v>1937622.6885000002</v>
      </c>
      <c r="P21" s="92">
        <f>O21/I21*L21</f>
        <v>300676.57281271234</v>
      </c>
      <c r="Q21" s="95">
        <f>G21-P21</f>
        <v>1738926.2571872878</v>
      </c>
    </row>
    <row r="22" spans="2:17">
      <c r="B22" s="67"/>
      <c r="D22" s="89"/>
      <c r="E22" s="92"/>
      <c r="F22" s="92"/>
      <c r="G22" s="92"/>
      <c r="O22" s="94"/>
      <c r="P22" s="92"/>
    </row>
    <row r="23" spans="2:17">
      <c r="B23" s="67" t="s">
        <v>138</v>
      </c>
      <c r="C23" s="90" t="s">
        <v>14</v>
      </c>
      <c r="D23" s="89">
        <v>42353</v>
      </c>
      <c r="E23" s="92">
        <v>32197678.104446284</v>
      </c>
      <c r="F23" s="92">
        <v>0</v>
      </c>
      <c r="G23" s="92">
        <f t="shared" si="0"/>
        <v>32197678.104446284</v>
      </c>
      <c r="H23" s="90" t="s">
        <v>133</v>
      </c>
      <c r="I23" s="90">
        <v>25</v>
      </c>
      <c r="J23" s="93">
        <f t="shared" ref="J23:J24" si="18">E23*5%</f>
        <v>1609883.9052223144</v>
      </c>
      <c r="K23" s="93">
        <f>$K$3-D23+1</f>
        <v>2117</v>
      </c>
      <c r="L23" s="93">
        <f t="shared" si="1"/>
        <v>5.8</v>
      </c>
      <c r="M23" s="93">
        <f>I23-L23</f>
        <v>19.2</v>
      </c>
      <c r="N23" s="90" t="str">
        <f t="shared" si="11"/>
        <v>YES</v>
      </c>
      <c r="O23" s="94">
        <f t="shared" ref="O23:O24" si="19">G23-J23</f>
        <v>30587794.199223969</v>
      </c>
      <c r="P23" s="92">
        <f>O23/I23*L23</f>
        <v>7096368.2542199604</v>
      </c>
      <c r="Q23" s="95">
        <f>G23-P23</f>
        <v>25101309.850226324</v>
      </c>
    </row>
    <row r="24" spans="2:17">
      <c r="B24" s="67"/>
      <c r="D24" s="89">
        <v>42415</v>
      </c>
      <c r="E24" s="92">
        <v>807646.32</v>
      </c>
      <c r="F24" s="92">
        <v>0</v>
      </c>
      <c r="G24" s="92">
        <f t="shared" si="0"/>
        <v>807646.32</v>
      </c>
      <c r="H24" s="90" t="s">
        <v>133</v>
      </c>
      <c r="I24" s="90">
        <v>25</v>
      </c>
      <c r="J24" s="93">
        <f t="shared" si="18"/>
        <v>40382.315999999999</v>
      </c>
      <c r="K24" s="93">
        <f>$K$3-D24+1</f>
        <v>2055</v>
      </c>
      <c r="L24" s="93">
        <f t="shared" si="1"/>
        <v>5.6301369863013697</v>
      </c>
      <c r="M24" s="93">
        <f>I24-L24</f>
        <v>19.36986301369863</v>
      </c>
      <c r="N24" s="90" t="str">
        <f t="shared" si="11"/>
        <v>YES</v>
      </c>
      <c r="O24" s="94">
        <f t="shared" si="19"/>
        <v>767264.00399999996</v>
      </c>
      <c r="P24" s="92">
        <f>O24/I24*L24</f>
        <v>172792.05788712326</v>
      </c>
      <c r="Q24" s="95">
        <f>G24-P24</f>
        <v>634854.26211287663</v>
      </c>
    </row>
    <row r="25" spans="2:17">
      <c r="B25" s="67"/>
      <c r="D25" s="89">
        <v>43054</v>
      </c>
      <c r="E25" s="92">
        <v>127239.51</v>
      </c>
      <c r="F25" s="92">
        <v>0</v>
      </c>
      <c r="G25" s="92">
        <f t="shared" ref="G25" si="20">E25+F25</f>
        <v>127239.51</v>
      </c>
      <c r="H25" s="90" t="s">
        <v>133</v>
      </c>
      <c r="I25" s="90">
        <v>25</v>
      </c>
      <c r="J25" s="93">
        <f t="shared" ref="J25" si="21">E25*5%</f>
        <v>6361.9755000000005</v>
      </c>
      <c r="K25" s="93">
        <f>$K$3-D25+1</f>
        <v>1416</v>
      </c>
      <c r="L25" s="93">
        <f t="shared" ref="L25" si="22">K25/365</f>
        <v>3.8794520547945206</v>
      </c>
      <c r="M25" s="93">
        <f>I25-L25</f>
        <v>21.12054794520548</v>
      </c>
      <c r="N25" s="90" t="str">
        <f t="shared" ref="N25" si="23">IF(M25&lt;0,"NO","YES")</f>
        <v>YES</v>
      </c>
      <c r="O25" s="94">
        <f t="shared" ref="O25" si="24">G25-J25</f>
        <v>120877.53449999999</v>
      </c>
      <c r="P25" s="92">
        <f>O25/I25*L25</f>
        <v>18757.543983780823</v>
      </c>
      <c r="Q25" s="95">
        <f>G25-P25</f>
        <v>108481.96601621917</v>
      </c>
    </row>
    <row r="26" spans="2:17">
      <c r="B26" s="67"/>
      <c r="D26" s="89"/>
      <c r="E26" s="92"/>
      <c r="F26" s="92"/>
      <c r="G26" s="92"/>
      <c r="O26" s="94"/>
      <c r="P26" s="92"/>
    </row>
    <row r="27" spans="2:17">
      <c r="B27" s="67" t="s">
        <v>139</v>
      </c>
      <c r="C27" s="90" t="s">
        <v>14</v>
      </c>
      <c r="D27" s="89">
        <v>42353</v>
      </c>
      <c r="E27" s="92">
        <v>97817663.103582382</v>
      </c>
      <c r="F27" s="92">
        <v>0</v>
      </c>
      <c r="G27" s="92">
        <f t="shared" si="0"/>
        <v>97817663.103582382</v>
      </c>
      <c r="H27" s="90" t="s">
        <v>133</v>
      </c>
      <c r="I27" s="90">
        <v>25</v>
      </c>
      <c r="J27" s="93">
        <f t="shared" ref="J27:J28" si="25">E27*5%</f>
        <v>4890883.1551791197</v>
      </c>
      <c r="K27" s="93">
        <f>$K$3-D27+1</f>
        <v>2117</v>
      </c>
      <c r="L27" s="93">
        <f t="shared" si="1"/>
        <v>5.8</v>
      </c>
      <c r="M27" s="93">
        <f>I27-L27</f>
        <v>19.2</v>
      </c>
      <c r="N27" s="90" t="str">
        <f>IF(M27&lt;=0,"NO","YES")</f>
        <v>YES</v>
      </c>
      <c r="O27" s="94">
        <f t="shared" ref="O27:O28" si="26">G27-J27</f>
        <v>92926779.948403269</v>
      </c>
      <c r="P27" s="92">
        <f>O27/I27*L27</f>
        <v>21559012.948029559</v>
      </c>
      <c r="Q27" s="95">
        <f>G27-P27</f>
        <v>76258650.155552819</v>
      </c>
    </row>
    <row r="28" spans="2:17">
      <c r="B28" s="67"/>
      <c r="D28" s="89">
        <v>42444</v>
      </c>
      <c r="E28" s="92">
        <v>4105721.58</v>
      </c>
      <c r="F28" s="92">
        <v>0</v>
      </c>
      <c r="G28" s="92">
        <f t="shared" si="0"/>
        <v>4105721.58</v>
      </c>
      <c r="H28" s="90" t="s">
        <v>133</v>
      </c>
      <c r="I28" s="90">
        <v>25</v>
      </c>
      <c r="J28" s="93">
        <f t="shared" si="25"/>
        <v>205286.07900000003</v>
      </c>
      <c r="K28" s="93">
        <f>$K$3-D28+1</f>
        <v>2026</v>
      </c>
      <c r="L28" s="93">
        <f t="shared" si="1"/>
        <v>5.5506849315068489</v>
      </c>
      <c r="M28" s="93">
        <f>I28-L28</f>
        <v>19.449315068493149</v>
      </c>
      <c r="N28" s="90" t="str">
        <f>IF(M28&lt;=0,"NO","YES")</f>
        <v>YES</v>
      </c>
      <c r="O28" s="94">
        <f t="shared" si="26"/>
        <v>3900435.5010000002</v>
      </c>
      <c r="P28" s="92">
        <f>O28/I28*L28</f>
        <v>866003.54246860265</v>
      </c>
      <c r="Q28" s="95">
        <f>G28-P28</f>
        <v>3239718.0375313973</v>
      </c>
    </row>
    <row r="29" spans="2:17">
      <c r="B29" s="67"/>
      <c r="D29" s="89">
        <v>43054</v>
      </c>
      <c r="E29" s="92">
        <v>611441.54</v>
      </c>
      <c r="F29" s="92">
        <v>0</v>
      </c>
      <c r="G29" s="92">
        <f t="shared" ref="G29" si="27">E29+F29</f>
        <v>611441.54</v>
      </c>
      <c r="H29" s="90" t="s">
        <v>133</v>
      </c>
      <c r="I29" s="90">
        <v>25</v>
      </c>
      <c r="J29" s="93">
        <f t="shared" ref="J29" si="28">E29*5%</f>
        <v>30572.077000000005</v>
      </c>
      <c r="K29" s="93">
        <f>$K$3-D29+1</f>
        <v>1416</v>
      </c>
      <c r="L29" s="93">
        <f t="shared" ref="L29" si="29">K29/365</f>
        <v>3.8794520547945206</v>
      </c>
      <c r="M29" s="93">
        <f>I29-L29</f>
        <v>21.12054794520548</v>
      </c>
      <c r="N29" s="90" t="str">
        <f>IF(M29&lt;=0,"NO","YES")</f>
        <v>YES</v>
      </c>
      <c r="O29" s="94">
        <f t="shared" ref="O29" si="30">G29-J29</f>
        <v>580869.46299999999</v>
      </c>
      <c r="P29" s="92">
        <f>O29/I29*L29</f>
        <v>90138.209272109583</v>
      </c>
      <c r="Q29" s="95">
        <f>G29-P29</f>
        <v>521303.33072789048</v>
      </c>
    </row>
    <row r="30" spans="2:17">
      <c r="B30" s="67"/>
      <c r="D30" s="89"/>
      <c r="E30" s="92"/>
      <c r="F30" s="92"/>
      <c r="G30" s="92"/>
      <c r="O30" s="94"/>
      <c r="P30" s="92"/>
    </row>
    <row r="31" spans="2:17">
      <c r="B31" s="67" t="s">
        <v>140</v>
      </c>
      <c r="C31" s="90" t="s">
        <v>14</v>
      </c>
      <c r="D31" s="89">
        <v>42353</v>
      </c>
      <c r="E31" s="92">
        <v>27950878.745239761</v>
      </c>
      <c r="F31" s="92">
        <v>0</v>
      </c>
      <c r="G31" s="92">
        <f t="shared" si="0"/>
        <v>27950878.745239761</v>
      </c>
      <c r="H31" s="90" t="s">
        <v>133</v>
      </c>
      <c r="I31" s="90">
        <v>25</v>
      </c>
      <c r="J31" s="93">
        <f t="shared" ref="J31:J32" si="31">E31*5%</f>
        <v>1397543.9372619882</v>
      </c>
      <c r="K31" s="93">
        <f>$K$3-D31+1</f>
        <v>2117</v>
      </c>
      <c r="L31" s="93">
        <f t="shared" si="1"/>
        <v>5.8</v>
      </c>
      <c r="M31" s="93">
        <f>I31-L31</f>
        <v>19.2</v>
      </c>
      <c r="N31" s="90" t="str">
        <f>IF(M31&lt;=0,"NO","YES")</f>
        <v>YES</v>
      </c>
      <c r="O31" s="94">
        <f t="shared" ref="O31:O32" si="32">G31-J31</f>
        <v>26553334.807977773</v>
      </c>
      <c r="P31" s="92">
        <f>O31/I31*L31</f>
        <v>6160373.6754508428</v>
      </c>
      <c r="Q31" s="95">
        <f>G31-P31</f>
        <v>21790505.069788918</v>
      </c>
    </row>
    <row r="32" spans="2:17">
      <c r="B32" s="67"/>
      <c r="D32" s="89">
        <v>42444</v>
      </c>
      <c r="E32" s="92">
        <v>840573.03</v>
      </c>
      <c r="F32" s="92">
        <v>0</v>
      </c>
      <c r="G32" s="92">
        <f t="shared" si="0"/>
        <v>840573.03</v>
      </c>
      <c r="H32" s="90" t="s">
        <v>133</v>
      </c>
      <c r="I32" s="90">
        <v>25</v>
      </c>
      <c r="J32" s="93">
        <f t="shared" si="31"/>
        <v>42028.651500000007</v>
      </c>
      <c r="K32" s="93">
        <f>$K$3-D32+1</f>
        <v>2026</v>
      </c>
      <c r="L32" s="93">
        <f t="shared" si="1"/>
        <v>5.5506849315068489</v>
      </c>
      <c r="M32" s="93">
        <f>I32-L32</f>
        <v>19.449315068493149</v>
      </c>
      <c r="N32" s="90" t="str">
        <f>IF(M32&lt;=0,"NO","YES")</f>
        <v>YES</v>
      </c>
      <c r="O32" s="94">
        <f t="shared" si="32"/>
        <v>798544.37849999999</v>
      </c>
      <c r="P32" s="92">
        <f>O32/I32*L32</f>
        <v>177298.72995517805</v>
      </c>
      <c r="Q32" s="95">
        <f>G32-P32</f>
        <v>663274.30004482204</v>
      </c>
    </row>
    <row r="33" spans="2:17">
      <c r="B33" s="67"/>
      <c r="D33" s="89">
        <v>43054</v>
      </c>
      <c r="E33" s="92">
        <v>546279.56000000006</v>
      </c>
      <c r="F33" s="92">
        <v>0</v>
      </c>
      <c r="G33" s="92">
        <f t="shared" ref="G33" si="33">E33+F33</f>
        <v>546279.56000000006</v>
      </c>
      <c r="H33" s="90" t="s">
        <v>133</v>
      </c>
      <c r="I33" s="90">
        <v>25</v>
      </c>
      <c r="J33" s="93">
        <f t="shared" ref="J33" si="34">E33*5%</f>
        <v>27313.978000000003</v>
      </c>
      <c r="K33" s="93">
        <f>$K$3-D33+1</f>
        <v>1416</v>
      </c>
      <c r="L33" s="93">
        <f t="shared" ref="L33" si="35">K33/365</f>
        <v>3.8794520547945206</v>
      </c>
      <c r="M33" s="93">
        <f>I33-L33</f>
        <v>21.12054794520548</v>
      </c>
      <c r="N33" s="90" t="str">
        <f>IF(M33&lt;=0,"NO","YES")</f>
        <v>YES</v>
      </c>
      <c r="O33" s="94">
        <f t="shared" ref="O33" si="36">G33-J33</f>
        <v>518965.58200000005</v>
      </c>
      <c r="P33" s="92">
        <f>O33/I33*L33</f>
        <v>80532.083738301386</v>
      </c>
      <c r="Q33" s="95">
        <f>G33-P33</f>
        <v>465747.47626169864</v>
      </c>
    </row>
    <row r="34" spans="2:17">
      <c r="B34" s="67"/>
      <c r="D34" s="89"/>
      <c r="E34" s="92"/>
      <c r="F34" s="92"/>
      <c r="G34" s="92"/>
      <c r="O34" s="94"/>
      <c r="P34" s="92"/>
    </row>
    <row r="35" spans="2:17">
      <c r="B35" s="67" t="s">
        <v>141</v>
      </c>
      <c r="C35" s="90" t="s">
        <v>14</v>
      </c>
      <c r="D35" s="89">
        <v>42353</v>
      </c>
      <c r="E35" s="92">
        <v>4427534.9721623817</v>
      </c>
      <c r="F35" s="92">
        <v>0</v>
      </c>
      <c r="G35" s="92">
        <f t="shared" si="0"/>
        <v>4427534.9721623817</v>
      </c>
      <c r="H35" s="90" t="s">
        <v>133</v>
      </c>
      <c r="I35" s="90">
        <v>25</v>
      </c>
      <c r="J35" s="93">
        <f t="shared" ref="J35:J36" si="37">E35*5%</f>
        <v>221376.74860811909</v>
      </c>
      <c r="K35" s="93">
        <f>$K$3-D35+1</f>
        <v>2117</v>
      </c>
      <c r="L35" s="93">
        <f t="shared" si="1"/>
        <v>5.8</v>
      </c>
      <c r="M35" s="93">
        <f>I35-L35</f>
        <v>19.2</v>
      </c>
      <c r="N35" s="90" t="str">
        <f>IF(M35&lt;=0,"NO","YES")</f>
        <v>YES</v>
      </c>
      <c r="O35" s="94">
        <f t="shared" ref="O35:O36" si="38">G35-J35</f>
        <v>4206158.2235542629</v>
      </c>
      <c r="P35" s="92">
        <f>O35/I35*L35</f>
        <v>975828.70786458894</v>
      </c>
      <c r="Q35" s="95">
        <f>G35-P35</f>
        <v>3451706.2642977927</v>
      </c>
    </row>
    <row r="36" spans="2:17">
      <c r="B36" s="67"/>
      <c r="D36" s="89">
        <v>42415</v>
      </c>
      <c r="E36" s="92">
        <v>174908.28</v>
      </c>
      <c r="F36" s="92">
        <v>0</v>
      </c>
      <c r="G36" s="92">
        <f t="shared" si="0"/>
        <v>174908.28</v>
      </c>
      <c r="H36" s="90" t="s">
        <v>133</v>
      </c>
      <c r="I36" s="90">
        <v>25</v>
      </c>
      <c r="J36" s="93">
        <f t="shared" si="37"/>
        <v>8745.4140000000007</v>
      </c>
      <c r="K36" s="93">
        <f>$K$3-D36+1</f>
        <v>2055</v>
      </c>
      <c r="L36" s="93">
        <f t="shared" si="1"/>
        <v>5.6301369863013697</v>
      </c>
      <c r="M36" s="93">
        <f>I36-L36</f>
        <v>19.36986301369863</v>
      </c>
      <c r="N36" s="90" t="str">
        <f>IF(M36&lt;=0,"NO","YES")</f>
        <v>YES</v>
      </c>
      <c r="O36" s="94">
        <f t="shared" si="38"/>
        <v>166162.86600000001</v>
      </c>
      <c r="P36" s="92">
        <f>O36/I36*L36</f>
        <v>37420.787904657533</v>
      </c>
      <c r="Q36" s="95">
        <f>G36-P36</f>
        <v>137487.49209534246</v>
      </c>
    </row>
    <row r="37" spans="2:17">
      <c r="B37" s="67"/>
      <c r="D37" s="89"/>
      <c r="E37" s="89"/>
      <c r="F37" s="92"/>
      <c r="G37" s="92"/>
    </row>
    <row r="38" spans="2:17" s="96" customFormat="1">
      <c r="E38" s="98">
        <f>SUM(E7:E36)</f>
        <v>346187770.77914131</v>
      </c>
      <c r="F38" s="98">
        <f>SUM(F7:F36)</f>
        <v>0</v>
      </c>
      <c r="G38" s="98">
        <f>SUM(G7:G36)</f>
        <v>346187770.77914131</v>
      </c>
      <c r="J38" s="98">
        <f>SUM(J7:J36)</f>
        <v>17309388.538957071</v>
      </c>
      <c r="K38" s="98"/>
      <c r="O38" s="98">
        <f>SUM(O7:O36)</f>
        <v>328878382.24018425</v>
      </c>
      <c r="P38" s="98">
        <f>SUM(P7:P36)</f>
        <v>75417779.712457821</v>
      </c>
      <c r="Q38" s="98">
        <f>SUM(Q7:Q36)</f>
        <v>270769991.06668359</v>
      </c>
    </row>
    <row r="39" spans="2:17">
      <c r="J39" s="100"/>
      <c r="K39" s="100"/>
    </row>
    <row r="42" spans="2:17">
      <c r="C42" s="104">
        <v>42353</v>
      </c>
      <c r="D42" s="105">
        <f>+SUMIF($D$7:$D$36,"15/12/2015",$E$7:$E$36)</f>
        <v>323790209.70914131</v>
      </c>
    </row>
    <row r="43" spans="2:17">
      <c r="C43" s="104">
        <v>42415</v>
      </c>
      <c r="D43" s="105">
        <f>+SUMIF($D$7:$D$36,"15/02/2016",$E$7:$E$36)</f>
        <v>982554.6</v>
      </c>
    </row>
    <row r="44" spans="2:17">
      <c r="C44" s="104">
        <v>42444</v>
      </c>
      <c r="D44" s="105">
        <f>+SUMIF($D$7:$D$36,"15/03/2016",$E$7:$E$36)</f>
        <v>11308827.439999999</v>
      </c>
      <c r="P44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5"/>
  <sheetViews>
    <sheetView showGridLines="0" workbookViewId="0">
      <selection activeCell="K3" sqref="K3"/>
    </sheetView>
  </sheetViews>
  <sheetFormatPr defaultRowHeight="15"/>
  <cols>
    <col min="1" max="1" width="9.140625" style="69"/>
    <col min="2" max="2" width="12.85546875" style="69" bestFit="1" customWidth="1"/>
    <col min="3" max="3" width="7.85546875" style="69" bestFit="1" customWidth="1"/>
    <col min="4" max="4" width="18.42578125" style="69" bestFit="1" customWidth="1"/>
    <col min="5" max="5" width="12.28515625" style="69" bestFit="1" customWidth="1"/>
    <col min="6" max="6" width="21" style="69" bestFit="1" customWidth="1"/>
    <col min="7" max="7" width="13.85546875" style="69" bestFit="1" customWidth="1"/>
    <col min="8" max="8" width="11.5703125" style="69" bestFit="1" customWidth="1"/>
    <col min="9" max="9" width="8.140625" style="69" bestFit="1" customWidth="1"/>
    <col min="10" max="10" width="23.42578125" style="69" bestFit="1" customWidth="1"/>
    <col min="11" max="11" width="14.85546875" style="69" bestFit="1" customWidth="1"/>
    <col min="12" max="12" width="16" style="69" bestFit="1" customWidth="1"/>
    <col min="13" max="13" width="14.85546875" style="69" bestFit="1" customWidth="1"/>
    <col min="14" max="14" width="9" style="69" bestFit="1" customWidth="1"/>
    <col min="15" max="15" width="18.140625" style="69" bestFit="1" customWidth="1"/>
    <col min="16" max="16" width="26.28515625" style="69" bestFit="1" customWidth="1"/>
    <col min="17" max="16384" width="9.140625" style="69"/>
  </cols>
  <sheetData>
    <row r="1" spans="2:17" s="77" customFormat="1"/>
    <row r="2" spans="2:17">
      <c r="B2" s="86" t="str">
        <f>+Lead!A11</f>
        <v>Vehicles</v>
      </c>
    </row>
    <row r="3" spans="2:17">
      <c r="K3" s="83">
        <v>44286</v>
      </c>
    </row>
    <row r="4" spans="2:17">
      <c r="B4" s="79" t="s">
        <v>15</v>
      </c>
      <c r="C4" s="79" t="s">
        <v>16</v>
      </c>
      <c r="D4" s="80" t="s">
        <v>17</v>
      </c>
      <c r="E4" s="80" t="s">
        <v>145</v>
      </c>
      <c r="F4" s="81" t="s">
        <v>13</v>
      </c>
      <c r="G4" s="81" t="s">
        <v>149</v>
      </c>
      <c r="H4" s="79" t="s">
        <v>19</v>
      </c>
      <c r="I4" s="81" t="s">
        <v>20</v>
      </c>
      <c r="J4" s="79" t="s">
        <v>21</v>
      </c>
      <c r="K4" s="79" t="s">
        <v>146</v>
      </c>
      <c r="L4" s="79" t="s">
        <v>147</v>
      </c>
      <c r="M4" s="82" t="s">
        <v>65</v>
      </c>
      <c r="N4" s="79" t="s">
        <v>148</v>
      </c>
      <c r="O4" s="79" t="s">
        <v>67</v>
      </c>
      <c r="P4" s="79" t="s">
        <v>66</v>
      </c>
      <c r="Q4" s="79" t="s">
        <v>150</v>
      </c>
    </row>
    <row r="5" spans="2:17">
      <c r="B5" s="68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22"/>
  <sheetViews>
    <sheetView showGridLines="0" topLeftCell="K1" workbookViewId="0">
      <selection activeCell="Q7" sqref="Q7:Q13"/>
    </sheetView>
  </sheetViews>
  <sheetFormatPr defaultRowHeight="15"/>
  <cols>
    <col min="1" max="1" width="3" style="88" customWidth="1"/>
    <col min="2" max="2" width="27.85546875" style="88" bestFit="1" customWidth="1"/>
    <col min="3" max="3" width="16.85546875" style="88" bestFit="1" customWidth="1"/>
    <col min="4" max="4" width="18.42578125" style="88" bestFit="1" customWidth="1"/>
    <col min="5" max="5" width="12.28515625" style="88" bestFit="1" customWidth="1"/>
    <col min="6" max="6" width="9.5703125" style="88" bestFit="1" customWidth="1"/>
    <col min="7" max="7" width="13.85546875" style="88" bestFit="1" customWidth="1"/>
    <col min="8" max="8" width="15" style="88" bestFit="1" customWidth="1"/>
    <col min="9" max="9" width="8.140625" style="88" bestFit="1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6384" width="9.140625" style="88"/>
  </cols>
  <sheetData>
    <row r="1" spans="2:17" s="102" customFormat="1"/>
    <row r="2" spans="2:17">
      <c r="B2" s="101" t="str">
        <f>+Lead!A12</f>
        <v>Office Equipments</v>
      </c>
    </row>
    <row r="3" spans="2:17">
      <c r="K3" s="89">
        <v>44469</v>
      </c>
    </row>
    <row r="4" spans="2:17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67" t="s">
        <v>185</v>
      </c>
      <c r="C7" s="88" t="s">
        <v>8</v>
      </c>
      <c r="D7" s="89">
        <v>42353</v>
      </c>
      <c r="E7" s="106">
        <v>786995.98475384328</v>
      </c>
      <c r="F7" s="106">
        <v>0</v>
      </c>
      <c r="G7" s="92">
        <f t="shared" ref="G7:G13" si="0">E7+F7</f>
        <v>786995.98475384328</v>
      </c>
      <c r="H7" s="88" t="s">
        <v>186</v>
      </c>
      <c r="I7" s="88">
        <v>5</v>
      </c>
      <c r="J7" s="93">
        <f>E7*5%</f>
        <v>39349.799237692168</v>
      </c>
      <c r="K7" s="93">
        <v>1825</v>
      </c>
      <c r="L7" s="93">
        <f>K7/365</f>
        <v>5</v>
      </c>
      <c r="M7" s="93">
        <f>I7-L7</f>
        <v>0</v>
      </c>
      <c r="N7" s="90" t="str">
        <f>IF(M7&lt;=0,"NO","YES")</f>
        <v>NO</v>
      </c>
      <c r="O7" s="94">
        <f>G7-J7</f>
        <v>747646.18551615113</v>
      </c>
      <c r="P7" s="92">
        <f>O7/I7*L7</f>
        <v>747646.18551615113</v>
      </c>
      <c r="Q7" s="95">
        <f>G7-P7</f>
        <v>39349.799237692147</v>
      </c>
    </row>
    <row r="8" spans="2:17">
      <c r="B8" s="67" t="s">
        <v>194</v>
      </c>
      <c r="C8" s="88" t="s">
        <v>8</v>
      </c>
      <c r="D8" s="89">
        <v>42600</v>
      </c>
      <c r="E8" s="106">
        <v>15669.86</v>
      </c>
      <c r="F8" s="106">
        <v>0</v>
      </c>
      <c r="G8" s="92">
        <f t="shared" si="0"/>
        <v>15669.86</v>
      </c>
      <c r="H8" s="88" t="s">
        <v>186</v>
      </c>
      <c r="I8" s="88">
        <v>5</v>
      </c>
      <c r="J8" s="93">
        <f t="shared" ref="J8:J10" si="1">E8*5%</f>
        <v>783.49300000000005</v>
      </c>
      <c r="K8" s="93">
        <v>1825</v>
      </c>
      <c r="L8" s="93">
        <f t="shared" ref="L8:L11" si="2">K8/365</f>
        <v>5</v>
      </c>
      <c r="M8" s="93">
        <f t="shared" ref="M8:M11" si="3">I8-L8</f>
        <v>0</v>
      </c>
      <c r="N8" s="90" t="str">
        <f t="shared" ref="N8:N11" si="4">IF(M8&lt;=0,"NO","YES")</f>
        <v>NO</v>
      </c>
      <c r="O8" s="94">
        <f t="shared" ref="O8:O11" si="5">G8-J8</f>
        <v>14886.367</v>
      </c>
      <c r="P8" s="92">
        <f t="shared" ref="P8:P11" si="6">O8/I8*L8</f>
        <v>14886.367</v>
      </c>
      <c r="Q8" s="95">
        <f t="shared" ref="Q8:Q11" si="7">G8-P8</f>
        <v>783.49300000000039</v>
      </c>
    </row>
    <row r="9" spans="2:17">
      <c r="B9" s="67" t="s">
        <v>195</v>
      </c>
      <c r="C9" s="88" t="s">
        <v>8</v>
      </c>
      <c r="D9" s="89">
        <v>42600</v>
      </c>
      <c r="E9" s="106">
        <v>54175.17</v>
      </c>
      <c r="F9" s="106">
        <v>0</v>
      </c>
      <c r="G9" s="92">
        <f t="shared" si="0"/>
        <v>54175.17</v>
      </c>
      <c r="H9" s="88" t="s">
        <v>186</v>
      </c>
      <c r="I9" s="88">
        <v>5</v>
      </c>
      <c r="J9" s="93">
        <f t="shared" si="1"/>
        <v>2708.7584999999999</v>
      </c>
      <c r="K9" s="93">
        <v>1825</v>
      </c>
      <c r="L9" s="93">
        <f t="shared" si="2"/>
        <v>5</v>
      </c>
      <c r="M9" s="93">
        <f t="shared" si="3"/>
        <v>0</v>
      </c>
      <c r="N9" s="90" t="str">
        <f t="shared" si="4"/>
        <v>NO</v>
      </c>
      <c r="O9" s="94">
        <f t="shared" si="5"/>
        <v>51466.411500000002</v>
      </c>
      <c r="P9" s="92">
        <f t="shared" si="6"/>
        <v>51466.411500000002</v>
      </c>
      <c r="Q9" s="95">
        <f t="shared" si="7"/>
        <v>2708.7584999999963</v>
      </c>
    </row>
    <row r="10" spans="2:17">
      <c r="B10" s="67" t="s">
        <v>196</v>
      </c>
      <c r="C10" s="88" t="s">
        <v>8</v>
      </c>
      <c r="D10" s="89">
        <v>42600</v>
      </c>
      <c r="E10" s="106">
        <v>5699.97</v>
      </c>
      <c r="F10" s="106">
        <v>0</v>
      </c>
      <c r="G10" s="92">
        <f t="shared" si="0"/>
        <v>5699.97</v>
      </c>
      <c r="H10" s="88" t="s">
        <v>186</v>
      </c>
      <c r="I10" s="88">
        <v>5</v>
      </c>
      <c r="J10" s="93">
        <f t="shared" si="1"/>
        <v>284.99850000000004</v>
      </c>
      <c r="K10" s="93">
        <v>1825</v>
      </c>
      <c r="L10" s="93">
        <f t="shared" si="2"/>
        <v>5</v>
      </c>
      <c r="M10" s="93">
        <f t="shared" si="3"/>
        <v>0</v>
      </c>
      <c r="N10" s="90" t="str">
        <f t="shared" si="4"/>
        <v>NO</v>
      </c>
      <c r="O10" s="94">
        <f t="shared" si="5"/>
        <v>5414.9715000000006</v>
      </c>
      <c r="P10" s="92">
        <f t="shared" si="6"/>
        <v>5414.9715000000006</v>
      </c>
      <c r="Q10" s="95">
        <f t="shared" si="7"/>
        <v>284.99849999999969</v>
      </c>
    </row>
    <row r="11" spans="2:17">
      <c r="B11" s="67" t="s">
        <v>197</v>
      </c>
      <c r="C11" s="88" t="s">
        <v>8</v>
      </c>
      <c r="D11" s="89">
        <v>42600</v>
      </c>
      <c r="E11" s="106">
        <v>11700</v>
      </c>
      <c r="F11" s="106">
        <v>0</v>
      </c>
      <c r="G11" s="92">
        <f t="shared" si="0"/>
        <v>11700</v>
      </c>
      <c r="H11" s="88" t="s">
        <v>186</v>
      </c>
      <c r="I11" s="88">
        <v>5</v>
      </c>
      <c r="J11" s="93">
        <f>E11*5%</f>
        <v>585</v>
      </c>
      <c r="K11" s="93">
        <v>1825</v>
      </c>
      <c r="L11" s="93">
        <f t="shared" si="2"/>
        <v>5</v>
      </c>
      <c r="M11" s="93">
        <f t="shared" si="3"/>
        <v>0</v>
      </c>
      <c r="N11" s="90" t="str">
        <f t="shared" si="4"/>
        <v>NO</v>
      </c>
      <c r="O11" s="94">
        <f t="shared" si="5"/>
        <v>11115</v>
      </c>
      <c r="P11" s="92">
        <f t="shared" si="6"/>
        <v>11115</v>
      </c>
      <c r="Q11" s="95">
        <f t="shared" si="7"/>
        <v>585</v>
      </c>
    </row>
    <row r="12" spans="2:17">
      <c r="B12" s="67" t="s">
        <v>281</v>
      </c>
      <c r="C12" s="88" t="s">
        <v>8</v>
      </c>
      <c r="D12" s="89">
        <v>42931</v>
      </c>
      <c r="E12" s="106">
        <v>34000</v>
      </c>
      <c r="F12" s="106">
        <v>0</v>
      </c>
      <c r="G12" s="92">
        <f t="shared" si="0"/>
        <v>34000</v>
      </c>
      <c r="H12" s="67" t="s">
        <v>281</v>
      </c>
      <c r="I12" s="88">
        <v>5</v>
      </c>
      <c r="J12" s="93">
        <f>E12*5%</f>
        <v>1700</v>
      </c>
      <c r="K12" s="93">
        <f t="shared" ref="K12:K13" si="8">$K$3-D12+1</f>
        <v>1539</v>
      </c>
      <c r="L12" s="93">
        <f t="shared" ref="L12:L13" si="9">K12/365</f>
        <v>4.2164383561643834</v>
      </c>
      <c r="M12" s="93">
        <f t="shared" ref="M12:M13" si="10">I12-L12</f>
        <v>0.78356164383561655</v>
      </c>
      <c r="N12" s="90" t="str">
        <f t="shared" ref="N12:N13" si="11">IF(M12&lt;=0,"NO","YES")</f>
        <v>YES</v>
      </c>
      <c r="O12" s="94">
        <f t="shared" ref="O12:O13" si="12">G12-J12</f>
        <v>32300</v>
      </c>
      <c r="P12" s="92">
        <f t="shared" ref="P12:P13" si="13">O12/I12*L12</f>
        <v>27238.191780821919</v>
      </c>
      <c r="Q12" s="95">
        <f t="shared" ref="Q12:Q13" si="14">G12-P12</f>
        <v>6761.8082191780813</v>
      </c>
    </row>
    <row r="13" spans="2:17">
      <c r="B13" s="67" t="s">
        <v>282</v>
      </c>
      <c r="C13" s="88" t="s">
        <v>8</v>
      </c>
      <c r="D13" s="89">
        <v>42931</v>
      </c>
      <c r="E13" s="106">
        <v>48700</v>
      </c>
      <c r="F13" s="106">
        <v>0</v>
      </c>
      <c r="G13" s="92">
        <f t="shared" si="0"/>
        <v>48700</v>
      </c>
      <c r="H13" s="67" t="s">
        <v>282</v>
      </c>
      <c r="I13" s="88">
        <v>5</v>
      </c>
      <c r="J13" s="93">
        <f>E13*5%</f>
        <v>2435</v>
      </c>
      <c r="K13" s="93">
        <f t="shared" si="8"/>
        <v>1539</v>
      </c>
      <c r="L13" s="93">
        <f t="shared" si="9"/>
        <v>4.2164383561643834</v>
      </c>
      <c r="M13" s="93">
        <f t="shared" si="10"/>
        <v>0.78356164383561655</v>
      </c>
      <c r="N13" s="90" t="str">
        <f t="shared" si="11"/>
        <v>YES</v>
      </c>
      <c r="O13" s="94">
        <f t="shared" si="12"/>
        <v>46265</v>
      </c>
      <c r="P13" s="92">
        <f t="shared" si="13"/>
        <v>39014.704109589038</v>
      </c>
      <c r="Q13" s="95">
        <f t="shared" si="14"/>
        <v>9685.2958904109619</v>
      </c>
    </row>
    <row r="14" spans="2:17">
      <c r="B14" s="67"/>
      <c r="D14" s="89"/>
      <c r="E14" s="106"/>
      <c r="F14" s="106"/>
      <c r="G14" s="92"/>
      <c r="J14" s="93"/>
      <c r="K14" s="93"/>
      <c r="L14" s="93"/>
      <c r="M14" s="93"/>
      <c r="N14" s="90"/>
      <c r="O14" s="94"/>
      <c r="P14" s="92"/>
      <c r="Q14" s="95"/>
    </row>
    <row r="18" spans="5:18">
      <c r="E18" s="98">
        <f>SUM(E7:E17)</f>
        <v>956940.98475384328</v>
      </c>
      <c r="F18" s="99">
        <f>SUM(F7:F17)</f>
        <v>0</v>
      </c>
      <c r="G18" s="98">
        <f>SUM(G7:G17)</f>
        <v>956940.98475384328</v>
      </c>
      <c r="H18" s="96"/>
      <c r="I18" s="96"/>
      <c r="J18" s="98">
        <f>SUM(J7:J17)</f>
        <v>47847.049237692176</v>
      </c>
      <c r="K18" s="98"/>
      <c r="L18" s="96"/>
      <c r="M18" s="96"/>
      <c r="N18" s="96"/>
      <c r="O18" s="98">
        <f>SUM(O7:O17)</f>
        <v>909093.93551615113</v>
      </c>
      <c r="P18" s="98">
        <f>SUM(P7:P17)</f>
        <v>896781.83140656201</v>
      </c>
      <c r="Q18" s="98">
        <f>SUM(Q7:Q17)</f>
        <v>60159.153347281193</v>
      </c>
    </row>
    <row r="20" spans="5:18">
      <c r="P20" s="137"/>
      <c r="R20" s="137"/>
    </row>
    <row r="21" spans="5:18">
      <c r="E21" s="98"/>
      <c r="F21" s="99"/>
      <c r="G21" s="98"/>
      <c r="H21" s="96"/>
      <c r="I21" s="96"/>
      <c r="J21" s="98"/>
      <c r="K21" s="98"/>
      <c r="L21" s="96"/>
      <c r="M21" s="96"/>
      <c r="N21" s="96"/>
      <c r="O21" s="98"/>
      <c r="P21" s="98"/>
      <c r="Q21" s="98"/>
    </row>
    <row r="22" spans="5:18">
      <c r="J22" s="137"/>
      <c r="O22" s="137"/>
      <c r="P22" s="13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3"/>
  <sheetViews>
    <sheetView showGridLines="0" workbookViewId="0">
      <selection activeCell="Q7" sqref="Q7:Q15"/>
    </sheetView>
  </sheetViews>
  <sheetFormatPr defaultRowHeight="15"/>
  <cols>
    <col min="1" max="1" width="3" style="88" customWidth="1"/>
    <col min="2" max="2" width="39" style="88" bestFit="1" customWidth="1"/>
    <col min="3" max="3" width="7.85546875" style="88" bestFit="1" customWidth="1"/>
    <col min="4" max="4" width="18.42578125" style="88" bestFit="1" customWidth="1"/>
    <col min="5" max="5" width="12.28515625" style="88" bestFit="1" customWidth="1"/>
    <col min="6" max="6" width="12.42578125" style="88" bestFit="1" customWidth="1"/>
    <col min="7" max="7" width="13.85546875" style="88" bestFit="1" customWidth="1"/>
    <col min="8" max="8" width="11.5703125" style="88" bestFit="1" customWidth="1"/>
    <col min="9" max="9" width="8.140625" style="88" bestFit="1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6384" width="9.140625" style="88"/>
  </cols>
  <sheetData>
    <row r="1" spans="2:17" s="102" customFormat="1"/>
    <row r="2" spans="2:17">
      <c r="B2" s="101" t="str">
        <f>+Lead!A13</f>
        <v>Furniture &amp; Fixtures</v>
      </c>
    </row>
    <row r="3" spans="2:17">
      <c r="K3" s="89">
        <v>44469</v>
      </c>
    </row>
    <row r="4" spans="2:17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155" t="s">
        <v>187</v>
      </c>
      <c r="C7" s="90" t="s">
        <v>189</v>
      </c>
      <c r="D7" s="89">
        <v>42353</v>
      </c>
      <c r="E7" s="87">
        <v>1611167.26</v>
      </c>
      <c r="F7" s="87">
        <v>0</v>
      </c>
      <c r="G7" s="92">
        <f t="shared" ref="G7:G15" si="0">E7+F7</f>
        <v>1611167.26</v>
      </c>
      <c r="H7" s="155" t="s">
        <v>187</v>
      </c>
      <c r="I7" s="88">
        <v>10</v>
      </c>
      <c r="J7" s="93">
        <f>E7*5%</f>
        <v>80558.363000000012</v>
      </c>
      <c r="K7" s="93">
        <f t="shared" ref="K7:K15" si="1">$K$3-D7+1</f>
        <v>2117</v>
      </c>
      <c r="L7" s="93">
        <f t="shared" ref="L7:L15" si="2">K7/365</f>
        <v>5.8</v>
      </c>
      <c r="M7" s="93">
        <f t="shared" ref="M7:M15" si="3">I7-L7</f>
        <v>4.2</v>
      </c>
      <c r="N7" s="90" t="str">
        <f t="shared" ref="N7:N15" si="4">IF(M7&lt;=0,"NO","YES")</f>
        <v>YES</v>
      </c>
      <c r="O7" s="94">
        <f t="shared" ref="O7:O15" si="5">G7-J7</f>
        <v>1530608.8969999999</v>
      </c>
      <c r="P7" s="92">
        <f t="shared" ref="P7:P15" si="6">O7/I7*L7</f>
        <v>887753.16025999992</v>
      </c>
      <c r="Q7" s="95">
        <f t="shared" ref="Q7:Q15" si="7">G7-P7</f>
        <v>723414.09974000009</v>
      </c>
    </row>
    <row r="8" spans="2:17">
      <c r="B8" s="155"/>
      <c r="C8" s="90" t="s">
        <v>189</v>
      </c>
      <c r="D8" s="89">
        <v>42444</v>
      </c>
      <c r="E8" s="87">
        <v>41043.279999999999</v>
      </c>
      <c r="F8" s="87">
        <v>0</v>
      </c>
      <c r="G8" s="92">
        <f>E8+F8</f>
        <v>41043.279999999999</v>
      </c>
      <c r="H8" s="155" t="s">
        <v>187</v>
      </c>
      <c r="I8" s="88">
        <v>10</v>
      </c>
      <c r="J8" s="93">
        <f t="shared" ref="J8:J14" si="8">E8*5%</f>
        <v>2052.1640000000002</v>
      </c>
      <c r="K8" s="93">
        <f t="shared" si="1"/>
        <v>2026</v>
      </c>
      <c r="L8" s="93">
        <f t="shared" si="2"/>
        <v>5.5506849315068489</v>
      </c>
      <c r="M8" s="93">
        <f t="shared" si="3"/>
        <v>4.4493150684931511</v>
      </c>
      <c r="N8" s="90" t="str">
        <f t="shared" si="4"/>
        <v>YES</v>
      </c>
      <c r="O8" s="94">
        <f t="shared" si="5"/>
        <v>38991.116000000002</v>
      </c>
      <c r="P8" s="92">
        <f t="shared" si="6"/>
        <v>21642.740004383562</v>
      </c>
      <c r="Q8" s="95">
        <f t="shared" si="7"/>
        <v>19400.539995616436</v>
      </c>
    </row>
    <row r="9" spans="2:17">
      <c r="B9" s="155"/>
      <c r="C9" s="90" t="s">
        <v>189</v>
      </c>
      <c r="D9" s="89">
        <v>43115</v>
      </c>
      <c r="E9" s="87">
        <v>72805</v>
      </c>
      <c r="F9" s="87">
        <v>0</v>
      </c>
      <c r="G9" s="92">
        <f>E9+F9</f>
        <v>72805</v>
      </c>
      <c r="H9" s="155" t="s">
        <v>187</v>
      </c>
      <c r="I9" s="88">
        <v>10</v>
      </c>
      <c r="J9" s="93">
        <f t="shared" ref="J9" si="9">E9*5%</f>
        <v>3640.25</v>
      </c>
      <c r="K9" s="93">
        <f t="shared" si="1"/>
        <v>1355</v>
      </c>
      <c r="L9" s="93">
        <f t="shared" si="2"/>
        <v>3.7123287671232879</v>
      </c>
      <c r="M9" s="93">
        <f t="shared" si="3"/>
        <v>6.2876712328767121</v>
      </c>
      <c r="N9" s="90" t="str">
        <f t="shared" si="4"/>
        <v>YES</v>
      </c>
      <c r="O9" s="94">
        <f t="shared" si="5"/>
        <v>69164.75</v>
      </c>
      <c r="P9" s="92">
        <f t="shared" si="6"/>
        <v>25676.229109589043</v>
      </c>
      <c r="Q9" s="95">
        <f t="shared" si="7"/>
        <v>47128.77089041096</v>
      </c>
    </row>
    <row r="10" spans="2:17">
      <c r="B10" s="155"/>
      <c r="C10" s="90" t="s">
        <v>189</v>
      </c>
      <c r="D10" s="89">
        <v>43251</v>
      </c>
      <c r="E10" s="87">
        <v>15970</v>
      </c>
      <c r="F10" s="87">
        <v>0</v>
      </c>
      <c r="G10" s="92">
        <f>E10+F10</f>
        <v>15970</v>
      </c>
      <c r="H10" s="155" t="s">
        <v>187</v>
      </c>
      <c r="I10" s="88">
        <v>10</v>
      </c>
      <c r="J10" s="93">
        <f t="shared" ref="J10" si="10">E10*5%</f>
        <v>798.5</v>
      </c>
      <c r="K10" s="93">
        <f t="shared" ref="K10" si="11">$K$3-D10+1</f>
        <v>1219</v>
      </c>
      <c r="L10" s="93">
        <f t="shared" ref="L10" si="12">K10/365</f>
        <v>3.3397260273972602</v>
      </c>
      <c r="M10" s="93">
        <f t="shared" ref="M10" si="13">I10-L10</f>
        <v>6.6602739726027398</v>
      </c>
      <c r="N10" s="90" t="str">
        <f t="shared" ref="N10" si="14">IF(M10&lt;=0,"NO","YES")</f>
        <v>YES</v>
      </c>
      <c r="O10" s="94">
        <f t="shared" ref="O10" si="15">G10-J10</f>
        <v>15171.5</v>
      </c>
      <c r="P10" s="92">
        <f t="shared" ref="P10" si="16">O10/I10*L10</f>
        <v>5066.8653424657532</v>
      </c>
      <c r="Q10" s="95">
        <f t="shared" ref="Q10" si="17">G10-P10</f>
        <v>10903.134657534247</v>
      </c>
    </row>
    <row r="11" spans="2:17">
      <c r="B11" s="155"/>
      <c r="C11" s="90" t="s">
        <v>189</v>
      </c>
      <c r="D11" s="89">
        <v>43343</v>
      </c>
      <c r="E11" s="87">
        <v>18578.36</v>
      </c>
      <c r="F11" s="87">
        <v>0</v>
      </c>
      <c r="G11" s="92">
        <f>E11+F11</f>
        <v>18578.36</v>
      </c>
      <c r="H11" s="155" t="s">
        <v>187</v>
      </c>
      <c r="I11" s="88">
        <v>10</v>
      </c>
      <c r="J11" s="93">
        <f t="shared" ref="J11" si="18">E11*5%</f>
        <v>928.91800000000012</v>
      </c>
      <c r="K11" s="93">
        <f t="shared" ref="K11" si="19">$K$3-D11+1</f>
        <v>1127</v>
      </c>
      <c r="L11" s="93">
        <f t="shared" ref="L11" si="20">K11/365</f>
        <v>3.0876712328767124</v>
      </c>
      <c r="M11" s="93">
        <f t="shared" ref="M11" si="21">I11-L11</f>
        <v>6.912328767123288</v>
      </c>
      <c r="N11" s="90" t="str">
        <f t="shared" ref="N11" si="22">IF(M11&lt;=0,"NO","YES")</f>
        <v>YES</v>
      </c>
      <c r="O11" s="94">
        <f t="shared" ref="O11" si="23">G11-J11</f>
        <v>17649.441999999999</v>
      </c>
      <c r="P11" s="92">
        <f t="shared" ref="P11" si="24">O11/I11*L11</f>
        <v>5449.5674339726029</v>
      </c>
      <c r="Q11" s="95">
        <f t="shared" ref="Q11" si="25">G11-P11</f>
        <v>13128.792566027398</v>
      </c>
    </row>
    <row r="12" spans="2:17">
      <c r="B12" s="155"/>
      <c r="C12" s="90"/>
      <c r="D12" s="89">
        <v>43496</v>
      </c>
      <c r="E12" s="87">
        <v>27680</v>
      </c>
      <c r="F12" s="87">
        <v>0</v>
      </c>
      <c r="G12" s="92">
        <f>E12+F12</f>
        <v>27680</v>
      </c>
      <c r="H12" s="155" t="s">
        <v>187</v>
      </c>
      <c r="I12" s="88">
        <v>10</v>
      </c>
      <c r="J12" s="93">
        <f t="shared" ref="J12" si="26">E12*5%</f>
        <v>1384</v>
      </c>
      <c r="K12" s="93">
        <f t="shared" ref="K12" si="27">$K$3-D12+1</f>
        <v>974</v>
      </c>
      <c r="L12" s="93">
        <f t="shared" ref="L12" si="28">K12/365</f>
        <v>2.6684931506849314</v>
      </c>
      <c r="M12" s="93">
        <f t="shared" ref="M12" si="29">I12-L12</f>
        <v>7.331506849315069</v>
      </c>
      <c r="N12" s="90" t="str">
        <f t="shared" ref="N12" si="30">IF(M12&lt;=0,"NO","YES")</f>
        <v>YES</v>
      </c>
      <c r="O12" s="94">
        <f t="shared" ref="O12" si="31">G12-J12</f>
        <v>26296</v>
      </c>
      <c r="P12" s="92">
        <f t="shared" ref="P12" si="32">O12/I12*L12</f>
        <v>7017.0695890410952</v>
      </c>
      <c r="Q12" s="95">
        <f t="shared" ref="Q12" si="33">G12-P12</f>
        <v>20662.930410958907</v>
      </c>
    </row>
    <row r="13" spans="2:17">
      <c r="B13" s="103" t="s">
        <v>188</v>
      </c>
      <c r="C13" s="90" t="s">
        <v>189</v>
      </c>
      <c r="D13" s="89">
        <v>42353</v>
      </c>
      <c r="E13" s="156">
        <v>269610.63743628602</v>
      </c>
      <c r="F13" s="156">
        <v>0</v>
      </c>
      <c r="G13" s="92">
        <f t="shared" si="0"/>
        <v>269610.63743628602</v>
      </c>
      <c r="H13" s="103" t="s">
        <v>188</v>
      </c>
      <c r="I13" s="88">
        <v>10</v>
      </c>
      <c r="J13" s="93">
        <f t="shared" si="8"/>
        <v>13480.531871814303</v>
      </c>
      <c r="K13" s="93">
        <f t="shared" si="1"/>
        <v>2117</v>
      </c>
      <c r="L13" s="93">
        <f t="shared" si="2"/>
        <v>5.8</v>
      </c>
      <c r="M13" s="93">
        <f t="shared" si="3"/>
        <v>4.2</v>
      </c>
      <c r="N13" s="90" t="str">
        <f t="shared" si="4"/>
        <v>YES</v>
      </c>
      <c r="O13" s="94">
        <f t="shared" si="5"/>
        <v>256130.10556447171</v>
      </c>
      <c r="P13" s="92">
        <f t="shared" si="6"/>
        <v>148555.46122739359</v>
      </c>
      <c r="Q13" s="95">
        <f t="shared" si="7"/>
        <v>121055.17620889243</v>
      </c>
    </row>
    <row r="14" spans="2:17">
      <c r="C14" s="90" t="s">
        <v>189</v>
      </c>
      <c r="D14" s="89">
        <v>42444</v>
      </c>
      <c r="E14" s="156">
        <v>53247.68</v>
      </c>
      <c r="F14" s="156">
        <v>0</v>
      </c>
      <c r="G14" s="92">
        <f t="shared" si="0"/>
        <v>53247.68</v>
      </c>
      <c r="H14" s="103" t="s">
        <v>188</v>
      </c>
      <c r="I14" s="88">
        <v>10</v>
      </c>
      <c r="J14" s="93">
        <f t="shared" si="8"/>
        <v>2662.384</v>
      </c>
      <c r="K14" s="93">
        <f t="shared" si="1"/>
        <v>2026</v>
      </c>
      <c r="L14" s="93">
        <f t="shared" si="2"/>
        <v>5.5506849315068489</v>
      </c>
      <c r="M14" s="93">
        <f t="shared" si="3"/>
        <v>4.4493150684931511</v>
      </c>
      <c r="N14" s="90" t="str">
        <f t="shared" si="4"/>
        <v>YES</v>
      </c>
      <c r="O14" s="94">
        <f t="shared" si="5"/>
        <v>50585.296000000002</v>
      </c>
      <c r="P14" s="92">
        <f t="shared" si="6"/>
        <v>28078.304026301368</v>
      </c>
      <c r="Q14" s="95">
        <f t="shared" si="7"/>
        <v>25169.375973698632</v>
      </c>
    </row>
    <row r="15" spans="2:17">
      <c r="C15" s="90" t="s">
        <v>189</v>
      </c>
      <c r="D15" s="89">
        <v>43054</v>
      </c>
      <c r="E15" s="156">
        <v>658904.35</v>
      </c>
      <c r="F15" s="87">
        <v>0</v>
      </c>
      <c r="G15" s="92">
        <f t="shared" si="0"/>
        <v>658904.35</v>
      </c>
      <c r="H15" s="103" t="s">
        <v>188</v>
      </c>
      <c r="I15" s="88">
        <v>10</v>
      </c>
      <c r="J15" s="93">
        <f t="shared" ref="J15" si="34">E15*5%</f>
        <v>32945.217499999999</v>
      </c>
      <c r="K15" s="93">
        <f t="shared" si="1"/>
        <v>1416</v>
      </c>
      <c r="L15" s="93">
        <f t="shared" si="2"/>
        <v>3.8794520547945206</v>
      </c>
      <c r="M15" s="93">
        <f t="shared" si="3"/>
        <v>6.1205479452054794</v>
      </c>
      <c r="N15" s="90" t="str">
        <f t="shared" si="4"/>
        <v>YES</v>
      </c>
      <c r="O15" s="94">
        <f t="shared" si="5"/>
        <v>625959.13249999995</v>
      </c>
      <c r="P15" s="92">
        <f t="shared" si="6"/>
        <v>242837.84427945205</v>
      </c>
      <c r="Q15" s="95">
        <f t="shared" si="7"/>
        <v>416066.50572054792</v>
      </c>
    </row>
    <row r="16" spans="2:17">
      <c r="E16" s="157">
        <f>SUM(E7:E15)</f>
        <v>2769006.5674362862</v>
      </c>
      <c r="F16" s="157">
        <f>SUM(F7:F15)</f>
        <v>0</v>
      </c>
      <c r="G16" s="98">
        <f>SUM(G7:G15)</f>
        <v>2769006.5674362862</v>
      </c>
      <c r="H16" s="156"/>
      <c r="I16" s="96"/>
      <c r="J16" s="98">
        <f>SUM(J7:J15)</f>
        <v>138450.32837181434</v>
      </c>
      <c r="K16" s="98"/>
      <c r="L16" s="96"/>
      <c r="M16" s="96"/>
      <c r="N16" s="96"/>
      <c r="O16" s="98">
        <f>SUM(O7:O15)</f>
        <v>2630556.2390644718</v>
      </c>
      <c r="P16" s="98">
        <f>SUM(P7:P15)</f>
        <v>1372077.2412725987</v>
      </c>
      <c r="Q16" s="98">
        <f>SUM(Q7:Q15)</f>
        <v>1396929.326163687</v>
      </c>
    </row>
    <row r="17" spans="6:16">
      <c r="F17" s="156"/>
      <c r="G17" s="92"/>
      <c r="H17" s="156"/>
    </row>
    <row r="18" spans="6:16">
      <c r="F18" s="156"/>
      <c r="G18" s="92"/>
      <c r="H18" s="156"/>
    </row>
    <row r="19" spans="6:16">
      <c r="F19" s="156"/>
      <c r="G19" s="92"/>
      <c r="H19" s="156"/>
      <c r="P19" s="137"/>
    </row>
    <row r="20" spans="6:16">
      <c r="F20" s="91"/>
      <c r="P20" s="137"/>
    </row>
    <row r="21" spans="6:16">
      <c r="F21" s="91"/>
    </row>
    <row r="22" spans="6:16">
      <c r="F22" s="91"/>
      <c r="P22" s="137"/>
    </row>
    <row r="23" spans="6:16">
      <c r="F23" s="9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Lead</vt:lpstr>
      <vt:lpstr>Dep</vt:lpstr>
      <vt:lpstr>Sheet3</vt:lpstr>
      <vt:lpstr>Sheet1</vt:lpstr>
      <vt:lpstr>Land</vt:lpstr>
      <vt:lpstr>Building</vt:lpstr>
      <vt:lpstr>Vehicles</vt:lpstr>
      <vt:lpstr>Office Equipment</vt:lpstr>
      <vt:lpstr>Furniture &amp; Fixture</vt:lpstr>
      <vt:lpstr>Insurance Spares-30.09.21</vt:lpstr>
      <vt:lpstr>P&amp;M</vt:lpstr>
      <vt:lpstr>Building Valuation</vt:lpstr>
      <vt:lpstr>Plant &amp; Machinery</vt:lpstr>
      <vt:lpstr>Office Equip</vt:lpstr>
      <vt:lpstr>Furniture &amp; Fixture </vt:lpstr>
      <vt:lpstr>Insurance Spares-dec,19</vt:lpstr>
      <vt:lpstr>Insurance Spares-31.03.19</vt:lpstr>
      <vt:lpstr>Lead!Print_Area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2022-02-11T11:23:31Z</dcterms:modified>
</cp:coreProperties>
</file>